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filterPrivacy="1" defaultThemeVersion="124226"/>
  <xr:revisionPtr revIDLastSave="0" documentId="13_ncr:1_{E15E8F2F-7161-42FF-A9EC-CC5FC01A3787}" xr6:coauthVersionLast="43" xr6:coauthVersionMax="43" xr10:uidLastSave="{00000000-0000-0000-0000-000000000000}"/>
  <bookViews>
    <workbookView xWindow="-120" yWindow="-120" windowWidth="29040" windowHeight="15840" firstSheet="2" activeTab="10" xr2:uid="{00000000-000D-0000-FFFF-FFFF00000000}"/>
  </bookViews>
  <sheets>
    <sheet name="دلار" sheetId="69" r:id="rId1"/>
    <sheet name="AgentBased" sheetId="44" r:id="rId2"/>
    <sheet name="سهام بنیادی" sheetId="70" r:id="rId3"/>
    <sheet name="وسپه" sheetId="74" r:id="rId4"/>
    <sheet name="تاپیکو" sheetId="75" r:id="rId5"/>
    <sheet name="ومهان" sheetId="73" r:id="rId6"/>
    <sheet name="وغدیر" sheetId="60" r:id="rId7"/>
    <sheet name="مهدی" sheetId="72" r:id="rId8"/>
    <sheet name="فروردین 98" sheetId="58" r:id="rId9"/>
    <sheet name="نقدینگی" sheetId="71" r:id="rId10"/>
    <sheet name="برنامه 5 ساله" sheetId="18" r:id="rId11"/>
    <sheet name="خرید و فروش نسبتی" sheetId="63" r:id="rId12"/>
    <sheet name="سکه" sheetId="36" r:id="rId13"/>
    <sheet name="سارا" sheetId="20" r:id="rId14"/>
    <sheet name="مسکن ایلیا" sheetId="15" r:id="rId15"/>
    <sheet name="خرید و فروش سکه فیزیکی" sheetId="52" r:id="rId16"/>
    <sheet name="مسکن مریم یاران" sheetId="13" r:id="rId17"/>
    <sheet name="بدهی خانه" sheetId="10" r:id="rId18"/>
    <sheet name="معاملات مرتبط" sheetId="68" r:id="rId19"/>
    <sheet name="مسکن علی سید الشهدا" sheetId="16" r:id="rId20"/>
    <sheet name="استراتژی جدید" sheetId="62" r:id="rId21"/>
    <sheet name="strategy" sheetId="49" r:id="rId22"/>
    <sheet name="مسکن مریم سید الشهدا" sheetId="14" r:id="rId23"/>
    <sheet name="شهریور 95" sheetId="6" r:id="rId24"/>
    <sheet name="سرمایه گذاری ها" sheetId="59" r:id="rId25"/>
    <sheet name="اردیبهشت95" sheetId="5" r:id="rId26"/>
    <sheet name="خرداد 95" sheetId="4" r:id="rId27"/>
    <sheet name="تیرماه95" sheetId="2" r:id="rId28"/>
    <sheet name="مرداد 95" sheetId="3" r:id="rId29"/>
    <sheet name="مهر 95" sheetId="7" r:id="rId30"/>
    <sheet name="آبان 95" sheetId="8" r:id="rId31"/>
    <sheet name="آذر 95" sheetId="9" r:id="rId32"/>
    <sheet name="دی 95" sheetId="11" r:id="rId33"/>
    <sheet name="بهمن 95" sheetId="12" r:id="rId34"/>
    <sheet name="اسفند 95" sheetId="17" r:id="rId35"/>
    <sheet name="فروردین 96" sheetId="19" r:id="rId36"/>
    <sheet name="اردیبهشت 96" sheetId="21" r:id="rId37"/>
    <sheet name="خرداد 96" sheetId="22" r:id="rId38"/>
    <sheet name="تیر 96" sheetId="23" r:id="rId39"/>
    <sheet name="مرداد 96" sheetId="24" r:id="rId40"/>
    <sheet name="شهریور 96" sheetId="25" r:id="rId41"/>
    <sheet name="مهر96" sheetId="26" r:id="rId42"/>
    <sheet name="آبان 96" sheetId="27" r:id="rId43"/>
    <sheet name="آذر 96" sheetId="28" r:id="rId44"/>
    <sheet name="دی 96" sheetId="29" r:id="rId45"/>
    <sheet name="بهمن 96" sheetId="30" r:id="rId46"/>
    <sheet name="اسفند 96" sheetId="31" r:id="rId47"/>
    <sheet name="فروردین 97" sheetId="34" r:id="rId48"/>
    <sheet name="اردیبهشت 97" sheetId="38" r:id="rId49"/>
    <sheet name="خرداد 97" sheetId="42" r:id="rId50"/>
    <sheet name="تیر97" sheetId="43" r:id="rId51"/>
    <sheet name="مرداد97" sheetId="45" r:id="rId52"/>
    <sheet name="شهریور97" sheetId="46" r:id="rId53"/>
    <sheet name="مهر97" sheetId="48" r:id="rId54"/>
    <sheet name="آبان97" sheetId="50" r:id="rId55"/>
    <sheet name="آذر 97" sheetId="51" r:id="rId56"/>
    <sheet name="دی 97" sheetId="54" r:id="rId57"/>
    <sheet name="بهمن 97" sheetId="55" r:id="rId58"/>
    <sheet name="اسفند97" sheetId="57" r:id="rId59"/>
    <sheet name="لیست خرید و فروش" sheetId="32" r:id="rId60"/>
    <sheet name="اوراق بدون ریسک" sheetId="33" r:id="rId61"/>
    <sheet name="نکات" sheetId="35" r:id="rId62"/>
    <sheet name="apply" sheetId="37" r:id="rId63"/>
    <sheet name="بیمه" sheetId="39" r:id="rId64"/>
    <sheet name="آرشیو قیمت ارجینال" sheetId="40" r:id="rId65"/>
    <sheet name="تحلیل1" sheetId="41" r:id="rId66"/>
    <sheet name="Sheet1" sheetId="53" r:id="rId67"/>
    <sheet name="ومهان بورسی" sheetId="65" r:id="rId68"/>
    <sheet name="صبحانه" sheetId="56" r:id="rId69"/>
    <sheet name="شارژ ساختمان" sheetId="61" r:id="rId70"/>
    <sheet name="خرید خانه" sheetId="67" r:id="rId7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Q79" i="18" l="1"/>
  <c r="Q80" i="18"/>
  <c r="Q81" i="18"/>
  <c r="Q82" i="18"/>
  <c r="Q78" i="18"/>
  <c r="T126" i="18" l="1"/>
  <c r="N49" i="63" l="1"/>
  <c r="S163" i="18"/>
  <c r="H48" i="63"/>
  <c r="I48" i="63"/>
  <c r="J48" i="63" s="1"/>
  <c r="K48" i="63" s="1"/>
  <c r="N48" i="63"/>
  <c r="H49" i="63"/>
  <c r="I49" i="63"/>
  <c r="G49" i="63"/>
  <c r="T125" i="18"/>
  <c r="J49" i="63" l="1"/>
  <c r="K49" i="63" s="1"/>
  <c r="G63" i="63"/>
  <c r="H63" i="63"/>
  <c r="I63" i="63"/>
  <c r="G64" i="63"/>
  <c r="H64" i="63"/>
  <c r="I64" i="63"/>
  <c r="G65" i="63"/>
  <c r="H65" i="63"/>
  <c r="I65" i="63"/>
  <c r="G66" i="63"/>
  <c r="H66" i="63"/>
  <c r="N67" i="63" s="1"/>
  <c r="I66" i="63"/>
  <c r="J66" i="63" s="1"/>
  <c r="K66" i="63" s="1"/>
  <c r="G67" i="63"/>
  <c r="H67" i="63"/>
  <c r="I67" i="63"/>
  <c r="J67" i="63" s="1"/>
  <c r="K67" i="63" s="1"/>
  <c r="G68" i="63"/>
  <c r="H68" i="63"/>
  <c r="I68" i="63"/>
  <c r="N68" i="63"/>
  <c r="G69" i="63"/>
  <c r="H69" i="63"/>
  <c r="I69" i="63"/>
  <c r="G70" i="63"/>
  <c r="H70" i="63"/>
  <c r="N70" i="63" s="1"/>
  <c r="I70" i="63"/>
  <c r="G71" i="63"/>
  <c r="H71" i="63"/>
  <c r="I71" i="63"/>
  <c r="G72" i="63"/>
  <c r="H72" i="63"/>
  <c r="I72" i="63"/>
  <c r="J72" i="63" s="1"/>
  <c r="K72" i="63" s="1"/>
  <c r="G73" i="63"/>
  <c r="H73" i="63"/>
  <c r="I73" i="63"/>
  <c r="J73" i="63" s="1"/>
  <c r="K73" i="63" s="1"/>
  <c r="G74" i="63"/>
  <c r="H74" i="63"/>
  <c r="N74" i="63" s="1"/>
  <c r="I74" i="63"/>
  <c r="G75" i="63"/>
  <c r="H75" i="63"/>
  <c r="I75" i="63"/>
  <c r="G76" i="63"/>
  <c r="H76" i="63"/>
  <c r="I76" i="63"/>
  <c r="G77" i="63"/>
  <c r="H77" i="63"/>
  <c r="I77" i="63"/>
  <c r="G78" i="63"/>
  <c r="H78" i="63"/>
  <c r="I78" i="63"/>
  <c r="G79" i="63"/>
  <c r="H79" i="63"/>
  <c r="I79" i="63"/>
  <c r="G80" i="63"/>
  <c r="H80" i="63"/>
  <c r="I80" i="63"/>
  <c r="N80" i="63" l="1"/>
  <c r="N76" i="63"/>
  <c r="N72" i="63"/>
  <c r="J63" i="63"/>
  <c r="K63" i="63" s="1"/>
  <c r="N79" i="63"/>
  <c r="J75" i="63"/>
  <c r="K75" i="63" s="1"/>
  <c r="J74" i="63"/>
  <c r="K74" i="63" s="1"/>
  <c r="J69" i="63"/>
  <c r="K69" i="63" s="1"/>
  <c r="J68" i="63"/>
  <c r="K68" i="63" s="1"/>
  <c r="J76" i="63"/>
  <c r="K76" i="63" s="1"/>
  <c r="J71" i="63"/>
  <c r="K71" i="63" s="1"/>
  <c r="J70" i="63"/>
  <c r="K70" i="63" s="1"/>
  <c r="J65" i="63"/>
  <c r="K65" i="63" s="1"/>
  <c r="N65" i="63"/>
  <c r="J77" i="63"/>
  <c r="K77" i="63" s="1"/>
  <c r="J79" i="63"/>
  <c r="K79" i="63" s="1"/>
  <c r="N78" i="63"/>
  <c r="N71" i="63"/>
  <c r="N69" i="63"/>
  <c r="J80" i="63"/>
  <c r="K80" i="63" s="1"/>
  <c r="J78" i="63"/>
  <c r="K78" i="63" s="1"/>
  <c r="N75" i="63"/>
  <c r="J64" i="63"/>
  <c r="K64" i="63" s="1"/>
  <c r="N66" i="63"/>
  <c r="N64" i="63"/>
  <c r="N77" i="63"/>
  <c r="N73" i="63"/>
  <c r="G38" i="63"/>
  <c r="H38" i="63"/>
  <c r="I38" i="63"/>
  <c r="J38" i="63" s="1"/>
  <c r="K38" i="63" s="1"/>
  <c r="G39" i="63"/>
  <c r="H39" i="63"/>
  <c r="I39" i="63"/>
  <c r="G40" i="63"/>
  <c r="H40" i="63"/>
  <c r="I40" i="63"/>
  <c r="G41" i="63"/>
  <c r="H41" i="63"/>
  <c r="I41" i="63"/>
  <c r="G42" i="63"/>
  <c r="H42" i="63"/>
  <c r="I42" i="63"/>
  <c r="G43" i="63"/>
  <c r="H43" i="63"/>
  <c r="I43" i="63"/>
  <c r="G44" i="63"/>
  <c r="H44" i="63"/>
  <c r="I44" i="63"/>
  <c r="G45" i="63"/>
  <c r="H45" i="63"/>
  <c r="I45" i="63"/>
  <c r="G46" i="63"/>
  <c r="H46" i="63"/>
  <c r="I46" i="63"/>
  <c r="G47" i="63"/>
  <c r="H47" i="63"/>
  <c r="I47" i="63"/>
  <c r="G48" i="63"/>
  <c r="T124" i="18"/>
  <c r="G62" i="63"/>
  <c r="H62" i="63"/>
  <c r="N63" i="63" s="1"/>
  <c r="I62" i="63"/>
  <c r="J39" i="63" l="1"/>
  <c r="K39" i="63" s="1"/>
  <c r="J40" i="63"/>
  <c r="K40" i="63" s="1"/>
  <c r="J42" i="63"/>
  <c r="K42" i="63" s="1"/>
  <c r="N41" i="63"/>
  <c r="N47" i="63"/>
  <c r="N45" i="63"/>
  <c r="J44" i="63"/>
  <c r="K44" i="63" s="1"/>
  <c r="J46" i="63"/>
  <c r="K46" i="63" s="1"/>
  <c r="J43" i="63"/>
  <c r="K43" i="63" s="1"/>
  <c r="J41" i="63"/>
  <c r="K41" i="63" s="1"/>
  <c r="N40" i="63"/>
  <c r="N81" i="63"/>
  <c r="J47" i="63"/>
  <c r="K47" i="63" s="1"/>
  <c r="J45" i="63"/>
  <c r="K45" i="63" s="1"/>
  <c r="N44" i="63"/>
  <c r="N42" i="63"/>
  <c r="J62" i="63"/>
  <c r="K62" i="63" s="1"/>
  <c r="N46" i="63"/>
  <c r="N43" i="63"/>
  <c r="N39" i="63"/>
  <c r="X563" i="18"/>
  <c r="D44" i="60" l="1"/>
  <c r="F43" i="60"/>
  <c r="F50" i="60"/>
  <c r="H10" i="60"/>
  <c r="H4" i="60"/>
  <c r="H5" i="60"/>
  <c r="C5" i="60"/>
  <c r="C4" i="60"/>
  <c r="K14" i="75"/>
  <c r="I14" i="75"/>
  <c r="G14" i="75"/>
  <c r="E14" i="75"/>
  <c r="C14" i="75"/>
  <c r="F14" i="75"/>
  <c r="F23" i="75" s="1"/>
  <c r="J43" i="60" l="1"/>
  <c r="J44" i="60"/>
  <c r="J45" i="60"/>
  <c r="J46" i="60"/>
  <c r="J47" i="60"/>
  <c r="J48" i="60"/>
  <c r="I46" i="60"/>
  <c r="I42" i="60"/>
  <c r="T60" i="18" l="1"/>
  <c r="I37" i="63"/>
  <c r="H37" i="63"/>
  <c r="N38" i="63" s="1"/>
  <c r="I36" i="63"/>
  <c r="G37" i="63"/>
  <c r="I61" i="63"/>
  <c r="H61" i="63"/>
  <c r="N62" i="63" s="1"/>
  <c r="G61" i="63"/>
  <c r="H36" i="63"/>
  <c r="X562" i="18"/>
  <c r="X561" i="18"/>
  <c r="J37" i="63" l="1"/>
  <c r="K37" i="63" s="1"/>
  <c r="N37" i="63"/>
  <c r="J61" i="63"/>
  <c r="K61" i="63" s="1"/>
  <c r="J36" i="63"/>
  <c r="K36" i="63" s="1"/>
  <c r="X560" i="18"/>
  <c r="J42" i="60" l="1"/>
  <c r="J50" i="60" s="1"/>
  <c r="X559" i="18" l="1"/>
  <c r="H50" i="63"/>
  <c r="I50" i="63"/>
  <c r="J50" i="63" l="1"/>
  <c r="K50" i="63" s="1"/>
  <c r="N50" i="63"/>
  <c r="X558" i="18"/>
  <c r="X557" i="18" l="1"/>
  <c r="G36" i="63" l="1"/>
  <c r="X556" i="18" l="1"/>
  <c r="O40" i="18"/>
  <c r="X555" i="18"/>
  <c r="G16" i="60" l="1"/>
  <c r="I52" i="63" l="1"/>
  <c r="I2" i="70" l="1"/>
  <c r="H2" i="70"/>
  <c r="H52" i="63" l="1"/>
  <c r="G52" i="63"/>
  <c r="G53" i="63"/>
  <c r="H53" i="63"/>
  <c r="I53" i="63"/>
  <c r="G54" i="63"/>
  <c r="H54" i="63"/>
  <c r="I54" i="63"/>
  <c r="G55" i="63"/>
  <c r="H55" i="63"/>
  <c r="I55" i="63"/>
  <c r="G56" i="63"/>
  <c r="H56" i="63"/>
  <c r="I56" i="63"/>
  <c r="G57" i="63"/>
  <c r="H57" i="63"/>
  <c r="I57" i="63"/>
  <c r="G58" i="63"/>
  <c r="H58" i="63"/>
  <c r="I58" i="63"/>
  <c r="X554" i="18"/>
  <c r="T59" i="18"/>
  <c r="J56" i="63" l="1"/>
  <c r="K56" i="63" s="1"/>
  <c r="N54" i="63"/>
  <c r="J57" i="63"/>
  <c r="K57" i="63" s="1"/>
  <c r="J58" i="63"/>
  <c r="K58" i="63" s="1"/>
  <c r="J55" i="63"/>
  <c r="K55" i="63" s="1"/>
  <c r="J52" i="63"/>
  <c r="K52" i="63" s="1"/>
  <c r="J53" i="63"/>
  <c r="K53" i="63" s="1"/>
  <c r="J54" i="63"/>
  <c r="K54" i="63" s="1"/>
  <c r="X553" i="18"/>
  <c r="T58" i="18"/>
  <c r="O33" i="18" l="1"/>
  <c r="R1" i="63" l="1"/>
  <c r="T123" i="18" l="1"/>
  <c r="X552" i="18" l="1"/>
  <c r="X551" i="18" l="1"/>
  <c r="X550" i="18"/>
  <c r="I35" i="63"/>
  <c r="H35" i="63"/>
  <c r="N36" i="63" s="1"/>
  <c r="J35" i="63" l="1"/>
  <c r="P53" i="18"/>
  <c r="V568" i="18"/>
  <c r="S309" i="18"/>
  <c r="X549" i="18"/>
  <c r="X548" i="18" l="1"/>
  <c r="X547" i="18"/>
  <c r="X546" i="18"/>
  <c r="X545" i="18" l="1"/>
  <c r="T122" i="18" l="1"/>
  <c r="X541" i="18"/>
  <c r="X544" i="18"/>
  <c r="X543" i="18" l="1"/>
  <c r="X542" i="18"/>
  <c r="X540" i="18"/>
  <c r="X539" i="18" l="1"/>
  <c r="X538" i="18" l="1"/>
  <c r="P23" i="18"/>
  <c r="N23" i="18" s="1"/>
  <c r="P22" i="18"/>
  <c r="N22" i="18" s="1"/>
  <c r="X537" i="18"/>
  <c r="X536" i="18" l="1"/>
  <c r="X535" i="18"/>
  <c r="AK279" i="18"/>
  <c r="X534" i="18"/>
  <c r="X533" i="18"/>
  <c r="X532" i="18"/>
  <c r="X531" i="18"/>
  <c r="X530" i="18"/>
  <c r="W587" i="18"/>
  <c r="T121" i="18" l="1"/>
  <c r="G35" i="63"/>
  <c r="K35" i="63" l="1"/>
  <c r="G33" i="63"/>
  <c r="G34" i="63"/>
  <c r="I34" i="63"/>
  <c r="H34" i="63"/>
  <c r="N35" i="63" s="1"/>
  <c r="T120" i="18"/>
  <c r="H33" i="63"/>
  <c r="L47" i="60"/>
  <c r="N34" i="63" l="1"/>
  <c r="J34" i="63"/>
  <c r="K34" i="63" s="1"/>
  <c r="F5" i="60"/>
  <c r="E4" i="60"/>
  <c r="F4" i="60" s="1"/>
  <c r="K82" i="18"/>
  <c r="X529" i="18"/>
  <c r="X528" i="18"/>
  <c r="X566" i="18"/>
  <c r="X567" i="18"/>
  <c r="X527" i="18"/>
  <c r="G19" i="74"/>
  <c r="E19" i="74"/>
  <c r="C19" i="74"/>
  <c r="I14" i="74"/>
  <c r="G14" i="74"/>
  <c r="E14" i="74"/>
  <c r="C14" i="74"/>
  <c r="I5" i="74"/>
  <c r="G5" i="74"/>
  <c r="E5" i="74"/>
  <c r="C5" i="74"/>
  <c r="I12" i="74"/>
  <c r="G13" i="74"/>
  <c r="E13" i="74"/>
  <c r="I13" i="74"/>
  <c r="C13" i="74"/>
  <c r="I9" i="74"/>
  <c r="G9" i="74"/>
  <c r="E9" i="74"/>
  <c r="C9" i="74"/>
  <c r="I8" i="74"/>
  <c r="G8" i="74"/>
  <c r="E8" i="74"/>
  <c r="C8" i="74"/>
  <c r="I4" i="74"/>
  <c r="G4" i="74"/>
  <c r="E4" i="74"/>
  <c r="C4" i="74"/>
  <c r="I3" i="74"/>
  <c r="G3" i="74"/>
  <c r="E3" i="74"/>
  <c r="C3" i="74"/>
  <c r="D3" i="74" s="1"/>
  <c r="X526" i="18"/>
  <c r="T119" i="18"/>
  <c r="X525" i="18"/>
  <c r="O51" i="18"/>
  <c r="X524" i="18"/>
  <c r="P66" i="18" l="1"/>
  <c r="N51" i="18"/>
  <c r="I2" i="73" l="1"/>
  <c r="C2" i="73"/>
  <c r="G2" i="73"/>
  <c r="E2" i="73"/>
  <c r="I3" i="73"/>
  <c r="G3" i="73"/>
  <c r="E3" i="73"/>
  <c r="C3" i="73"/>
  <c r="I4" i="73"/>
  <c r="G4" i="73"/>
  <c r="E4" i="73"/>
  <c r="C4" i="73"/>
  <c r="I5" i="73"/>
  <c r="G5" i="73"/>
  <c r="H5" i="73" s="1"/>
  <c r="E5" i="73"/>
  <c r="C5" i="73"/>
  <c r="D34" i="60" l="1"/>
  <c r="W588" i="18" l="1"/>
  <c r="W589" i="18"/>
  <c r="W590" i="18"/>
  <c r="H32" i="63" l="1"/>
  <c r="G43" i="60"/>
  <c r="H43" i="60" s="1"/>
  <c r="E43" i="60"/>
  <c r="C43" i="60"/>
  <c r="D43" i="60" s="1"/>
  <c r="K43" i="60"/>
  <c r="L43" i="60" s="1"/>
  <c r="G44" i="60"/>
  <c r="H44" i="60" s="1"/>
  <c r="E44" i="60"/>
  <c r="C44" i="60"/>
  <c r="K44" i="60"/>
  <c r="L44" i="60" s="1"/>
  <c r="H47" i="60"/>
  <c r="F47" i="60"/>
  <c r="D47" i="60"/>
  <c r="G42" i="60"/>
  <c r="H42" i="60" s="1"/>
  <c r="E42" i="60"/>
  <c r="C42" i="60"/>
  <c r="K42" i="60"/>
  <c r="L42" i="60" s="1"/>
  <c r="G46" i="60"/>
  <c r="H46" i="60" s="1"/>
  <c r="E46" i="60"/>
  <c r="F46" i="60" s="1"/>
  <c r="C46" i="60"/>
  <c r="D46" i="60" s="1"/>
  <c r="K46" i="60"/>
  <c r="L46" i="60" s="1"/>
  <c r="G45" i="60"/>
  <c r="H45" i="60" s="1"/>
  <c r="E45" i="60"/>
  <c r="F45" i="60" s="1"/>
  <c r="C45" i="60"/>
  <c r="D45" i="60" s="1"/>
  <c r="K45" i="60"/>
  <c r="L45" i="60" s="1"/>
  <c r="G23" i="60"/>
  <c r="H23" i="60" s="1"/>
  <c r="E23" i="60"/>
  <c r="F23" i="60" s="1"/>
  <c r="C23" i="60"/>
  <c r="D23" i="60" s="1"/>
  <c r="I23" i="60"/>
  <c r="J23" i="60" s="1"/>
  <c r="G22" i="60"/>
  <c r="H22" i="60" s="1"/>
  <c r="E22" i="60"/>
  <c r="F22" i="60" s="1"/>
  <c r="C22" i="60"/>
  <c r="D22" i="60" s="1"/>
  <c r="I22" i="60"/>
  <c r="J22" i="60" s="1"/>
  <c r="G21" i="60"/>
  <c r="H21" i="60" s="1"/>
  <c r="E21" i="60"/>
  <c r="F21" i="60" s="1"/>
  <c r="C21" i="60"/>
  <c r="D21" i="60" s="1"/>
  <c r="I21" i="60"/>
  <c r="J21" i="60" s="1"/>
  <c r="G20" i="60"/>
  <c r="H20" i="60" s="1"/>
  <c r="E20" i="60"/>
  <c r="F20" i="60" s="1"/>
  <c r="C20" i="60"/>
  <c r="D20" i="60" s="1"/>
  <c r="G19" i="60"/>
  <c r="H19" i="60" s="1"/>
  <c r="E19" i="60"/>
  <c r="F19" i="60" s="1"/>
  <c r="C19" i="60"/>
  <c r="D19" i="60" s="1"/>
  <c r="I19" i="60"/>
  <c r="J19" i="60" s="1"/>
  <c r="G18" i="60"/>
  <c r="H18" i="60" s="1"/>
  <c r="E18" i="60"/>
  <c r="F18" i="60" s="1"/>
  <c r="C18" i="60"/>
  <c r="D18" i="60" s="1"/>
  <c r="I18" i="60"/>
  <c r="J18" i="60" s="1"/>
  <c r="G17" i="60"/>
  <c r="H17" i="60" s="1"/>
  <c r="E17" i="60"/>
  <c r="F17" i="60" s="1"/>
  <c r="C17" i="60"/>
  <c r="D17" i="60" s="1"/>
  <c r="H16" i="60"/>
  <c r="E16" i="60"/>
  <c r="F16" i="60" s="1"/>
  <c r="C16" i="60"/>
  <c r="D16" i="60" s="1"/>
  <c r="G15" i="60"/>
  <c r="H15" i="60" s="1"/>
  <c r="E15" i="60"/>
  <c r="F15" i="60" s="1"/>
  <c r="C15" i="60"/>
  <c r="D15" i="60" s="1"/>
  <c r="G3" i="60"/>
  <c r="H3" i="60" s="1"/>
  <c r="E3" i="60"/>
  <c r="C3" i="60"/>
  <c r="D3" i="60" s="1"/>
  <c r="G2" i="60"/>
  <c r="H2" i="60" s="1"/>
  <c r="E2" i="60"/>
  <c r="C2" i="60"/>
  <c r="I20" i="60"/>
  <c r="J20" i="60" s="1"/>
  <c r="I17" i="60"/>
  <c r="J17" i="60" s="1"/>
  <c r="I16" i="60"/>
  <c r="J16" i="60" s="1"/>
  <c r="I15" i="60"/>
  <c r="J15" i="60" s="1"/>
  <c r="I3" i="60"/>
  <c r="J3" i="60" s="1"/>
  <c r="I2" i="60"/>
  <c r="D50" i="60" l="1"/>
  <c r="D5" i="60" s="1"/>
  <c r="L50" i="60"/>
  <c r="H50" i="60"/>
  <c r="F26" i="60"/>
  <c r="H26" i="60"/>
  <c r="G4" i="60" s="1"/>
  <c r="J26" i="60"/>
  <c r="I4" i="60" s="1"/>
  <c r="J4" i="60" s="1"/>
  <c r="D26" i="60"/>
  <c r="F44" i="60"/>
  <c r="J21" i="74"/>
  <c r="H21" i="74"/>
  <c r="F21" i="74"/>
  <c r="D21" i="74"/>
  <c r="J20" i="74"/>
  <c r="H20" i="74"/>
  <c r="F20" i="74"/>
  <c r="D20" i="74"/>
  <c r="J19" i="74"/>
  <c r="H19" i="74"/>
  <c r="F19" i="74"/>
  <c r="D19" i="74"/>
  <c r="J18" i="74"/>
  <c r="H18" i="74"/>
  <c r="F18" i="74"/>
  <c r="D18" i="74"/>
  <c r="J17" i="74"/>
  <c r="H17" i="74"/>
  <c r="F17" i="74"/>
  <c r="D17" i="74"/>
  <c r="J16" i="74"/>
  <c r="H16" i="74"/>
  <c r="F16" i="74"/>
  <c r="D16" i="74"/>
  <c r="J15" i="74"/>
  <c r="H15" i="74"/>
  <c r="F15" i="74"/>
  <c r="D15" i="74"/>
  <c r="J14" i="74"/>
  <c r="H14" i="74"/>
  <c r="F14" i="74"/>
  <c r="D14" i="74"/>
  <c r="J13" i="74"/>
  <c r="H13" i="74"/>
  <c r="F13" i="74"/>
  <c r="D13" i="74"/>
  <c r="J12" i="74"/>
  <c r="H12" i="74"/>
  <c r="F12" i="74"/>
  <c r="D12" i="74"/>
  <c r="J11" i="74"/>
  <c r="H11" i="74"/>
  <c r="F11" i="74"/>
  <c r="D11" i="74"/>
  <c r="J10" i="74"/>
  <c r="H10" i="74"/>
  <c r="F10" i="74"/>
  <c r="D10" i="74"/>
  <c r="J9" i="74"/>
  <c r="H9" i="74"/>
  <c r="F9" i="74"/>
  <c r="D9" i="74"/>
  <c r="J8" i="74"/>
  <c r="H8" i="74"/>
  <c r="F8" i="74"/>
  <c r="D8" i="74"/>
  <c r="J7" i="74"/>
  <c r="H7" i="74"/>
  <c r="F7" i="74"/>
  <c r="D7" i="74"/>
  <c r="J6" i="74"/>
  <c r="H6" i="74"/>
  <c r="F6" i="74"/>
  <c r="D6" i="74"/>
  <c r="J5" i="74"/>
  <c r="H5" i="74"/>
  <c r="F5" i="74"/>
  <c r="D5" i="74"/>
  <c r="J4" i="74"/>
  <c r="H4" i="74"/>
  <c r="F4" i="74"/>
  <c r="D4" i="74"/>
  <c r="J3" i="74"/>
  <c r="H3" i="74"/>
  <c r="F3" i="74"/>
  <c r="J2" i="74"/>
  <c r="H2" i="74"/>
  <c r="F2" i="74"/>
  <c r="D2" i="74"/>
  <c r="L21" i="75"/>
  <c r="J21" i="75"/>
  <c r="H21" i="75"/>
  <c r="D21" i="75"/>
  <c r="L20" i="75"/>
  <c r="J20" i="75"/>
  <c r="H20" i="75"/>
  <c r="D20" i="75"/>
  <c r="L19" i="75"/>
  <c r="J19" i="75"/>
  <c r="H19" i="75"/>
  <c r="D19" i="75"/>
  <c r="L18" i="75"/>
  <c r="J18" i="75"/>
  <c r="H18" i="75"/>
  <c r="D18" i="75"/>
  <c r="L17" i="75"/>
  <c r="J17" i="75"/>
  <c r="H17" i="75"/>
  <c r="D17" i="75"/>
  <c r="L16" i="75"/>
  <c r="J16" i="75"/>
  <c r="H16" i="75"/>
  <c r="D16" i="75"/>
  <c r="L15" i="75"/>
  <c r="J15" i="75"/>
  <c r="H15" i="75"/>
  <c r="D15" i="75"/>
  <c r="L14" i="75"/>
  <c r="J14" i="75"/>
  <c r="H14" i="75"/>
  <c r="D14" i="75"/>
  <c r="L13" i="75"/>
  <c r="J13" i="75"/>
  <c r="H13" i="75"/>
  <c r="D13" i="75"/>
  <c r="L12" i="75"/>
  <c r="J12" i="75"/>
  <c r="H12" i="75"/>
  <c r="D12" i="75"/>
  <c r="L11" i="75"/>
  <c r="J11" i="75"/>
  <c r="H11" i="75"/>
  <c r="D11" i="75"/>
  <c r="L10" i="75"/>
  <c r="J10" i="75"/>
  <c r="H10" i="75"/>
  <c r="D10" i="75"/>
  <c r="L9" i="75"/>
  <c r="J9" i="75"/>
  <c r="H9" i="75"/>
  <c r="D9" i="75"/>
  <c r="L8" i="75"/>
  <c r="J8" i="75"/>
  <c r="H8" i="75"/>
  <c r="D8" i="75"/>
  <c r="L7" i="75"/>
  <c r="J7" i="75"/>
  <c r="H7" i="75"/>
  <c r="D7" i="75"/>
  <c r="L6" i="75"/>
  <c r="J6" i="75"/>
  <c r="H6" i="75"/>
  <c r="D6" i="75"/>
  <c r="L5" i="75"/>
  <c r="J5" i="75"/>
  <c r="H5" i="75"/>
  <c r="D5" i="75"/>
  <c r="L4" i="75"/>
  <c r="J4" i="75"/>
  <c r="H4" i="75"/>
  <c r="D4" i="75"/>
  <c r="L3" i="75"/>
  <c r="J3" i="75"/>
  <c r="H3" i="75"/>
  <c r="H23" i="75" s="1"/>
  <c r="D3" i="75"/>
  <c r="L2" i="75"/>
  <c r="J2" i="75"/>
  <c r="J23" i="75" s="1"/>
  <c r="H2" i="75"/>
  <c r="D2" i="75"/>
  <c r="L15" i="73"/>
  <c r="K14" i="73"/>
  <c r="L14" i="73" s="1"/>
  <c r="J14" i="73"/>
  <c r="H14" i="73"/>
  <c r="F14" i="73"/>
  <c r="D14" i="73"/>
  <c r="K13" i="73"/>
  <c r="L13" i="73" s="1"/>
  <c r="J13" i="73"/>
  <c r="H13" i="73"/>
  <c r="F13" i="73"/>
  <c r="D13" i="73"/>
  <c r="K12" i="73"/>
  <c r="L12" i="73" s="1"/>
  <c r="J12" i="73"/>
  <c r="H12" i="73"/>
  <c r="F12" i="73"/>
  <c r="D12" i="73"/>
  <c r="K11" i="73"/>
  <c r="L11" i="73" s="1"/>
  <c r="J11" i="73"/>
  <c r="H11" i="73"/>
  <c r="F11" i="73"/>
  <c r="D11" i="73"/>
  <c r="K10" i="73"/>
  <c r="L10" i="73" s="1"/>
  <c r="J10" i="73"/>
  <c r="H10" i="73"/>
  <c r="F10" i="73"/>
  <c r="D10" i="73"/>
  <c r="K9" i="73"/>
  <c r="L9" i="73" s="1"/>
  <c r="J9" i="73"/>
  <c r="H9" i="73"/>
  <c r="F9" i="73"/>
  <c r="D9" i="73"/>
  <c r="K8" i="73"/>
  <c r="L8" i="73" s="1"/>
  <c r="J8" i="73"/>
  <c r="H8" i="73"/>
  <c r="F8" i="73"/>
  <c r="D8" i="73"/>
  <c r="K7" i="73"/>
  <c r="L7" i="73" s="1"/>
  <c r="J7" i="73"/>
  <c r="H7" i="73"/>
  <c r="F7" i="73"/>
  <c r="D7" i="73"/>
  <c r="K6" i="73"/>
  <c r="L6" i="73" s="1"/>
  <c r="J6" i="73"/>
  <c r="H6" i="73"/>
  <c r="F6" i="73"/>
  <c r="D6" i="73"/>
  <c r="K5" i="73"/>
  <c r="L5" i="73" s="1"/>
  <c r="J5" i="73"/>
  <c r="F5" i="73"/>
  <c r="D5" i="73"/>
  <c r="K4" i="73"/>
  <c r="L4" i="73" s="1"/>
  <c r="J4" i="73"/>
  <c r="H4" i="73"/>
  <c r="F4" i="73"/>
  <c r="D4" i="73"/>
  <c r="L3" i="73"/>
  <c r="J3" i="73"/>
  <c r="H3" i="73"/>
  <c r="F3" i="73"/>
  <c r="D3" i="73"/>
  <c r="K2" i="73"/>
  <c r="L2" i="73" s="1"/>
  <c r="J2" i="73"/>
  <c r="H2" i="73"/>
  <c r="F2" i="73"/>
  <c r="D2" i="73"/>
  <c r="B144" i="72"/>
  <c r="D143" i="72"/>
  <c r="E143" i="72" s="1"/>
  <c r="G12" i="71"/>
  <c r="E12" i="71"/>
  <c r="C12" i="71"/>
  <c r="G11" i="71"/>
  <c r="E11" i="71"/>
  <c r="C11" i="71"/>
  <c r="G10" i="71"/>
  <c r="E10" i="71"/>
  <c r="C10" i="71"/>
  <c r="G9" i="71"/>
  <c r="E9" i="71"/>
  <c r="C9" i="71"/>
  <c r="G8" i="71"/>
  <c r="E8" i="71"/>
  <c r="C8" i="71"/>
  <c r="G7" i="71"/>
  <c r="E7" i="71"/>
  <c r="C7" i="71"/>
  <c r="G6" i="71"/>
  <c r="E6" i="71"/>
  <c r="C6" i="71"/>
  <c r="G5" i="71"/>
  <c r="E5" i="71"/>
  <c r="C5" i="71"/>
  <c r="G4" i="71"/>
  <c r="E4" i="71"/>
  <c r="C4" i="71"/>
  <c r="G3" i="71"/>
  <c r="E3" i="71"/>
  <c r="C3" i="71"/>
  <c r="G2" i="71"/>
  <c r="E2" i="71"/>
  <c r="G5" i="60" l="1"/>
  <c r="H27" i="60"/>
  <c r="F23" i="74"/>
  <c r="H23" i="74"/>
  <c r="D23" i="75"/>
  <c r="L23" i="75"/>
  <c r="L25" i="75" s="1"/>
  <c r="D4" i="60"/>
  <c r="D23" i="74"/>
  <c r="J23" i="74"/>
  <c r="J25" i="74" s="1"/>
  <c r="D142" i="72"/>
  <c r="F16" i="73"/>
  <c r="H16" i="73"/>
  <c r="D16" i="73"/>
  <c r="J16" i="73"/>
  <c r="J18" i="73" s="1"/>
  <c r="L16" i="73"/>
  <c r="L18" i="73" s="1"/>
  <c r="H335" i="18"/>
  <c r="X523" i="18"/>
  <c r="E142" i="72" l="1"/>
  <c r="D141" i="72"/>
  <c r="X522" i="18"/>
  <c r="X521" i="18"/>
  <c r="X520" i="18"/>
  <c r="E141" i="72" l="1"/>
  <c r="D140" i="72"/>
  <c r="W144" i="18"/>
  <c r="D139" i="72" l="1"/>
  <c r="E140" i="72"/>
  <c r="D138" i="72" l="1"/>
  <c r="E139" i="72"/>
  <c r="E138" i="72" l="1"/>
  <c r="D137" i="72"/>
  <c r="E137" i="72" l="1"/>
  <c r="D136" i="72"/>
  <c r="D135" i="72" l="1"/>
  <c r="E136" i="72"/>
  <c r="P34" i="18"/>
  <c r="P33" i="18"/>
  <c r="D134" i="72" l="1"/>
  <c r="E135" i="72"/>
  <c r="E134" i="72" l="1"/>
  <c r="D133" i="72"/>
  <c r="D132" i="72" l="1"/>
  <c r="E133" i="72"/>
  <c r="E132" i="72" l="1"/>
  <c r="D131" i="72"/>
  <c r="X519" i="18"/>
  <c r="E131" i="72" l="1"/>
  <c r="D130" i="72"/>
  <c r="R18" i="63"/>
  <c r="R17" i="63"/>
  <c r="R16" i="63"/>
  <c r="E130" i="72" l="1"/>
  <c r="D129" i="72"/>
  <c r="X518" i="18"/>
  <c r="D128" i="72" l="1"/>
  <c r="E129" i="72"/>
  <c r="E128" i="72" l="1"/>
  <c r="D127" i="72"/>
  <c r="E127" i="72" l="1"/>
  <c r="D126" i="72"/>
  <c r="X517" i="18"/>
  <c r="X516" i="18"/>
  <c r="D125" i="72" l="1"/>
  <c r="E126" i="72"/>
  <c r="D124" i="72" l="1"/>
  <c r="E125" i="72"/>
  <c r="E124" i="72" l="1"/>
  <c r="D123" i="72"/>
  <c r="G10" i="63"/>
  <c r="E123" i="72" l="1"/>
  <c r="D122" i="72"/>
  <c r="D121" i="72" l="1"/>
  <c r="E122" i="72"/>
  <c r="D120" i="72" l="1"/>
  <c r="E121" i="72"/>
  <c r="E120" i="72" l="1"/>
  <c r="D119" i="72"/>
  <c r="E119" i="72" l="1"/>
  <c r="D118" i="72"/>
  <c r="D117" i="72" l="1"/>
  <c r="E118" i="72"/>
  <c r="D116" i="72" l="1"/>
  <c r="E117" i="72"/>
  <c r="E116" i="72" l="1"/>
  <c r="D115" i="72"/>
  <c r="E115" i="72" l="1"/>
  <c r="D114" i="72"/>
  <c r="F129" i="60"/>
  <c r="J128" i="60" s="1"/>
  <c r="D113" i="72" l="1"/>
  <c r="E114" i="72"/>
  <c r="G128" i="60"/>
  <c r="H128" i="60" s="1"/>
  <c r="I128" i="60"/>
  <c r="F130" i="60"/>
  <c r="D112" i="72" l="1"/>
  <c r="E113" i="72"/>
  <c r="J129" i="60"/>
  <c r="I129" i="60"/>
  <c r="G129" i="60"/>
  <c r="H129" i="60" s="1"/>
  <c r="F132" i="60"/>
  <c r="F131" i="60"/>
  <c r="E112" i="72" l="1"/>
  <c r="E144" i="72" s="1"/>
  <c r="D111" i="72"/>
  <c r="J130" i="60"/>
  <c r="I130" i="60"/>
  <c r="G130" i="60"/>
  <c r="H130" i="60" s="1"/>
  <c r="J131" i="60"/>
  <c r="I131" i="60"/>
  <c r="G131" i="60"/>
  <c r="H131" i="60" s="1"/>
  <c r="G125" i="18"/>
  <c r="E111" i="72" l="1"/>
  <c r="D110" i="72"/>
  <c r="X514" i="18"/>
  <c r="D109" i="72" l="1"/>
  <c r="E110" i="72"/>
  <c r="X513" i="18"/>
  <c r="I114" i="63"/>
  <c r="H114" i="63"/>
  <c r="P29" i="18"/>
  <c r="N29" i="18" s="1"/>
  <c r="P28" i="18"/>
  <c r="N28" i="18" s="1"/>
  <c r="E109" i="72" l="1"/>
  <c r="D108" i="72"/>
  <c r="E108" i="72" l="1"/>
  <c r="D107" i="72"/>
  <c r="X512" i="18"/>
  <c r="E107" i="72" l="1"/>
  <c r="D106" i="72"/>
  <c r="E106" i="72" l="1"/>
  <c r="D105" i="72"/>
  <c r="D104" i="72" l="1"/>
  <c r="E105" i="72"/>
  <c r="E104" i="72" l="1"/>
  <c r="D103" i="72"/>
  <c r="X511" i="18"/>
  <c r="AB85" i="18"/>
  <c r="O41" i="18" s="1"/>
  <c r="T86" i="18"/>
  <c r="X510" i="18"/>
  <c r="X509" i="18"/>
  <c r="E103" i="72" l="1"/>
  <c r="D102" i="72"/>
  <c r="E135" i="63"/>
  <c r="X508" i="18"/>
  <c r="D101" i="72" l="1"/>
  <c r="E102" i="72"/>
  <c r="S594" i="18"/>
  <c r="X507" i="18"/>
  <c r="AB110" i="18"/>
  <c r="AB111" i="18"/>
  <c r="AB112" i="18"/>
  <c r="AB113" i="18"/>
  <c r="AB114" i="18"/>
  <c r="AB109" i="18"/>
  <c r="AB56" i="18"/>
  <c r="O34" i="18" l="1"/>
  <c r="O52" i="18"/>
  <c r="D100" i="72"/>
  <c r="E101" i="72"/>
  <c r="I115" i="63"/>
  <c r="I113" i="63"/>
  <c r="H115" i="63"/>
  <c r="H113" i="63"/>
  <c r="G115" i="63"/>
  <c r="G113" i="63"/>
  <c r="G114" i="63"/>
  <c r="Q66" i="18" l="1"/>
  <c r="P65" i="18"/>
  <c r="P67" i="18" s="1"/>
  <c r="Q65" i="18"/>
  <c r="E100" i="72"/>
  <c r="D99" i="72"/>
  <c r="J113" i="63"/>
  <c r="K113" i="63" s="1"/>
  <c r="Q67" i="18" l="1"/>
  <c r="E99" i="72"/>
  <c r="D98" i="72"/>
  <c r="E98" i="72" l="1"/>
  <c r="D97" i="72"/>
  <c r="D134" i="63"/>
  <c r="E134" i="63"/>
  <c r="G134" i="63" s="1"/>
  <c r="D135" i="63"/>
  <c r="G135" i="63"/>
  <c r="D136" i="63"/>
  <c r="E136" i="63"/>
  <c r="G136" i="63" s="1"/>
  <c r="D137" i="63"/>
  <c r="E137" i="63"/>
  <c r="G137" i="63" s="1"/>
  <c r="D138" i="63"/>
  <c r="E138" i="63"/>
  <c r="G138" i="63" s="1"/>
  <c r="D139" i="63"/>
  <c r="E139" i="63"/>
  <c r="G139" i="63" s="1"/>
  <c r="D140" i="63"/>
  <c r="E140" i="63"/>
  <c r="G140" i="63" s="1"/>
  <c r="D141" i="63"/>
  <c r="E141" i="63"/>
  <c r="G141" i="63" s="1"/>
  <c r="D142" i="63"/>
  <c r="E142" i="63"/>
  <c r="G142" i="63" s="1"/>
  <c r="D143" i="63"/>
  <c r="E143" i="63"/>
  <c r="G143" i="63" s="1"/>
  <c r="D144" i="63"/>
  <c r="E144" i="63"/>
  <c r="G144" i="63" s="1"/>
  <c r="D145" i="63"/>
  <c r="E145" i="63"/>
  <c r="G145" i="63" s="1"/>
  <c r="D146" i="63"/>
  <c r="E146" i="63"/>
  <c r="G146" i="63" s="1"/>
  <c r="D147" i="63"/>
  <c r="E147" i="63"/>
  <c r="G147" i="63" s="1"/>
  <c r="D148" i="63"/>
  <c r="E148" i="63"/>
  <c r="G148" i="63" s="1"/>
  <c r="D149" i="63"/>
  <c r="E149" i="63"/>
  <c r="G149" i="63" s="1"/>
  <c r="D150" i="63"/>
  <c r="E150" i="63"/>
  <c r="G150" i="63" s="1"/>
  <c r="D151" i="63"/>
  <c r="E151" i="63"/>
  <c r="G151" i="63" s="1"/>
  <c r="D152" i="63"/>
  <c r="E152" i="63"/>
  <c r="D153" i="63"/>
  <c r="E153" i="63"/>
  <c r="D154" i="63"/>
  <c r="E154" i="63"/>
  <c r="D155" i="63"/>
  <c r="E155" i="63"/>
  <c r="E133" i="63"/>
  <c r="G133" i="63" s="1"/>
  <c r="D133" i="63"/>
  <c r="D96" i="72" l="1"/>
  <c r="E97" i="72"/>
  <c r="X506" i="18"/>
  <c r="E96" i="72" l="1"/>
  <c r="D95" i="72"/>
  <c r="L336" i="69"/>
  <c r="L337" i="69"/>
  <c r="L338" i="69"/>
  <c r="E95" i="72" l="1"/>
  <c r="D94" i="72"/>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D93" i="72" l="1"/>
  <c r="E94" i="72"/>
  <c r="X505" i="18"/>
  <c r="D92" i="72" l="1"/>
  <c r="E93" i="72"/>
  <c r="D176" i="58"/>
  <c r="E92" i="72" l="1"/>
  <c r="D91" i="72"/>
  <c r="P35" i="18"/>
  <c r="E91" i="72" l="1"/>
  <c r="D90" i="72"/>
  <c r="X504" i="18"/>
  <c r="D89" i="72" l="1"/>
  <c r="E90" i="72"/>
  <c r="D88" i="72" l="1"/>
  <c r="E89" i="72"/>
  <c r="X503" i="18"/>
  <c r="I24" i="63"/>
  <c r="I25" i="63"/>
  <c r="G25" i="63"/>
  <c r="H25" i="63"/>
  <c r="E88" i="72" l="1"/>
  <c r="D87" i="72"/>
  <c r="J25" i="63"/>
  <c r="K25" i="63" s="1"/>
  <c r="X502" i="18"/>
  <c r="D86" i="72" l="1"/>
  <c r="E87" i="72"/>
  <c r="E86" i="72" l="1"/>
  <c r="D85" i="72"/>
  <c r="E85" i="72" l="1"/>
  <c r="D84" i="72"/>
  <c r="D83" i="72" l="1"/>
  <c r="E84" i="72"/>
  <c r="X501" i="18"/>
  <c r="D82" i="72" l="1"/>
  <c r="E83" i="72"/>
  <c r="D81" i="72" l="1"/>
  <c r="E82" i="72"/>
  <c r="D80" i="72" l="1"/>
  <c r="E81" i="72"/>
  <c r="X500" i="18"/>
  <c r="T118" i="18"/>
  <c r="D79" i="72" l="1"/>
  <c r="E80" i="72"/>
  <c r="X499" i="18"/>
  <c r="T117" i="18"/>
  <c r="D78" i="72" l="1"/>
  <c r="E79" i="72"/>
  <c r="X498" i="18"/>
  <c r="T116" i="18"/>
  <c r="D77" i="72" l="1"/>
  <c r="E78" i="72"/>
  <c r="X497" i="18"/>
  <c r="E77" i="72" l="1"/>
  <c r="D76" i="72"/>
  <c r="D75" i="72" l="1"/>
  <c r="E76" i="72"/>
  <c r="D74" i="72" l="1"/>
  <c r="E75" i="72"/>
  <c r="E74" i="72" l="1"/>
  <c r="D73" i="72"/>
  <c r="E73" i="72" l="1"/>
  <c r="D72" i="72"/>
  <c r="D71" i="72" l="1"/>
  <c r="E72" i="72"/>
  <c r="X496" i="18"/>
  <c r="I32" i="63"/>
  <c r="I33" i="63"/>
  <c r="D70" i="72" l="1"/>
  <c r="E71" i="72"/>
  <c r="J33" i="63"/>
  <c r="K33" i="63" s="1"/>
  <c r="X495" i="18"/>
  <c r="E70" i="72" l="1"/>
  <c r="D69" i="72"/>
  <c r="X494" i="18"/>
  <c r="E69" i="72" l="1"/>
  <c r="D68" i="72"/>
  <c r="T115" i="18"/>
  <c r="G32" i="63"/>
  <c r="N33" i="63"/>
  <c r="I30" i="63"/>
  <c r="I31" i="63"/>
  <c r="G31" i="63"/>
  <c r="H31" i="63"/>
  <c r="D67" i="72" l="1"/>
  <c r="E68" i="72"/>
  <c r="N32" i="63"/>
  <c r="J32" i="63"/>
  <c r="K32" i="63" s="1"/>
  <c r="J31" i="63"/>
  <c r="K31" i="63" s="1"/>
  <c r="G30" i="63"/>
  <c r="H30" i="63"/>
  <c r="D66" i="72" l="1"/>
  <c r="E67" i="72"/>
  <c r="J30" i="63"/>
  <c r="K30" i="63" s="1"/>
  <c r="N31" i="63"/>
  <c r="X493" i="18"/>
  <c r="D65" i="72" l="1"/>
  <c r="E66" i="72"/>
  <c r="L96" i="69"/>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334" i="69"/>
  <c r="L33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94" i="69"/>
  <c r="L95" i="69"/>
  <c r="L55" i="69"/>
  <c r="L56" i="69"/>
  <c r="L57" i="69"/>
  <c r="L58" i="69"/>
  <c r="L59" i="69"/>
  <c r="L60" i="69"/>
  <c r="L61" i="69"/>
  <c r="L62" i="69"/>
  <c r="L63" i="69"/>
  <c r="L64" i="69"/>
  <c r="L65" i="69"/>
  <c r="E65" i="72" l="1"/>
  <c r="D64" i="72"/>
  <c r="X492" i="18"/>
  <c r="E64" i="72" l="1"/>
  <c r="D63" i="72"/>
  <c r="I10" i="63"/>
  <c r="H10" i="63"/>
  <c r="E63" i="72" l="1"/>
  <c r="D62" i="72"/>
  <c r="J10" i="63"/>
  <c r="K10" i="63" s="1"/>
  <c r="D61" i="72" l="1"/>
  <c r="E62" i="72"/>
  <c r="D60" i="72" l="1"/>
  <c r="E61" i="72"/>
  <c r="D59" i="72" l="1"/>
  <c r="E60" i="72"/>
  <c r="G7" i="63"/>
  <c r="H7" i="63"/>
  <c r="I7" i="63"/>
  <c r="G8" i="63"/>
  <c r="H8" i="63"/>
  <c r="I8" i="63"/>
  <c r="G9" i="63"/>
  <c r="H9" i="63"/>
  <c r="N10" i="63" s="1"/>
  <c r="I9" i="63"/>
  <c r="E59" i="72" l="1"/>
  <c r="D58" i="72"/>
  <c r="J8" i="63"/>
  <c r="K8" i="63" s="1"/>
  <c r="J7" i="63"/>
  <c r="K7" i="63" s="1"/>
  <c r="J9" i="63"/>
  <c r="K9" i="63" s="1"/>
  <c r="N9" i="63"/>
  <c r="N8" i="63"/>
  <c r="D57" i="72" l="1"/>
  <c r="E58" i="72"/>
  <c r="I29" i="63"/>
  <c r="E57" i="72" l="1"/>
  <c r="D56" i="72"/>
  <c r="I28" i="63"/>
  <c r="E56" i="72" l="1"/>
  <c r="D55" i="72"/>
  <c r="E55" i="72" l="1"/>
  <c r="D54" i="72"/>
  <c r="E54" i="72" l="1"/>
  <c r="D53" i="72"/>
  <c r="AM278" i="18"/>
  <c r="AM277" i="18" s="1"/>
  <c r="AM276" i="18" l="1"/>
  <c r="AN277" i="18"/>
  <c r="D52" i="72"/>
  <c r="E53" i="72"/>
  <c r="AM275" i="18" l="1"/>
  <c r="AN276" i="18"/>
  <c r="E52" i="72"/>
  <c r="D51" i="72"/>
  <c r="AM274" i="18" l="1"/>
  <c r="AN275" i="18"/>
  <c r="E51" i="72"/>
  <c r="D50" i="72"/>
  <c r="N114" i="63"/>
  <c r="N115" i="63"/>
  <c r="V31" i="63"/>
  <c r="V32" i="63"/>
  <c r="R19" i="63"/>
  <c r="U34" i="63"/>
  <c r="V34" i="63"/>
  <c r="AM273" i="18" l="1"/>
  <c r="AN274" i="18"/>
  <c r="D49" i="72"/>
  <c r="E50" i="72"/>
  <c r="J115" i="63"/>
  <c r="K115" i="63" s="1"/>
  <c r="J114" i="63"/>
  <c r="K114" i="63" s="1"/>
  <c r="AM272" i="18" l="1"/>
  <c r="AN273" i="18"/>
  <c r="D48" i="72"/>
  <c r="E49" i="72"/>
  <c r="M100" i="63"/>
  <c r="M96" i="63"/>
  <c r="M97" i="63"/>
  <c r="AM271" i="18" l="1"/>
  <c r="AN272" i="18"/>
  <c r="E48" i="72"/>
  <c r="D47" i="72"/>
  <c r="H109" i="63"/>
  <c r="AM270" i="18" l="1"/>
  <c r="AN271" i="18"/>
  <c r="E47" i="72"/>
  <c r="D46" i="72"/>
  <c r="J2" i="60"/>
  <c r="AM269" i="18" l="1"/>
  <c r="AN270" i="18"/>
  <c r="D45" i="72"/>
  <c r="E46" i="72"/>
  <c r="X488" i="18"/>
  <c r="X483" i="18"/>
  <c r="X484" i="18"/>
  <c r="X485" i="18"/>
  <c r="X486" i="18"/>
  <c r="X487" i="18"/>
  <c r="X489" i="18"/>
  <c r="X490" i="18"/>
  <c r="X491" i="18"/>
  <c r="X515" i="18"/>
  <c r="AM268" i="18" l="1"/>
  <c r="AN269" i="18"/>
  <c r="D44" i="72"/>
  <c r="E45" i="72"/>
  <c r="X482" i="18"/>
  <c r="AM267" i="18" l="1"/>
  <c r="AN268" i="18"/>
  <c r="D43" i="72"/>
  <c r="E44" i="72"/>
  <c r="F3" i="60"/>
  <c r="AM266" i="18" l="1"/>
  <c r="AN267" i="18"/>
  <c r="E43" i="72"/>
  <c r="D42" i="72"/>
  <c r="M99" i="63"/>
  <c r="M98" i="63"/>
  <c r="F30" i="60"/>
  <c r="AM265" i="18" l="1"/>
  <c r="AN266" i="18"/>
  <c r="E42" i="72"/>
  <c r="D41" i="72"/>
  <c r="AM264" i="18" l="1"/>
  <c r="AN265" i="18"/>
  <c r="D40" i="72"/>
  <c r="E41" i="72"/>
  <c r="F2" i="60"/>
  <c r="F10" i="60" s="1"/>
  <c r="AM263" i="18" l="1"/>
  <c r="AN264" i="18"/>
  <c r="E40" i="72"/>
  <c r="D39" i="72"/>
  <c r="H108" i="63"/>
  <c r="AM262" i="18" l="1"/>
  <c r="AN263" i="18"/>
  <c r="E39" i="72"/>
  <c r="D38" i="72"/>
  <c r="X481" i="18"/>
  <c r="H107" i="63"/>
  <c r="N113" i="63"/>
  <c r="AM261" i="18" l="1"/>
  <c r="AN262" i="18"/>
  <c r="D37" i="72"/>
  <c r="E38" i="72"/>
  <c r="M95" i="63"/>
  <c r="N53" i="18"/>
  <c r="AM260" i="18" l="1"/>
  <c r="AN261" i="18"/>
  <c r="D36" i="72"/>
  <c r="E37" i="72"/>
  <c r="X480" i="18"/>
  <c r="X479" i="18"/>
  <c r="X478" i="18"/>
  <c r="AM259" i="18" l="1"/>
  <c r="AN260" i="18"/>
  <c r="E36" i="72"/>
  <c r="D35" i="72"/>
  <c r="AA9" i="68"/>
  <c r="Y9" i="68"/>
  <c r="X9" i="68"/>
  <c r="AA8" i="68"/>
  <c r="Y8" i="68"/>
  <c r="X8" i="68"/>
  <c r="AA7" i="68"/>
  <c r="Y7" i="68"/>
  <c r="X7" i="68"/>
  <c r="AA6" i="68"/>
  <c r="Y6" i="68"/>
  <c r="X6" i="68"/>
  <c r="AA5" i="68"/>
  <c r="Y5" i="68"/>
  <c r="X5" i="68"/>
  <c r="AA4" i="68"/>
  <c r="Y4" i="68"/>
  <c r="X4" i="68"/>
  <c r="AA3" i="68"/>
  <c r="Y3" i="68"/>
  <c r="X3" i="68"/>
  <c r="AA2" i="68"/>
  <c r="H29" i="68"/>
  <c r="H6" i="68"/>
  <c r="I6" i="68" s="1"/>
  <c r="H5" i="68"/>
  <c r="I5" i="68" s="1"/>
  <c r="I3" i="68"/>
  <c r="M88" i="63"/>
  <c r="M89" i="63"/>
  <c r="M90" i="63"/>
  <c r="M91" i="63"/>
  <c r="M92" i="63"/>
  <c r="M93" i="63"/>
  <c r="M94" i="63"/>
  <c r="M87" i="63"/>
  <c r="H106" i="63"/>
  <c r="AM258" i="18" l="1"/>
  <c r="AN259" i="18"/>
  <c r="H41" i="68"/>
  <c r="E35" i="72"/>
  <c r="D34" i="72"/>
  <c r="I29" i="68"/>
  <c r="I41" i="68" s="1"/>
  <c r="X477" i="18"/>
  <c r="H105" i="63"/>
  <c r="I23" i="63"/>
  <c r="G24" i="63"/>
  <c r="H24" i="63"/>
  <c r="AM257" i="18" l="1"/>
  <c r="AN258" i="18"/>
  <c r="E34" i="72"/>
  <c r="D33" i="72"/>
  <c r="N25" i="63"/>
  <c r="J24" i="63"/>
  <c r="K24" i="63" s="1"/>
  <c r="AM256" i="18" l="1"/>
  <c r="AN257" i="18"/>
  <c r="D32" i="72"/>
  <c r="E33" i="72"/>
  <c r="I94" i="63"/>
  <c r="X476" i="18"/>
  <c r="AM255" i="18" l="1"/>
  <c r="AN256" i="18"/>
  <c r="E32" i="72"/>
  <c r="D31" i="72"/>
  <c r="X475" i="18"/>
  <c r="N58" i="18"/>
  <c r="N32" i="18"/>
  <c r="AM254" i="18" l="1"/>
  <c r="AN255" i="18"/>
  <c r="E31" i="72"/>
  <c r="D30" i="72"/>
  <c r="G29" i="63"/>
  <c r="H29" i="63"/>
  <c r="N30" i="63" s="1"/>
  <c r="G28" i="63"/>
  <c r="H28" i="63"/>
  <c r="AM253" i="18" l="1"/>
  <c r="AN254" i="18"/>
  <c r="D29" i="72"/>
  <c r="E30" i="72"/>
  <c r="N29" i="63"/>
  <c r="J29" i="63"/>
  <c r="K29" i="63" s="1"/>
  <c r="J28" i="63"/>
  <c r="K28" i="63" s="1"/>
  <c r="X474" i="18"/>
  <c r="I27" i="63"/>
  <c r="G27" i="63"/>
  <c r="H27" i="63"/>
  <c r="N28" i="63" s="1"/>
  <c r="AM252" i="18" l="1"/>
  <c r="AN253" i="18"/>
  <c r="D28" i="72"/>
  <c r="E29" i="72"/>
  <c r="J27" i="63"/>
  <c r="K27" i="63" s="1"/>
  <c r="AM251" i="18" l="1"/>
  <c r="AN252" i="18"/>
  <c r="E28" i="72"/>
  <c r="D27" i="72"/>
  <c r="X473" i="18"/>
  <c r="N26" i="63"/>
  <c r="I26" i="63"/>
  <c r="H26" i="63"/>
  <c r="N27" i="63" s="1"/>
  <c r="G26" i="63"/>
  <c r="AM250" i="18" l="1"/>
  <c r="AN251" i="18"/>
  <c r="E27" i="72"/>
  <c r="D26" i="72"/>
  <c r="J26" i="63"/>
  <c r="K26" i="63" s="1"/>
  <c r="AM249" i="18" l="1"/>
  <c r="AN250" i="18"/>
  <c r="D25" i="72"/>
  <c r="E26" i="72"/>
  <c r="H94" i="63"/>
  <c r="G94" i="63"/>
  <c r="I93" i="63"/>
  <c r="G93" i="63"/>
  <c r="H93" i="63"/>
  <c r="AM248" i="18" l="1"/>
  <c r="AN249" i="18"/>
  <c r="D24" i="72"/>
  <c r="E25" i="72"/>
  <c r="J94" i="63"/>
  <c r="K94" i="63" s="1"/>
  <c r="J93" i="63"/>
  <c r="K93" i="63" s="1"/>
  <c r="AM247" i="18" l="1"/>
  <c r="AN248" i="18"/>
  <c r="E24" i="72"/>
  <c r="D23" i="72"/>
  <c r="Q35" i="63"/>
  <c r="E23" i="72" l="1"/>
  <c r="D22" i="72"/>
  <c r="G23" i="63"/>
  <c r="H23" i="63"/>
  <c r="N24" i="63" s="1"/>
  <c r="E22" i="72" l="1"/>
  <c r="D21" i="72"/>
  <c r="J23" i="63"/>
  <c r="K23" i="63" s="1"/>
  <c r="I22" i="63"/>
  <c r="G22" i="63"/>
  <c r="H22" i="63"/>
  <c r="N23" i="63" s="1"/>
  <c r="D20" i="72" l="1"/>
  <c r="E21" i="72"/>
  <c r="J22" i="63"/>
  <c r="K22" i="63" s="1"/>
  <c r="X472" i="18"/>
  <c r="E20" i="72" l="1"/>
  <c r="D19" i="72"/>
  <c r="X471" i="18"/>
  <c r="E19" i="72" l="1"/>
  <c r="D18" i="72"/>
  <c r="D17" i="72" l="1"/>
  <c r="E18" i="72"/>
  <c r="M145" i="18"/>
  <c r="L145" i="18"/>
  <c r="I125" i="18"/>
  <c r="P41" i="18"/>
  <c r="D16" i="72" l="1"/>
  <c r="E17" i="72"/>
  <c r="X470" i="18"/>
  <c r="E16" i="72" l="1"/>
  <c r="D15" i="72"/>
  <c r="X469" i="18"/>
  <c r="E15" i="72" l="1"/>
  <c r="D14" i="72"/>
  <c r="F36" i="60"/>
  <c r="D13" i="72" l="1"/>
  <c r="E14" i="72"/>
  <c r="D36" i="60"/>
  <c r="F31" i="60"/>
  <c r="F32" i="60"/>
  <c r="F33" i="60"/>
  <c r="F34" i="60"/>
  <c r="F35" i="60"/>
  <c r="D31" i="60"/>
  <c r="D32" i="60"/>
  <c r="D33" i="60"/>
  <c r="D35" i="60"/>
  <c r="D30" i="60"/>
  <c r="D12" i="72" l="1"/>
  <c r="E13" i="72"/>
  <c r="F38" i="60"/>
  <c r="D38" i="60"/>
  <c r="E12" i="72" l="1"/>
  <c r="D11" i="72"/>
  <c r="E11" i="72" l="1"/>
  <c r="D10" i="72"/>
  <c r="E10" i="72" l="1"/>
  <c r="D9" i="72"/>
  <c r="X468" i="18"/>
  <c r="X467" i="18"/>
  <c r="E9" i="72" l="1"/>
  <c r="D8" i="72"/>
  <c r="E8" i="72" l="1"/>
  <c r="D7" i="72"/>
  <c r="E7" i="72" l="1"/>
  <c r="D6" i="72"/>
  <c r="D5" i="72" l="1"/>
  <c r="E6" i="72"/>
  <c r="X466" i="18"/>
  <c r="D4" i="72" l="1"/>
  <c r="E5" i="72"/>
  <c r="X465" i="18"/>
  <c r="E4" i="72" l="1"/>
  <c r="D3" i="72"/>
  <c r="E3" i="72" s="1"/>
  <c r="X464" i="18"/>
  <c r="X463" i="18"/>
  <c r="X462" i="18"/>
  <c r="X461" i="18" l="1"/>
  <c r="I89" i="63" l="1"/>
  <c r="I90" i="63"/>
  <c r="I91" i="63"/>
  <c r="I92" i="63"/>
  <c r="I88" i="63"/>
  <c r="H21" i="67"/>
  <c r="G21" i="67"/>
  <c r="E20" i="67"/>
  <c r="F20" i="67" s="1"/>
  <c r="E19" i="67"/>
  <c r="F19" i="67" s="1"/>
  <c r="G18" i="67"/>
  <c r="H18" i="67" s="1"/>
  <c r="E18" i="67"/>
  <c r="F18" i="67" s="1"/>
  <c r="E17" i="67"/>
  <c r="F17" i="67" s="1"/>
  <c r="H7" i="67"/>
  <c r="H6" i="67"/>
  <c r="G20" i="67"/>
  <c r="H20" i="67" s="1"/>
  <c r="H5" i="67"/>
  <c r="E5" i="67"/>
  <c r="F5" i="67" s="1"/>
  <c r="E4" i="67"/>
  <c r="F4" i="67" s="1"/>
  <c r="G3" i="67"/>
  <c r="H3" i="67" s="1"/>
  <c r="E3" i="67"/>
  <c r="F3" i="67" s="1"/>
  <c r="I11" i="63"/>
  <c r="I12" i="63"/>
  <c r="I13" i="63"/>
  <c r="I14" i="63"/>
  <c r="I15" i="63"/>
  <c r="I16" i="63"/>
  <c r="I17" i="63"/>
  <c r="I18" i="63"/>
  <c r="I19" i="63"/>
  <c r="I20" i="63"/>
  <c r="I21" i="63"/>
  <c r="I5" i="63"/>
  <c r="I6" i="63"/>
  <c r="I4" i="63"/>
  <c r="I2" i="63"/>
  <c r="I3" i="63"/>
  <c r="I1" i="63"/>
  <c r="G17" i="67" l="1"/>
  <c r="H17" i="67" s="1"/>
  <c r="X460" i="18" l="1"/>
  <c r="X459" i="18" l="1"/>
  <c r="X458" i="18"/>
  <c r="X457" i="18" l="1"/>
  <c r="AM246" i="18"/>
  <c r="AM245" i="18" s="1"/>
  <c r="B72" i="65" l="1"/>
  <c r="C15" i="65"/>
  <c r="I15" i="65" s="1"/>
  <c r="J15" i="65" s="1"/>
  <c r="C14" i="65"/>
  <c r="I14" i="65" s="1"/>
  <c r="J14" i="65" s="1"/>
  <c r="C11" i="65"/>
  <c r="I11" i="65" s="1"/>
  <c r="J11" i="65" s="1"/>
  <c r="C2" i="65"/>
  <c r="I2" i="65" s="1"/>
  <c r="J2" i="65" s="1"/>
  <c r="C12" i="65"/>
  <c r="I12" i="65" s="1"/>
  <c r="J12" i="65" s="1"/>
  <c r="C6" i="65"/>
  <c r="I6" i="65" s="1"/>
  <c r="J6" i="65" s="1"/>
  <c r="C21" i="65"/>
  <c r="I21" i="65" s="1"/>
  <c r="J21" i="65" s="1"/>
  <c r="C20" i="65"/>
  <c r="I20" i="65" s="1"/>
  <c r="J20" i="65" s="1"/>
  <c r="C4" i="65"/>
  <c r="I4" i="65" s="1"/>
  <c r="J4" i="65" s="1"/>
  <c r="C5" i="65"/>
  <c r="I5" i="65" s="1"/>
  <c r="J5" i="65" s="1"/>
  <c r="C18" i="65"/>
  <c r="I18" i="65" s="1"/>
  <c r="J18" i="65" s="1"/>
  <c r="C29" i="65"/>
  <c r="I29" i="65" s="1"/>
  <c r="J29" i="65" s="1"/>
  <c r="C26" i="65"/>
  <c r="I26" i="65" s="1"/>
  <c r="J26" i="65" s="1"/>
  <c r="C9" i="65"/>
  <c r="I9" i="65" s="1"/>
  <c r="J9" i="65" s="1"/>
  <c r="C42" i="65"/>
  <c r="C7" i="65"/>
  <c r="I7" i="65" s="1"/>
  <c r="J7" i="65" s="1"/>
  <c r="C40" i="65"/>
  <c r="C36" i="65"/>
  <c r="C38" i="65"/>
  <c r="C19" i="65"/>
  <c r="I19" i="65" s="1"/>
  <c r="J19" i="65" s="1"/>
  <c r="C10" i="65"/>
  <c r="I10" i="65" s="1"/>
  <c r="J10" i="65" s="1"/>
  <c r="C83" i="65"/>
  <c r="C27" i="65"/>
  <c r="I27" i="65" s="1"/>
  <c r="J27" i="65" s="1"/>
  <c r="C8" i="65"/>
  <c r="I8" i="65" s="1"/>
  <c r="J8" i="65" s="1"/>
  <c r="C23" i="65"/>
  <c r="I23" i="65" s="1"/>
  <c r="J23" i="65" s="1"/>
  <c r="C39" i="65"/>
  <c r="C17" i="65"/>
  <c r="I17" i="65" s="1"/>
  <c r="J17" i="65" s="1"/>
  <c r="C44" i="65"/>
  <c r="C31" i="65"/>
  <c r="I31" i="65" s="1"/>
  <c r="J31" i="65" s="1"/>
  <c r="C13" i="65"/>
  <c r="I13" i="65" s="1"/>
  <c r="J13" i="65" s="1"/>
  <c r="C43" i="65"/>
  <c r="C16" i="65"/>
  <c r="I16" i="65" s="1"/>
  <c r="J16" i="65" s="1"/>
  <c r="C22" i="65"/>
  <c r="I22" i="65" s="1"/>
  <c r="J22" i="65" s="1"/>
  <c r="C47" i="65"/>
  <c r="C30" i="65"/>
  <c r="I30" i="65" s="1"/>
  <c r="J30" i="65" s="1"/>
  <c r="C35" i="65"/>
  <c r="C55" i="65"/>
  <c r="C32" i="65"/>
  <c r="I32" i="65" s="1"/>
  <c r="J32" i="65" s="1"/>
  <c r="C25" i="65"/>
  <c r="I25" i="65" s="1"/>
  <c r="J25" i="65" s="1"/>
  <c r="C52" i="65"/>
  <c r="C51" i="65"/>
  <c r="C28" i="65"/>
  <c r="I28" i="65" s="1"/>
  <c r="J28" i="65" s="1"/>
  <c r="C33" i="65"/>
  <c r="I33" i="65" s="1"/>
  <c r="J33" i="65" s="1"/>
  <c r="C37" i="65"/>
  <c r="C34" i="65"/>
  <c r="C54" i="65"/>
  <c r="C41" i="65"/>
  <c r="C84" i="65"/>
  <c r="C45" i="65"/>
  <c r="C48" i="65"/>
  <c r="C61" i="65"/>
  <c r="C53" i="65"/>
  <c r="C46" i="65"/>
  <c r="C50" i="65"/>
  <c r="C64" i="65"/>
  <c r="C49" i="65"/>
  <c r="C60" i="65"/>
  <c r="C24" i="65"/>
  <c r="I24" i="65" s="1"/>
  <c r="J24" i="65" s="1"/>
  <c r="C57" i="65"/>
  <c r="C58" i="65"/>
  <c r="C63" i="65"/>
  <c r="C62" i="65"/>
  <c r="C66" i="65"/>
  <c r="C56" i="65"/>
  <c r="C65" i="65"/>
  <c r="C68" i="65"/>
  <c r="C67" i="65"/>
  <c r="C69" i="65"/>
  <c r="C70" i="65"/>
  <c r="C59" i="65"/>
  <c r="C3" i="65"/>
  <c r="I3" i="65" l="1"/>
  <c r="J3" i="65" s="1"/>
  <c r="T229" i="18"/>
  <c r="X456" i="18" l="1"/>
  <c r="X455" i="18" l="1"/>
  <c r="N35" i="18"/>
  <c r="M79" i="18" s="1"/>
  <c r="N56" i="18"/>
  <c r="X453" i="18" l="1"/>
  <c r="AK505" i="18" l="1"/>
  <c r="X452" i="18" l="1"/>
  <c r="X451" i="18"/>
  <c r="X450" i="18"/>
  <c r="X454" i="18"/>
  <c r="X449" i="18"/>
  <c r="X448" i="18"/>
  <c r="P37" i="18"/>
  <c r="N37" i="18" s="1"/>
  <c r="N57" i="18"/>
  <c r="X368" i="18"/>
  <c r="T100" i="18" l="1"/>
  <c r="D2" i="60" l="1"/>
  <c r="X447" i="18" l="1"/>
  <c r="X446" i="18" l="1"/>
  <c r="X445" i="18"/>
  <c r="AM244" i="18"/>
  <c r="AM243" i="18" s="1"/>
  <c r="AM242" i="18" s="1"/>
  <c r="X444" i="18" l="1"/>
  <c r="X443" i="18" l="1"/>
  <c r="G21" i="63"/>
  <c r="H21" i="63"/>
  <c r="N22" i="63" s="1"/>
  <c r="J21" i="63" l="1"/>
  <c r="K21" i="63" s="1"/>
  <c r="G88" i="63"/>
  <c r="H88" i="63"/>
  <c r="J88" i="63" s="1"/>
  <c r="K88" i="63" s="1"/>
  <c r="X440" i="18" l="1"/>
  <c r="X441" i="18"/>
  <c r="X442" i="18"/>
  <c r="X439" i="18" l="1"/>
  <c r="G20" i="63" l="1"/>
  <c r="H20" i="63"/>
  <c r="J20" i="63" l="1"/>
  <c r="K20" i="63" s="1"/>
  <c r="N21" i="63"/>
  <c r="X438" i="18"/>
  <c r="X437" i="18" l="1"/>
  <c r="G19" i="63"/>
  <c r="H19" i="63"/>
  <c r="G18" i="63"/>
  <c r="H18" i="63"/>
  <c r="J18" i="63" l="1"/>
  <c r="K18" i="63" s="1"/>
  <c r="N19" i="63"/>
  <c r="J19" i="63"/>
  <c r="K19" i="63" s="1"/>
  <c r="G48" i="10" l="1"/>
  <c r="G17" i="63" l="1"/>
  <c r="H17" i="63"/>
  <c r="J17" i="63" l="1"/>
  <c r="K17" i="63" s="1"/>
  <c r="N18" i="63"/>
  <c r="B68" i="60"/>
  <c r="B65" i="60"/>
  <c r="G16" i="63" l="1"/>
  <c r="H16" i="63"/>
  <c r="J16" i="63" l="1"/>
  <c r="K16" i="63" s="1"/>
  <c r="X436" i="18"/>
  <c r="N17" i="63" l="1"/>
  <c r="G14" i="63"/>
  <c r="H14" i="63"/>
  <c r="G15" i="63"/>
  <c r="H15" i="63"/>
  <c r="X435" i="18"/>
  <c r="G12" i="63"/>
  <c r="H12" i="63"/>
  <c r="G13" i="63"/>
  <c r="H13" i="63"/>
  <c r="N14" i="63" l="1"/>
  <c r="J14" i="63"/>
  <c r="K14" i="63" s="1"/>
  <c r="N15" i="63"/>
  <c r="J15" i="63"/>
  <c r="K15" i="63" s="1"/>
  <c r="N16" i="63"/>
  <c r="N13" i="63"/>
  <c r="J13" i="63"/>
  <c r="K13" i="63" s="1"/>
  <c r="J12" i="63"/>
  <c r="K12" i="63" s="1"/>
  <c r="X434" i="18"/>
  <c r="W145" i="18" l="1"/>
  <c r="U142" i="18" s="1"/>
  <c r="X433" i="18"/>
  <c r="G11" i="63"/>
  <c r="U141" i="18" l="1"/>
  <c r="U139" i="18"/>
  <c r="U140" i="18"/>
  <c r="P40" i="18"/>
  <c r="G4" i="67" s="1"/>
  <c r="X432" i="18"/>
  <c r="H4" i="67" l="1"/>
  <c r="H10" i="67" s="1"/>
  <c r="G19" i="67"/>
  <c r="H19" i="67" s="1"/>
  <c r="H23" i="67" s="1"/>
  <c r="X431" i="18"/>
  <c r="E26" i="67" l="1"/>
  <c r="H1" i="63"/>
  <c r="J1" i="63" l="1"/>
  <c r="K1" i="63" s="1"/>
  <c r="X428" i="18" l="1"/>
  <c r="X427" i="18" l="1"/>
  <c r="H11" i="63" l="1"/>
  <c r="J11" i="63" s="1"/>
  <c r="K11" i="63" s="1"/>
  <c r="N12" i="63" l="1"/>
  <c r="F58" i="60"/>
  <c r="G57" i="60" s="1"/>
  <c r="G90" i="63" l="1"/>
  <c r="H90" i="63"/>
  <c r="J90" i="63" s="1"/>
  <c r="K90" i="63" s="1"/>
  <c r="G91" i="63"/>
  <c r="H91" i="63"/>
  <c r="J91" i="63" s="1"/>
  <c r="G92" i="63"/>
  <c r="H92" i="63"/>
  <c r="G89" i="63"/>
  <c r="H89" i="63"/>
  <c r="J89" i="63" s="1"/>
  <c r="K89" i="63" s="1"/>
  <c r="X426" i="18"/>
  <c r="J92" i="63" l="1"/>
  <c r="K92" i="63" s="1"/>
  <c r="K91" i="63"/>
  <c r="X425" i="18" l="1"/>
  <c r="G5" i="63"/>
  <c r="H5" i="63"/>
  <c r="G6" i="63"/>
  <c r="H6" i="63"/>
  <c r="G2" i="63"/>
  <c r="H2" i="63"/>
  <c r="G3" i="63"/>
  <c r="H3" i="63"/>
  <c r="J6" i="63" l="1"/>
  <c r="K6" i="63" s="1"/>
  <c r="N7" i="63"/>
  <c r="J2" i="63"/>
  <c r="K2" i="63" s="1"/>
  <c r="J3" i="63"/>
  <c r="K3" i="63" s="1"/>
  <c r="J5" i="63"/>
  <c r="K5" i="63" s="1"/>
  <c r="N6" i="63"/>
  <c r="N3" i="63"/>
  <c r="X424" i="18"/>
  <c r="X423" i="18" l="1"/>
  <c r="O473" i="52" l="1"/>
  <c r="J473" i="52"/>
  <c r="X418" i="18" l="1"/>
  <c r="X419" i="18"/>
  <c r="X420" i="18"/>
  <c r="X421" i="18"/>
  <c r="X422" i="18"/>
  <c r="X429" i="18"/>
  <c r="X430" i="18"/>
  <c r="AM504" i="18"/>
  <c r="AM503" i="18" s="1"/>
  <c r="O472" i="52"/>
  <c r="J472" i="52"/>
  <c r="AM502" i="18" l="1"/>
  <c r="AN503" i="18"/>
  <c r="AN504" i="18"/>
  <c r="AN502" i="18" l="1"/>
  <c r="AM501" i="18"/>
  <c r="AM475" i="18"/>
  <c r="X417" i="18"/>
  <c r="X416" i="18"/>
  <c r="X415" i="18"/>
  <c r="X414" i="18"/>
  <c r="X413" i="18"/>
  <c r="J468" i="52"/>
  <c r="O468" i="52"/>
  <c r="AM500" i="18" l="1"/>
  <c r="AN501" i="18"/>
  <c r="AM474" i="18"/>
  <c r="AN475" i="18"/>
  <c r="G4" i="63"/>
  <c r="H4" i="63"/>
  <c r="N20" i="63" s="1"/>
  <c r="AM499" i="18" l="1"/>
  <c r="AN500" i="18"/>
  <c r="J4" i="63"/>
  <c r="K4" i="63" s="1"/>
  <c r="N5" i="63"/>
  <c r="AN474" i="18"/>
  <c r="AM473" i="18"/>
  <c r="AM498" i="18" l="1"/>
  <c r="AN499" i="18"/>
  <c r="AM472" i="18"/>
  <c r="AN473" i="18"/>
  <c r="AN498" i="18" l="1"/>
  <c r="AM497" i="18"/>
  <c r="AN472" i="18"/>
  <c r="AM471" i="18"/>
  <c r="O465" i="52"/>
  <c r="AM496" i="18" l="1"/>
  <c r="AN497" i="18"/>
  <c r="AM470" i="18"/>
  <c r="AN471" i="18"/>
  <c r="AM495" i="18" l="1"/>
  <c r="AN496" i="18"/>
  <c r="AN470" i="18"/>
  <c r="AM469"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AM494" i="18" l="1"/>
  <c r="AN495" i="18"/>
  <c r="P547" i="52"/>
  <c r="P519" i="52"/>
  <c r="P475" i="52"/>
  <c r="P506" i="52"/>
  <c r="AM468" i="18"/>
  <c r="AN469"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N494" i="18" l="1"/>
  <c r="AM493" i="18"/>
  <c r="AN468" i="18"/>
  <c r="AM467" i="18"/>
  <c r="X407" i="18"/>
  <c r="X408" i="18"/>
  <c r="X409" i="18"/>
  <c r="X410" i="18"/>
  <c r="X411" i="18"/>
  <c r="X412" i="18"/>
  <c r="AM492" i="18" l="1"/>
  <c r="AN493" i="18"/>
  <c r="AM466" i="18"/>
  <c r="AN466" i="18" s="1"/>
  <c r="AN467" i="18"/>
  <c r="O454" i="52"/>
  <c r="J454" i="52"/>
  <c r="AM491" i="18" l="1"/>
  <c r="AN492" i="18"/>
  <c r="X406" i="18"/>
  <c r="AM490" i="18" l="1"/>
  <c r="AN491" i="18"/>
  <c r="AN490" i="18" l="1"/>
  <c r="AM489" i="18"/>
  <c r="X405" i="18"/>
  <c r="X404" i="18"/>
  <c r="AM488" i="18" l="1"/>
  <c r="AN489" i="18"/>
  <c r="X403" i="18"/>
  <c r="X402" i="18"/>
  <c r="AN488" i="18" l="1"/>
  <c r="AM487" i="18"/>
  <c r="X401" i="18"/>
  <c r="AN487" i="18" l="1"/>
  <c r="AM486" i="18"/>
  <c r="X400" i="18"/>
  <c r="AN486" i="18" l="1"/>
  <c r="AM485" i="18"/>
  <c r="X399" i="18"/>
  <c r="AM484" i="18" l="1"/>
  <c r="AN485" i="18"/>
  <c r="X398" i="18"/>
  <c r="AN484" i="18" l="1"/>
  <c r="AM483" i="18"/>
  <c r="X397" i="18"/>
  <c r="AM482" i="18" l="1"/>
  <c r="AN483" i="18"/>
  <c r="X396" i="18"/>
  <c r="AN482" i="18" l="1"/>
  <c r="AM481" i="18"/>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X395" i="18"/>
  <c r="AM480" i="18" l="1"/>
  <c r="AN481" i="18"/>
  <c r="P454" i="52"/>
  <c r="P456" i="52"/>
  <c r="P460" i="52"/>
  <c r="P453" i="52"/>
  <c r="P449" i="52"/>
  <c r="P445" i="52"/>
  <c r="P461" i="52"/>
  <c r="P452" i="52"/>
  <c r="P448" i="52"/>
  <c r="P459" i="52"/>
  <c r="P450" i="52"/>
  <c r="P446" i="52"/>
  <c r="P442" i="52"/>
  <c r="P457" i="52"/>
  <c r="P455" i="52"/>
  <c r="P451" i="52"/>
  <c r="P447" i="52"/>
  <c r="P462" i="52"/>
  <c r="P458" i="52"/>
  <c r="P444" i="52"/>
  <c r="P443" i="52"/>
  <c r="X394" i="18"/>
  <c r="AN480" i="18" l="1"/>
  <c r="AM479" i="18"/>
  <c r="X393" i="18"/>
  <c r="AM478" i="18" l="1"/>
  <c r="AN479" i="18"/>
  <c r="X392" i="18"/>
  <c r="AM477" i="18" l="1"/>
  <c r="AN478" i="18"/>
  <c r="X391" i="18"/>
  <c r="AN477" i="18" l="1"/>
  <c r="AM476" i="18"/>
  <c r="AN476" i="18" s="1"/>
  <c r="X390" i="18"/>
  <c r="G1" i="63" l="1"/>
  <c r="N2" i="63" l="1"/>
  <c r="X389" i="18"/>
  <c r="X388" i="18" l="1"/>
  <c r="X387" i="18" l="1"/>
  <c r="X386" i="18" l="1"/>
  <c r="X385" i="18" l="1"/>
  <c r="X384" i="18" l="1"/>
  <c r="X383" i="18" l="1"/>
  <c r="X379" i="18" l="1"/>
  <c r="X382" i="18"/>
  <c r="X381" i="18" l="1"/>
  <c r="X380" i="18" l="1"/>
  <c r="X378" i="18" l="1"/>
  <c r="X377" i="18" l="1"/>
  <c r="X375" i="18" l="1"/>
  <c r="X374" i="18"/>
  <c r="X373" i="18"/>
  <c r="X370" i="18"/>
  <c r="X371" i="18"/>
  <c r="X372" i="18"/>
  <c r="X369" i="18"/>
  <c r="X376" i="18"/>
  <c r="X367" i="18" l="1"/>
  <c r="X366" i="18" l="1"/>
  <c r="X365" i="18" l="1"/>
  <c r="X364" i="18" l="1"/>
  <c r="X363" i="18" l="1"/>
  <c r="X362" i="18" l="1"/>
  <c r="X361" i="18"/>
  <c r="R36"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X360"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X359" i="18"/>
  <c r="X358" i="18" l="1"/>
  <c r="X357" i="18" l="1"/>
  <c r="X356" i="18" l="1"/>
  <c r="X355" i="18" l="1"/>
  <c r="X354" i="18"/>
  <c r="X353" i="18"/>
  <c r="X352" i="18"/>
  <c r="X351" i="18" l="1"/>
  <c r="X350" i="18" l="1"/>
  <c r="Q36" i="63" l="1"/>
  <c r="AN278" i="18" l="1"/>
  <c r="AN247" i="18" l="1"/>
  <c r="AN246" i="18" l="1"/>
  <c r="AN245" i="18" l="1"/>
  <c r="AN244" i="18" l="1"/>
  <c r="Q390" i="52"/>
  <c r="O390" i="52"/>
  <c r="J390" i="52"/>
  <c r="AN243" i="18" l="1"/>
  <c r="X349" i="18"/>
  <c r="AM241" i="18" l="1"/>
  <c r="AN242" i="18"/>
  <c r="AM240" i="18" l="1"/>
  <c r="AN241" i="18"/>
  <c r="X348" i="18"/>
  <c r="AM239" i="18" l="1"/>
  <c r="AN240" i="18"/>
  <c r="X347" i="18"/>
  <c r="AM238" i="18" l="1"/>
  <c r="AN239" i="18"/>
  <c r="AM237" i="18" l="1"/>
  <c r="AN238" i="18"/>
  <c r="AM236" i="18" l="1"/>
  <c r="AN237" i="18"/>
  <c r="G55" i="10"/>
  <c r="G56" i="10"/>
  <c r="G57" i="10"/>
  <c r="G58" i="10"/>
  <c r="G59" i="10"/>
  <c r="G60" i="10"/>
  <c r="G61" i="10"/>
  <c r="G62" i="10"/>
  <c r="G63" i="10"/>
  <c r="G64" i="10"/>
  <c r="G65" i="10"/>
  <c r="G66" i="10"/>
  <c r="G67" i="10"/>
  <c r="G68" i="10"/>
  <c r="G69" i="10"/>
  <c r="G70" i="10"/>
  <c r="G71" i="10"/>
  <c r="G72" i="10"/>
  <c r="G54" i="10"/>
  <c r="AM235" i="18" l="1"/>
  <c r="AN236" i="18"/>
  <c r="X346" i="18"/>
  <c r="X345" i="18"/>
  <c r="X344" i="18"/>
  <c r="X343" i="18"/>
  <c r="X342" i="18"/>
  <c r="AM234" i="18" l="1"/>
  <c r="AN235" i="18"/>
  <c r="AM233" i="18" l="1"/>
  <c r="AN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M232" i="18"/>
  <c r="AN233" i="18"/>
  <c r="P395" i="52"/>
  <c r="P394" i="52"/>
  <c r="P393" i="52"/>
  <c r="P392" i="52"/>
  <c r="P383" i="52"/>
  <c r="P391" i="52"/>
  <c r="P390" i="52"/>
  <c r="P389" i="52"/>
  <c r="P388" i="52"/>
  <c r="P387" i="52"/>
  <c r="P386" i="52"/>
  <c r="P385" i="52"/>
  <c r="P382" i="52"/>
  <c r="P384" i="52"/>
  <c r="P381" i="52"/>
  <c r="P380" i="52"/>
  <c r="P379" i="52"/>
  <c r="P378" i="52"/>
  <c r="P377" i="52"/>
  <c r="AM231" i="18" l="1"/>
  <c r="AN232" i="18"/>
  <c r="X337" i="18"/>
  <c r="X338" i="18"/>
  <c r="X339" i="18"/>
  <c r="X340" i="18"/>
  <c r="X341" i="18"/>
  <c r="AM230" i="18" l="1"/>
  <c r="AN231" i="18"/>
  <c r="X336" i="18"/>
  <c r="AM229" i="18" l="1"/>
  <c r="AN230" i="18"/>
  <c r="X335" i="18"/>
  <c r="AM228" i="18" l="1"/>
  <c r="AN229" i="18"/>
  <c r="X334"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X333" i="18"/>
  <c r="P374" i="52" l="1"/>
  <c r="AM227" i="18"/>
  <c r="AN228" i="18"/>
  <c r="P375" i="52"/>
  <c r="P376" i="52"/>
  <c r="P368" i="52"/>
  <c r="P373" i="52"/>
  <c r="P372" i="52"/>
  <c r="P371" i="52"/>
  <c r="P370" i="52"/>
  <c r="P369" i="52"/>
  <c r="X332" i="18"/>
  <c r="AM226" i="18" l="1"/>
  <c r="AN227" i="18"/>
  <c r="AM225" i="18" l="1"/>
  <c r="AN226" i="18"/>
  <c r="AM224" i="18" l="1"/>
  <c r="AN225" i="18"/>
  <c r="AM223" i="18" l="1"/>
  <c r="AN224" i="18"/>
  <c r="X331" i="18"/>
  <c r="AM222" i="18" l="1"/>
  <c r="AN223" i="18"/>
  <c r="O362" i="52"/>
  <c r="J362" i="52"/>
  <c r="AM221" i="18" l="1"/>
  <c r="AN222" i="18"/>
  <c r="AM220" i="18" l="1"/>
  <c r="AN221" i="18"/>
  <c r="AM465" i="18"/>
  <c r="AM219" i="18" l="1"/>
  <c r="AN220" i="18"/>
  <c r="AM464" i="18"/>
  <c r="AN465" i="18"/>
  <c r="M144" i="18"/>
  <c r="L144" i="18"/>
  <c r="AM218" i="18" l="1"/>
  <c r="AN219" i="18"/>
  <c r="AN464" i="18"/>
  <c r="AM463" i="18"/>
  <c r="M359" i="52"/>
  <c r="M360" i="52" s="1"/>
  <c r="X330" i="18"/>
  <c r="AM217" i="18" l="1"/>
  <c r="AN218" i="18"/>
  <c r="AM462" i="18"/>
  <c r="AN463" i="18"/>
  <c r="X329" i="18"/>
  <c r="AM216" i="18" l="1"/>
  <c r="AN217" i="18"/>
  <c r="AN462" i="18"/>
  <c r="AM461" i="18"/>
  <c r="X328" i="18"/>
  <c r="AM215" i="18" l="1"/>
  <c r="AN216" i="18"/>
  <c r="AM460" i="18"/>
  <c r="AN461" i="18"/>
  <c r="M143" i="18"/>
  <c r="L143" i="18"/>
  <c r="X327" i="18"/>
  <c r="AM214" i="18" l="1"/>
  <c r="AN214" i="18" s="1"/>
  <c r="AN215" i="18"/>
  <c r="AN460" i="18"/>
  <c r="AM459" i="18"/>
  <c r="X326" i="18"/>
  <c r="AM458" i="18" l="1"/>
  <c r="AN459" i="18"/>
  <c r="X325" i="18"/>
  <c r="AN458" i="18" l="1"/>
  <c r="AM457" i="18"/>
  <c r="AM456" i="18" l="1"/>
  <c r="AN457" i="18"/>
  <c r="M142" i="18"/>
  <c r="L142" i="18"/>
  <c r="AN456" i="18" l="1"/>
  <c r="AM455" i="18"/>
  <c r="M141" i="18"/>
  <c r="L141" i="18"/>
  <c r="AM454" i="18" l="1"/>
  <c r="AN455" i="18"/>
  <c r="L138" i="18"/>
  <c r="M138" i="18"/>
  <c r="L139" i="18"/>
  <c r="M139" i="18"/>
  <c r="L140" i="18"/>
  <c r="M140" i="18"/>
  <c r="L147" i="18"/>
  <c r="M147" i="18"/>
  <c r="AN454" i="18" l="1"/>
  <c r="AM453" i="18"/>
  <c r="O348" i="52"/>
  <c r="X324" i="18"/>
  <c r="AM452" i="18" l="1"/>
  <c r="AN453" i="18"/>
  <c r="X323" i="18"/>
  <c r="J347" i="52"/>
  <c r="AN452" i="18" l="1"/>
  <c r="AM451" i="18"/>
  <c r="L137" i="18"/>
  <c r="M137" i="18"/>
  <c r="M136" i="18"/>
  <c r="L136" i="18"/>
  <c r="X322" i="18"/>
  <c r="AN451" i="18" l="1"/>
  <c r="AM450" i="18"/>
  <c r="X321" i="18"/>
  <c r="AN450" i="18" l="1"/>
  <c r="AM449" i="18"/>
  <c r="AM448" i="18" l="1"/>
  <c r="AN449" i="18"/>
  <c r="AM447" i="18" l="1"/>
  <c r="AN448" i="18"/>
  <c r="X320" i="18" l="1"/>
  <c r="X319" i="18" l="1"/>
  <c r="X318" i="18" l="1"/>
  <c r="X317" i="18" l="1"/>
  <c r="N348" i="52"/>
  <c r="X316"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36" i="18" l="1"/>
  <c r="N36" i="18" s="1"/>
  <c r="N54" i="18" l="1"/>
  <c r="D77" i="60" l="1"/>
  <c r="F77" i="60" s="1"/>
  <c r="D76" i="60"/>
  <c r="F76" i="60" s="1"/>
  <c r="J319" i="52" l="1"/>
  <c r="O319" i="52" l="1"/>
  <c r="X297" i="18" l="1"/>
  <c r="X315"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34"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X314" i="18"/>
  <c r="D418" i="15" l="1"/>
  <c r="F419" i="15"/>
  <c r="F418" i="15" l="1"/>
  <c r="D417" i="15"/>
  <c r="X313" i="18"/>
  <c r="O305" i="52"/>
  <c r="J305" i="52"/>
  <c r="D416" i="15" l="1"/>
  <c r="F417" i="15"/>
  <c r="D415" i="15" l="1"/>
  <c r="F416" i="15"/>
  <c r="X312" i="18"/>
  <c r="O302" i="52"/>
  <c r="F415" i="15" l="1"/>
  <c r="D414" i="15"/>
  <c r="D413" i="15" l="1"/>
  <c r="F414" i="15"/>
  <c r="D412" i="15" l="1"/>
  <c r="F413" i="15"/>
  <c r="X311" i="18"/>
  <c r="O301" i="52"/>
  <c r="F412" i="15" l="1"/>
  <c r="D411" i="15"/>
  <c r="D410" i="15" l="1"/>
  <c r="F411" i="15"/>
  <c r="X310" i="18"/>
  <c r="X309" i="18"/>
  <c r="J300" i="52"/>
  <c r="F410" i="15" l="1"/>
  <c r="D409" i="15"/>
  <c r="X308" i="18"/>
  <c r="O299" i="52"/>
  <c r="X307" i="18"/>
  <c r="X306" i="18"/>
  <c r="D408" i="15" l="1"/>
  <c r="F409" i="15"/>
  <c r="X305" i="18"/>
  <c r="X304" i="18"/>
  <c r="X303" i="18"/>
  <c r="N41" i="18"/>
  <c r="O298" i="52"/>
  <c r="D407" i="15" l="1"/>
  <c r="F408" i="15"/>
  <c r="J298" i="52"/>
  <c r="F407" i="15" l="1"/>
  <c r="D406" i="15"/>
  <c r="O297" i="52"/>
  <c r="X302" i="18"/>
  <c r="X301" i="18"/>
  <c r="X300" i="18"/>
  <c r="D405" i="15" l="1"/>
  <c r="F406" i="15"/>
  <c r="X299" i="18"/>
  <c r="J296" i="52"/>
  <c r="D404" i="15" l="1"/>
  <c r="F405" i="15"/>
  <c r="J295" i="52"/>
  <c r="F404" i="15" l="1"/>
  <c r="D403" i="15"/>
  <c r="X298" i="18"/>
  <c r="D402" i="15" l="1"/>
  <c r="F403" i="15"/>
  <c r="O296" i="52"/>
  <c r="B422" i="15"/>
  <c r="L16" i="18" s="1"/>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78" i="18"/>
  <c r="O290" i="52"/>
  <c r="O288" i="52"/>
  <c r="F399" i="15" l="1"/>
  <c r="D398" i="15"/>
  <c r="L9" i="62"/>
  <c r="N8" i="62"/>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X296"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X295"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X294" i="18"/>
  <c r="D388" i="15" l="1"/>
  <c r="F389" i="15"/>
  <c r="J275" i="52"/>
  <c r="F388" i="15" l="1"/>
  <c r="D387" i="15"/>
  <c r="X293" i="18"/>
  <c r="D386" i="15" l="1"/>
  <c r="F387" i="15"/>
  <c r="J274" i="52"/>
  <c r="F386" i="15" l="1"/>
  <c r="D385" i="15"/>
  <c r="X292"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X291" i="18"/>
  <c r="X290"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X289"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X288" i="18"/>
  <c r="X287" i="18"/>
  <c r="X286" i="18"/>
  <c r="D364" i="15" l="1"/>
  <c r="F365" i="15"/>
  <c r="O223" i="52"/>
  <c r="X285" i="18"/>
  <c r="F364" i="15" l="1"/>
  <c r="D363" i="15"/>
  <c r="J222" i="52"/>
  <c r="X284" i="18"/>
  <c r="D362" i="15" l="1"/>
  <c r="F363" i="15"/>
  <c r="X283" i="18"/>
  <c r="X282" i="18"/>
  <c r="D361" i="15" l="1"/>
  <c r="F362" i="15"/>
  <c r="O220" i="52"/>
  <c r="F361" i="15" l="1"/>
  <c r="D360" i="15"/>
  <c r="X281" i="18"/>
  <c r="X280"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X279"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X278" i="18"/>
  <c r="F348" i="15" l="1"/>
  <c r="D347" i="15"/>
  <c r="O210" i="52"/>
  <c r="D346" i="15" l="1"/>
  <c r="F347" i="15"/>
  <c r="J210" i="52"/>
  <c r="D345" i="15" l="1"/>
  <c r="F346" i="15"/>
  <c r="J209" i="52"/>
  <c r="O208" i="52"/>
  <c r="J208" i="52"/>
  <c r="D344" i="15" l="1"/>
  <c r="F345" i="15"/>
  <c r="X277" i="18"/>
  <c r="F344" i="15" l="1"/>
  <c r="D343" i="15"/>
  <c r="O207" i="52"/>
  <c r="J207" i="52"/>
  <c r="X276" i="18"/>
  <c r="D342" i="15" l="1"/>
  <c r="F343" i="15"/>
  <c r="X275" i="18"/>
  <c r="D341" i="15" l="1"/>
  <c r="F342" i="15"/>
  <c r="X274" i="18"/>
  <c r="D340" i="15" l="1"/>
  <c r="F341" i="15"/>
  <c r="O204" i="52"/>
  <c r="F340" i="15" l="1"/>
  <c r="D339" i="15"/>
  <c r="J203" i="52"/>
  <c r="X273"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X272" i="18"/>
  <c r="X271" i="18"/>
  <c r="X270" i="18"/>
  <c r="J202" i="52"/>
  <c r="D336" i="15" l="1"/>
  <c r="F337" i="15"/>
  <c r="X269" i="18"/>
  <c r="J201" i="52"/>
  <c r="X268" i="18"/>
  <c r="F336" i="15" l="1"/>
  <c r="D335" i="15"/>
  <c r="J200" i="52"/>
  <c r="D334" i="15" l="1"/>
  <c r="F335" i="15"/>
  <c r="X267" i="18"/>
  <c r="F334" i="15" l="1"/>
  <c r="D333" i="15"/>
  <c r="D332" i="15" l="1"/>
  <c r="F333" i="15"/>
  <c r="F61" i="60"/>
  <c r="G60" i="60" s="1"/>
  <c r="F62" i="60"/>
  <c r="G61" i="60" s="1"/>
  <c r="F63" i="60"/>
  <c r="G62" i="60" s="1"/>
  <c r="F64" i="60"/>
  <c r="G63" i="60" s="1"/>
  <c r="F59" i="60"/>
  <c r="G58" i="60" s="1"/>
  <c r="F60" i="60"/>
  <c r="G59"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X266" i="18"/>
  <c r="F330" i="15" l="1"/>
  <c r="D329" i="15"/>
  <c r="D328" i="15" l="1"/>
  <c r="F329" i="15"/>
  <c r="X265" i="18"/>
  <c r="D327" i="15" l="1"/>
  <c r="F328" i="15"/>
  <c r="AM213" i="18" l="1"/>
  <c r="F327" i="15"/>
  <c r="D326" i="15"/>
  <c r="AM212" i="18" l="1"/>
  <c r="AN213" i="18"/>
  <c r="F326" i="15"/>
  <c r="D325" i="15"/>
  <c r="J195" i="52"/>
  <c r="O195" i="52"/>
  <c r="J194" i="52"/>
  <c r="X264" i="18"/>
  <c r="AM211" i="18" l="1"/>
  <c r="AN212" i="18"/>
  <c r="F325" i="15"/>
  <c r="D324" i="15"/>
  <c r="N194" i="52"/>
  <c r="X263" i="18"/>
  <c r="X262" i="18"/>
  <c r="AM210" i="18" l="1"/>
  <c r="AN211" i="18"/>
  <c r="F324" i="15"/>
  <c r="D323" i="15"/>
  <c r="X261" i="18"/>
  <c r="AN210" i="18" l="1"/>
  <c r="AM209" i="18"/>
  <c r="F323" i="15"/>
  <c r="D322" i="15"/>
  <c r="S136" i="18"/>
  <c r="T136" i="18" s="1"/>
  <c r="AM208" i="18" l="1"/>
  <c r="AN209" i="18"/>
  <c r="F322" i="15"/>
  <c r="D321" i="15"/>
  <c r="X260" i="18"/>
  <c r="AN208" i="18" l="1"/>
  <c r="AM207" i="18"/>
  <c r="F321" i="15"/>
  <c r="D320" i="15"/>
  <c r="X259" i="18"/>
  <c r="O190" i="52"/>
  <c r="J190" i="52"/>
  <c r="AM206" i="18" l="1"/>
  <c r="AN207" i="18"/>
  <c r="F320" i="15"/>
  <c r="D319" i="15"/>
  <c r="X258" i="18"/>
  <c r="AN206" i="18" l="1"/>
  <c r="AM205" i="18"/>
  <c r="F319" i="15"/>
  <c r="D318" i="15"/>
  <c r="N60" i="18"/>
  <c r="N52" i="18"/>
  <c r="M76" i="18" l="1"/>
  <c r="AN205" i="18"/>
  <c r="AM204" i="18"/>
  <c r="F318" i="15"/>
  <c r="D317" i="15"/>
  <c r="O187" i="52"/>
  <c r="X257" i="18"/>
  <c r="AN204" i="18" l="1"/>
  <c r="AM203" i="18"/>
  <c r="F317" i="15"/>
  <c r="D316" i="15"/>
  <c r="J186" i="52"/>
  <c r="X256" i="18"/>
  <c r="X244" i="18"/>
  <c r="X243" i="18"/>
  <c r="AN203" i="18" l="1"/>
  <c r="AM202" i="18"/>
  <c r="F316" i="15"/>
  <c r="D315" i="15"/>
  <c r="J185" i="52"/>
  <c r="X255" i="18"/>
  <c r="AN202" i="18" l="1"/>
  <c r="AM201" i="18"/>
  <c r="F315" i="15"/>
  <c r="D314" i="15"/>
  <c r="AM200" i="18" l="1"/>
  <c r="AN201" i="18"/>
  <c r="F314" i="15"/>
  <c r="D313" i="15"/>
  <c r="AM199" i="18" l="1"/>
  <c r="AN200" i="18"/>
  <c r="F313" i="15"/>
  <c r="D312" i="15"/>
  <c r="N181" i="52"/>
  <c r="AM198" i="18" l="1"/>
  <c r="AN199" i="18"/>
  <c r="F312" i="15"/>
  <c r="D311" i="15"/>
  <c r="X254" i="18"/>
  <c r="B8" i="36"/>
  <c r="AM197" i="18" l="1"/>
  <c r="AN198" i="18"/>
  <c r="F311" i="15"/>
  <c r="D310" i="15"/>
  <c r="O178" i="52"/>
  <c r="J178" i="52"/>
  <c r="AN197" i="18" l="1"/>
  <c r="AM196" i="18"/>
  <c r="F310" i="15"/>
  <c r="D309" i="15"/>
  <c r="N55" i="18"/>
  <c r="X253" i="18"/>
  <c r="O177" i="52"/>
  <c r="J177" i="52"/>
  <c r="G126" i="18" l="1"/>
  <c r="G127" i="18" s="1"/>
  <c r="M77" i="18"/>
  <c r="AN196" i="18"/>
  <c r="AM195" i="18"/>
  <c r="F309" i="15"/>
  <c r="D308" i="15"/>
  <c r="O176" i="52"/>
  <c r="J176" i="52"/>
  <c r="AN195" i="18" l="1"/>
  <c r="AM194" i="18"/>
  <c r="F308" i="15"/>
  <c r="D307" i="15"/>
  <c r="F307" i="15" s="1"/>
  <c r="AN194" i="18" l="1"/>
  <c r="AM193" i="18"/>
  <c r="J174" i="52"/>
  <c r="X252" i="18"/>
  <c r="AN193" i="18" l="1"/>
  <c r="AM192" i="18"/>
  <c r="J168" i="52"/>
  <c r="O168" i="52"/>
  <c r="X251" i="18"/>
  <c r="AN192" i="18" l="1"/>
  <c r="AM191" i="18"/>
  <c r="AN191" i="18" s="1"/>
  <c r="O167" i="52"/>
  <c r="X250" i="18"/>
  <c r="O166" i="52" l="1"/>
  <c r="X249" i="18"/>
  <c r="X248" i="18" l="1"/>
  <c r="O165" i="52"/>
  <c r="J165" i="52"/>
  <c r="AM446" i="18" l="1"/>
  <c r="AN447" i="18"/>
  <c r="O162" i="52"/>
  <c r="J162" i="52"/>
  <c r="X247" i="18"/>
  <c r="AM445" i="18" l="1"/>
  <c r="AN446"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444" i="18" l="1"/>
  <c r="AN445" i="18"/>
  <c r="P202" i="52"/>
  <c r="P203" i="52"/>
  <c r="P204" i="52"/>
  <c r="P201" i="52"/>
  <c r="P200" i="52"/>
  <c r="P190" i="52"/>
  <c r="P187" i="52"/>
  <c r="P177" i="52"/>
  <c r="P186" i="52"/>
  <c r="P185" i="52"/>
  <c r="P176" i="52"/>
  <c r="P162" i="52"/>
  <c r="P166" i="52"/>
  <c r="P174" i="52"/>
  <c r="P168" i="52"/>
  <c r="P165" i="52"/>
  <c r="P167" i="52"/>
  <c r="O160" i="52"/>
  <c r="J160" i="52"/>
  <c r="N160" i="52"/>
  <c r="AN444" i="18" l="1"/>
  <c r="AM443" i="18"/>
  <c r="X246" i="18"/>
  <c r="AM442" i="18" l="1"/>
  <c r="AN443" i="18"/>
  <c r="X245" i="18"/>
  <c r="AN442" i="18" l="1"/>
  <c r="AM441" i="18"/>
  <c r="AM190" i="18"/>
  <c r="AM440" i="18" l="1"/>
  <c r="AN441" i="18"/>
  <c r="AM189" i="18"/>
  <c r="AN190" i="18"/>
  <c r="N159" i="52"/>
  <c r="P160" i="52" s="1"/>
  <c r="X242" i="18"/>
  <c r="AM439" i="18" l="1"/>
  <c r="AN440" i="18"/>
  <c r="AN189" i="18"/>
  <c r="AM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N439" i="18" l="1"/>
  <c r="AM438" i="18"/>
  <c r="AM187" i="18"/>
  <c r="AN188" i="18"/>
  <c r="AN438" i="18" l="1"/>
  <c r="AM437" i="18"/>
  <c r="AN187" i="18"/>
  <c r="AM186" i="18"/>
  <c r="J151" i="52"/>
  <c r="AM436" i="18" l="1"/>
  <c r="AN437" i="18"/>
  <c r="AM185" i="18"/>
  <c r="AN186" i="18"/>
  <c r="X241" i="18"/>
  <c r="X240" i="18"/>
  <c r="O150" i="52"/>
  <c r="AM435" i="18" l="1"/>
  <c r="AN436" i="18"/>
  <c r="AN185" i="18"/>
  <c r="AM184" i="18"/>
  <c r="AM434" i="18" l="1"/>
  <c r="AN435" i="18"/>
  <c r="AM183" i="18"/>
  <c r="AN184" i="18"/>
  <c r="Q146" i="52"/>
  <c r="J146" i="52"/>
  <c r="X239"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N434" i="18" l="1"/>
  <c r="AM433" i="18"/>
  <c r="AN183" i="18"/>
  <c r="AM182" i="18"/>
  <c r="P151" i="52"/>
  <c r="P150" i="52"/>
  <c r="P157" i="52"/>
  <c r="P148" i="52"/>
  <c r="P158" i="52"/>
  <c r="P156" i="52"/>
  <c r="P155" i="52"/>
  <c r="P154" i="52"/>
  <c r="P153" i="52"/>
  <c r="P152" i="52"/>
  <c r="P149" i="52"/>
  <c r="P147" i="52"/>
  <c r="O145" i="52"/>
  <c r="J145" i="52"/>
  <c r="J144" i="52"/>
  <c r="J143" i="52"/>
  <c r="AN433" i="18" l="1"/>
  <c r="AM432" i="18"/>
  <c r="AM181" i="18"/>
  <c r="AN182" i="18"/>
  <c r="X238" i="18"/>
  <c r="AN432" i="18" l="1"/>
  <c r="AM431" i="18"/>
  <c r="AN181" i="18"/>
  <c r="AM180" i="18"/>
  <c r="X237" i="18"/>
  <c r="AM430" i="18" l="1"/>
  <c r="AN431" i="18"/>
  <c r="AN180" i="18"/>
  <c r="AM179" i="18"/>
  <c r="O142" i="52"/>
  <c r="J142" i="52"/>
  <c r="X236" i="18"/>
  <c r="AM429" i="18" l="1"/>
  <c r="AN430" i="18"/>
  <c r="AN179" i="18"/>
  <c r="AM178" i="18"/>
  <c r="AN178" i="18" s="1"/>
  <c r="O140" i="52"/>
  <c r="J140" i="52"/>
  <c r="X235" i="18"/>
  <c r="AN429" i="18" l="1"/>
  <c r="AM428" i="18"/>
  <c r="X234" i="18"/>
  <c r="X233" i="18"/>
  <c r="O139" i="52"/>
  <c r="J139" i="52"/>
  <c r="AN428" i="18" l="1"/>
  <c r="AM427" i="18"/>
  <c r="X232" i="18"/>
  <c r="AN427" i="18" l="1"/>
  <c r="AM426" i="18"/>
  <c r="AN426" i="18" l="1"/>
  <c r="AM425" i="18"/>
  <c r="M41" i="52"/>
  <c r="AN425" i="18" l="1"/>
  <c r="AM424" i="18"/>
  <c r="O135" i="52"/>
  <c r="J135" i="52"/>
  <c r="AN424" i="18" l="1"/>
  <c r="AM423" i="18"/>
  <c r="AM422" i="18" l="1"/>
  <c r="AN423" i="18"/>
  <c r="X231" i="18"/>
  <c r="AM421" i="18" l="1"/>
  <c r="AN422" i="18"/>
  <c r="O132" i="52"/>
  <c r="X230" i="18"/>
  <c r="AN421" i="18" l="1"/>
  <c r="AM420" i="18"/>
  <c r="O131" i="52"/>
  <c r="AM419" i="18" l="1"/>
  <c r="AN420" i="18"/>
  <c r="O130" i="52"/>
  <c r="O129" i="52"/>
  <c r="X229" i="18"/>
  <c r="X228" i="18"/>
  <c r="AM418" i="18" l="1"/>
  <c r="AN419" i="18"/>
  <c r="N129" i="52"/>
  <c r="AM417" i="18" l="1"/>
  <c r="AN418" i="18"/>
  <c r="O127" i="52"/>
  <c r="AM416" i="18" l="1"/>
  <c r="AN417" i="18"/>
  <c r="J126" i="52"/>
  <c r="O126" i="52"/>
  <c r="X227" i="18"/>
  <c r="AN416" i="18" l="1"/>
  <c r="AM415" i="18"/>
  <c r="O125" i="52"/>
  <c r="J125" i="52"/>
  <c r="AN415" i="18" l="1"/>
  <c r="AM414" i="18"/>
  <c r="X226" i="18"/>
  <c r="AM413" i="18" l="1"/>
  <c r="AN414"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X225" i="18"/>
  <c r="AM412" i="18" l="1"/>
  <c r="AN413"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411" i="18" l="1"/>
  <c r="AN412" i="18"/>
  <c r="X224" i="18"/>
  <c r="AN411" i="18" l="1"/>
  <c r="AM410" i="18"/>
  <c r="AN410" i="18" l="1"/>
  <c r="AM409" i="18"/>
  <c r="O121" i="52"/>
  <c r="J121" i="52"/>
  <c r="X223" i="18"/>
  <c r="AM408" i="18" l="1"/>
  <c r="AN409" i="18"/>
  <c r="X222" i="18"/>
  <c r="J120" i="52"/>
  <c r="AN408" i="18" l="1"/>
  <c r="AM407" i="18"/>
  <c r="AM406" i="18" l="1"/>
  <c r="AN407" i="18"/>
  <c r="O117" i="52"/>
  <c r="AN406" i="18" l="1"/>
  <c r="AM405" i="18"/>
  <c r="O116" i="52"/>
  <c r="N116" i="52"/>
  <c r="AN405" i="18" l="1"/>
  <c r="AM404" i="18"/>
  <c r="X221" i="18"/>
  <c r="AM403" i="18" l="1"/>
  <c r="AN404"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N403" i="18" l="1"/>
  <c r="AM402" i="18"/>
  <c r="AM401" i="18" l="1"/>
  <c r="AN402" i="18"/>
  <c r="AM400" i="18" l="1"/>
  <c r="AN401" i="18"/>
  <c r="AN400" i="18" l="1"/>
  <c r="AM399" i="18"/>
  <c r="O112" i="52"/>
  <c r="AM398" i="18" l="1"/>
  <c r="AN399"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N398" i="18" l="1"/>
  <c r="AM397" i="18"/>
  <c r="P120" i="52"/>
  <c r="P121" i="52"/>
  <c r="D305" i="15"/>
  <c r="F305" i="15" s="1"/>
  <c r="P112" i="52"/>
  <c r="P113" i="52"/>
  <c r="P118" i="52"/>
  <c r="P122" i="52"/>
  <c r="P119" i="52"/>
  <c r="P114" i="52"/>
  <c r="P115" i="52"/>
  <c r="O110" i="52"/>
  <c r="AM396" i="18" l="1"/>
  <c r="AN397" i="18"/>
  <c r="D304" i="15"/>
  <c r="F304" i="15" s="1"/>
  <c r="X220" i="18"/>
  <c r="J108" i="52"/>
  <c r="AN396" i="18" l="1"/>
  <c r="AM395" i="18"/>
  <c r="D303" i="15"/>
  <c r="F303" i="15" s="1"/>
  <c r="X219" i="18"/>
  <c r="X218" i="18"/>
  <c r="AN395" i="18" l="1"/>
  <c r="AM394" i="18"/>
  <c r="D302" i="15"/>
  <c r="F302" i="15" s="1"/>
  <c r="O106" i="52"/>
  <c r="J106" i="52"/>
  <c r="AM393" i="18" l="1"/>
  <c r="AN394" i="18"/>
  <c r="D301" i="15"/>
  <c r="F301" i="15" s="1"/>
  <c r="J104" i="52"/>
  <c r="E276" i="15"/>
  <c r="E277" i="15"/>
  <c r="E278" i="15"/>
  <c r="E279" i="15"/>
  <c r="E280" i="15"/>
  <c r="AM392" i="18" l="1"/>
  <c r="AN393" i="18"/>
  <c r="D300" i="15"/>
  <c r="F300" i="15" s="1"/>
  <c r="X217" i="18"/>
  <c r="AM391" i="18" l="1"/>
  <c r="AN392" i="18"/>
  <c r="D299" i="15"/>
  <c r="F299" i="15" s="1"/>
  <c r="AM390" i="18" l="1"/>
  <c r="AN391" i="18"/>
  <c r="D298" i="15"/>
  <c r="F298" i="15" s="1"/>
  <c r="D9" i="60"/>
  <c r="X216" i="18"/>
  <c r="D10" i="60" l="1"/>
  <c r="H12" i="60" s="1"/>
  <c r="AN390" i="18"/>
  <c r="AM389" i="18"/>
  <c r="D297" i="15"/>
  <c r="F297" i="15" s="1"/>
  <c r="D3" i="59"/>
  <c r="D4" i="59"/>
  <c r="D5" i="59"/>
  <c r="D6" i="59"/>
  <c r="D7" i="59"/>
  <c r="D8" i="59"/>
  <c r="D9" i="59"/>
  <c r="D10" i="59"/>
  <c r="D11" i="59"/>
  <c r="D12" i="59"/>
  <c r="D13" i="59"/>
  <c r="D14" i="59"/>
  <c r="D15" i="59"/>
  <c r="D16" i="59"/>
  <c r="D17" i="59"/>
  <c r="D18" i="59"/>
  <c r="D19" i="59"/>
  <c r="D20" i="59"/>
  <c r="D21" i="59"/>
  <c r="D2" i="59"/>
  <c r="AN389" i="18" l="1"/>
  <c r="AM388" i="18"/>
  <c r="D296" i="15"/>
  <c r="F296" i="15" s="1"/>
  <c r="AM387" i="18" l="1"/>
  <c r="AN388" i="18"/>
  <c r="D295" i="15"/>
  <c r="F295" i="15" s="1"/>
  <c r="AN387" i="18" l="1"/>
  <c r="AM386"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N386" i="18" l="1"/>
  <c r="AM385" i="18"/>
  <c r="P108" i="52"/>
  <c r="D293" i="15"/>
  <c r="F293" i="15" s="1"/>
  <c r="P111" i="52"/>
  <c r="P110" i="52"/>
  <c r="P106" i="52"/>
  <c r="P104" i="52"/>
  <c r="P107" i="52"/>
  <c r="P105" i="52"/>
  <c r="P99" i="52"/>
  <c r="P109" i="52"/>
  <c r="P103" i="52"/>
  <c r="P102" i="52"/>
  <c r="P101" i="52"/>
  <c r="P100" i="52"/>
  <c r="AM384" i="18" l="1"/>
  <c r="AN385" i="18"/>
  <c r="D292" i="15"/>
  <c r="F292" i="15" s="1"/>
  <c r="J90" i="52"/>
  <c r="J95" i="52"/>
  <c r="X215" i="18"/>
  <c r="AM383" i="18" l="1"/>
  <c r="AN384" i="18"/>
  <c r="D291" i="15"/>
  <c r="F291" i="15" s="1"/>
  <c r="F51" i="14"/>
  <c r="F52" i="14"/>
  <c r="F53" i="14"/>
  <c r="F54" i="14"/>
  <c r="F55" i="14"/>
  <c r="F56" i="14"/>
  <c r="F57" i="14"/>
  <c r="F58" i="14"/>
  <c r="F59" i="14"/>
  <c r="F60" i="14"/>
  <c r="F61" i="14"/>
  <c r="AM382" i="18" l="1"/>
  <c r="AN383" i="18"/>
  <c r="D290" i="15"/>
  <c r="F290" i="15" s="1"/>
  <c r="N92" i="52"/>
  <c r="O92" i="52"/>
  <c r="N93" i="52"/>
  <c r="O93" i="52"/>
  <c r="N94" i="52"/>
  <c r="O94" i="52"/>
  <c r="N95" i="52"/>
  <c r="O95" i="52"/>
  <c r="N96" i="52"/>
  <c r="O96" i="52"/>
  <c r="N97" i="52"/>
  <c r="O97" i="52"/>
  <c r="J92" i="52"/>
  <c r="J93" i="52"/>
  <c r="J94" i="52"/>
  <c r="J96" i="52"/>
  <c r="AM381" i="18" l="1"/>
  <c r="AN382" i="18"/>
  <c r="D289" i="15"/>
  <c r="F289" i="15" s="1"/>
  <c r="P97" i="52"/>
  <c r="P98" i="52"/>
  <c r="P95" i="52"/>
  <c r="P96" i="52"/>
  <c r="P94" i="52"/>
  <c r="P93" i="52"/>
  <c r="N91" i="52"/>
  <c r="P92" i="52" s="1"/>
  <c r="AM380" i="18" l="1"/>
  <c r="AN381" i="18"/>
  <c r="D288" i="15"/>
  <c r="F288" i="15" s="1"/>
  <c r="U584" i="18"/>
  <c r="X214" i="18"/>
  <c r="X213" i="18"/>
  <c r="X212" i="18"/>
  <c r="M48" i="52"/>
  <c r="M47" i="52"/>
  <c r="N38" i="52"/>
  <c r="N37" i="52"/>
  <c r="M49" i="52"/>
  <c r="N50" i="52" s="1"/>
  <c r="AM379" i="18" l="1"/>
  <c r="AN380" i="18"/>
  <c r="D287" i="15"/>
  <c r="F287" i="15" s="1"/>
  <c r="N49" i="52"/>
  <c r="X211" i="18"/>
  <c r="AN379" i="18" l="1"/>
  <c r="AM378" i="18"/>
  <c r="D286" i="15"/>
  <c r="F286" i="15" s="1"/>
  <c r="AM377" i="18" l="1"/>
  <c r="AN378" i="18"/>
  <c r="D285" i="15"/>
  <c r="F285" i="15" s="1"/>
  <c r="X210" i="18"/>
  <c r="AM376" i="18" l="1"/>
  <c r="AN377" i="18"/>
  <c r="D284" i="15"/>
  <c r="F284" i="15" s="1"/>
  <c r="O90" i="52"/>
  <c r="O91" i="52"/>
  <c r="J91" i="52"/>
  <c r="AN376" i="18" l="1"/>
  <c r="AM375" i="18"/>
  <c r="D283" i="15"/>
  <c r="F283" i="15" s="1"/>
  <c r="N87" i="52"/>
  <c r="J87" i="52"/>
  <c r="O87" i="52"/>
  <c r="D347" i="20"/>
  <c r="D346" i="20"/>
  <c r="L33"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X209" i="18"/>
  <c r="AN375" i="18" l="1"/>
  <c r="AM374" i="18"/>
  <c r="D282" i="15"/>
  <c r="F282" i="15" s="1"/>
  <c r="G32" i="57"/>
  <c r="H32" i="57"/>
  <c r="D32" i="57"/>
  <c r="I32" i="57" s="1"/>
  <c r="D345" i="20"/>
  <c r="X208" i="18"/>
  <c r="X207" i="18"/>
  <c r="AN374" i="18" l="1"/>
  <c r="AM373"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N373" i="18" l="1"/>
  <c r="AM372" i="18"/>
  <c r="D280" i="15"/>
  <c r="F280" i="15" s="1"/>
  <c r="C46" i="56"/>
  <c r="B46" i="56"/>
  <c r="AN372" i="18" l="1"/>
  <c r="AM371" i="18"/>
  <c r="D279" i="15"/>
  <c r="F279" i="15" s="1"/>
  <c r="O84" i="52"/>
  <c r="X206" i="18"/>
  <c r="D343" i="20"/>
  <c r="AM370" i="18" l="1"/>
  <c r="AN371" i="18"/>
  <c r="D278" i="15"/>
  <c r="F278" i="15" s="1"/>
  <c r="X205" i="18"/>
  <c r="D342" i="20"/>
  <c r="J83" i="52"/>
  <c r="O83" i="52"/>
  <c r="X204" i="18"/>
  <c r="X203" i="18"/>
  <c r="F44" i="14"/>
  <c r="F45" i="14"/>
  <c r="F46" i="14"/>
  <c r="F47" i="14"/>
  <c r="F48" i="14"/>
  <c r="F49" i="14"/>
  <c r="F50" i="14"/>
  <c r="D341" i="20"/>
  <c r="AM369" i="18" l="1"/>
  <c r="AN370" i="18"/>
  <c r="D277" i="15"/>
  <c r="F277" i="15" s="1"/>
  <c r="AN369" i="18" l="1"/>
  <c r="AM368" i="18"/>
  <c r="D276" i="15"/>
  <c r="F276" i="15" s="1"/>
  <c r="X202" i="18"/>
  <c r="AM367" i="18" l="1"/>
  <c r="AN368" i="18"/>
  <c r="D340" i="20"/>
  <c r="X201" i="18"/>
  <c r="H337" i="20"/>
  <c r="H338" i="20"/>
  <c r="H339" i="20"/>
  <c r="H340" i="20"/>
  <c r="H341" i="20"/>
  <c r="H368" i="20"/>
  <c r="H369" i="20"/>
  <c r="D339" i="20"/>
  <c r="AM366" i="18" l="1"/>
  <c r="AN367" i="18"/>
  <c r="B371" i="20"/>
  <c r="D332" i="20"/>
  <c r="D333" i="20"/>
  <c r="D334" i="20"/>
  <c r="D335" i="20"/>
  <c r="D336" i="20"/>
  <c r="D337" i="20"/>
  <c r="D338" i="20"/>
  <c r="D369" i="20"/>
  <c r="AM365" i="18" l="1"/>
  <c r="AN366" i="18"/>
  <c r="X200" i="18"/>
  <c r="D80" i="57"/>
  <c r="AM364" i="18" l="1"/>
  <c r="AN365" i="18"/>
  <c r="G46" i="10"/>
  <c r="AM363" i="18" l="1"/>
  <c r="AN364" i="18"/>
  <c r="D331" i="20"/>
  <c r="AM362" i="18" l="1"/>
  <c r="AN363" i="18"/>
  <c r="D330" i="20"/>
  <c r="AM361" i="18" l="1"/>
  <c r="AN362" i="18"/>
  <c r="X199" i="18"/>
  <c r="X198" i="18"/>
  <c r="AM360" i="18" l="1"/>
  <c r="AN361" i="18"/>
  <c r="D329" i="20"/>
  <c r="AN360" i="18" l="1"/>
  <c r="AM359" i="18"/>
  <c r="L47" i="52"/>
  <c r="AN359" i="18" l="1"/>
  <c r="AM358" i="18"/>
  <c r="AN358" i="18" l="1"/>
  <c r="AM357" i="18"/>
  <c r="D328" i="20"/>
  <c r="D327" i="20"/>
  <c r="AM356" i="18" l="1"/>
  <c r="AN357"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N356" i="18" l="1"/>
  <c r="AM355" i="18"/>
  <c r="P83" i="52"/>
  <c r="P91" i="52"/>
  <c r="P90" i="52"/>
  <c r="P82" i="52"/>
  <c r="P89" i="52"/>
  <c r="P88" i="52"/>
  <c r="P84" i="52"/>
  <c r="P80" i="52"/>
  <c r="P85" i="52"/>
  <c r="P81" i="52"/>
  <c r="P79" i="52"/>
  <c r="P86" i="52"/>
  <c r="P78" i="52"/>
  <c r="P77" i="52"/>
  <c r="P76" i="52"/>
  <c r="P75" i="52"/>
  <c r="AM354" i="18" l="1"/>
  <c r="AN355" i="18"/>
  <c r="D326" i="20"/>
  <c r="D325" i="20"/>
  <c r="AN354" i="18" l="1"/>
  <c r="AM353" i="18"/>
  <c r="H320" i="20"/>
  <c r="H321" i="20"/>
  <c r="H322" i="20"/>
  <c r="H323" i="20"/>
  <c r="H324" i="20"/>
  <c r="H325" i="20"/>
  <c r="H326" i="20"/>
  <c r="H327" i="20"/>
  <c r="H328" i="20"/>
  <c r="H329" i="20"/>
  <c r="H330" i="20"/>
  <c r="H331" i="20"/>
  <c r="H332" i="20"/>
  <c r="H333" i="20"/>
  <c r="H334" i="20"/>
  <c r="H335" i="20"/>
  <c r="H336" i="20"/>
  <c r="D324" i="20"/>
  <c r="D323" i="20"/>
  <c r="D322" i="20"/>
  <c r="D321" i="20"/>
  <c r="AM352" i="18" l="1"/>
  <c r="AN353" i="18"/>
  <c r="D320" i="20"/>
  <c r="D319" i="20"/>
  <c r="AM351" i="18" l="1"/>
  <c r="AN352" i="18"/>
  <c r="D318" i="20"/>
  <c r="D317" i="20"/>
  <c r="AM350" i="18" l="1"/>
  <c r="AN351" i="18"/>
  <c r="X197" i="18"/>
  <c r="X196" i="18"/>
  <c r="AM349" i="18" l="1"/>
  <c r="AN350" i="18"/>
  <c r="S159" i="18"/>
  <c r="O69" i="52"/>
  <c r="O70" i="52"/>
  <c r="O71" i="52"/>
  <c r="O72" i="52"/>
  <c r="O73" i="52"/>
  <c r="O68" i="52"/>
  <c r="J66" i="52"/>
  <c r="J67" i="52"/>
  <c r="J68" i="52"/>
  <c r="J69" i="52"/>
  <c r="J70" i="52"/>
  <c r="J71" i="52"/>
  <c r="J72" i="52"/>
  <c r="J73" i="52"/>
  <c r="J74" i="52"/>
  <c r="J65" i="52"/>
  <c r="N69" i="52"/>
  <c r="N70" i="52"/>
  <c r="N71" i="52"/>
  <c r="N72" i="52"/>
  <c r="N73" i="52"/>
  <c r="P74" i="52" s="1"/>
  <c r="N68" i="52"/>
  <c r="P68" i="52" s="1"/>
  <c r="AN349" i="18" l="1"/>
  <c r="AM348" i="18"/>
  <c r="P70" i="52"/>
  <c r="P71" i="52"/>
  <c r="P69" i="52"/>
  <c r="P73" i="52"/>
  <c r="P72" i="52"/>
  <c r="X195" i="18"/>
  <c r="X194" i="18"/>
  <c r="N36" i="52"/>
  <c r="N35" i="52"/>
  <c r="Q42" i="52"/>
  <c r="AM347" i="18" l="1"/>
  <c r="AN348" i="18"/>
  <c r="X193" i="18"/>
  <c r="X192" i="18"/>
  <c r="N34" i="52"/>
  <c r="N33" i="52"/>
  <c r="P42" i="52"/>
  <c r="AM346" i="18" l="1"/>
  <c r="AN347" i="18"/>
  <c r="D316" i="20"/>
  <c r="AM345" i="18" l="1"/>
  <c r="AN346"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N345" i="18" l="1"/>
  <c r="AM344" i="18"/>
  <c r="D315" i="20"/>
  <c r="D314" i="20"/>
  <c r="AM343" i="18" l="1"/>
  <c r="AN344" i="18"/>
  <c r="X191" i="18"/>
  <c r="X190" i="18"/>
  <c r="N32" i="52"/>
  <c r="N31" i="52"/>
  <c r="AM342" i="18" l="1"/>
  <c r="AN342" i="18" s="1"/>
  <c r="AN343" i="18"/>
  <c r="X189" i="18"/>
  <c r="X188" i="18"/>
  <c r="N30" i="52"/>
  <c r="N29" i="52"/>
  <c r="X187" i="18" l="1"/>
  <c r="X186" i="18"/>
  <c r="N28" i="52"/>
  <c r="N27" i="52"/>
  <c r="AM341" i="18" l="1"/>
  <c r="D313" i="20"/>
  <c r="AM340" i="18" l="1"/>
  <c r="AN341" i="18"/>
  <c r="L83" i="18"/>
  <c r="L79" i="18" l="1"/>
  <c r="N79" i="18" s="1"/>
  <c r="L80" i="18"/>
  <c r="N80" i="18" s="1"/>
  <c r="L78" i="18"/>
  <c r="N78" i="18" s="1"/>
  <c r="M83" i="18"/>
  <c r="AN340" i="18"/>
  <c r="AM339" i="18"/>
  <c r="L75" i="18"/>
  <c r="X185" i="18"/>
  <c r="X184" i="18"/>
  <c r="N24" i="52"/>
  <c r="N26" i="52"/>
  <c r="N25" i="52"/>
  <c r="AM338" i="18" l="1"/>
  <c r="AN339" i="18"/>
  <c r="L77" i="18"/>
  <c r="D312" i="20"/>
  <c r="D311" i="20"/>
  <c r="D310" i="20"/>
  <c r="H370" i="20"/>
  <c r="G370" i="20"/>
  <c r="G369" i="20" s="1"/>
  <c r="H319" i="20"/>
  <c r="H318" i="20"/>
  <c r="H317" i="20"/>
  <c r="H316" i="20"/>
  <c r="H315" i="20"/>
  <c r="H314" i="20"/>
  <c r="H313" i="20"/>
  <c r="H312" i="20"/>
  <c r="H311" i="20"/>
  <c r="H310" i="20"/>
  <c r="H309" i="20"/>
  <c r="G368" i="20" l="1"/>
  <c r="J369" i="20"/>
  <c r="I369" i="20"/>
  <c r="K369" i="20"/>
  <c r="AN338" i="18"/>
  <c r="AM337" i="18"/>
  <c r="I370" i="20"/>
  <c r="J370" i="20"/>
  <c r="X183" i="18"/>
  <c r="X182" i="18"/>
  <c r="N23" i="52"/>
  <c r="N22" i="52"/>
  <c r="I368" i="20" l="1"/>
  <c r="G367" i="20"/>
  <c r="J368" i="20"/>
  <c r="K368" i="20"/>
  <c r="AM336" i="18"/>
  <c r="AN337" i="18"/>
  <c r="X181" i="18"/>
  <c r="X180" i="18"/>
  <c r="N21" i="52"/>
  <c r="N20" i="52"/>
  <c r="G366" i="20" l="1"/>
  <c r="I367" i="20"/>
  <c r="K367" i="20"/>
  <c r="J367" i="20"/>
  <c r="AM335" i="18"/>
  <c r="AN336" i="18"/>
  <c r="D309" i="20"/>
  <c r="J366" i="20" l="1"/>
  <c r="K366" i="20"/>
  <c r="I366" i="20"/>
  <c r="G365" i="20"/>
  <c r="AM334" i="18"/>
  <c r="AN335" i="18"/>
  <c r="D308" i="20"/>
  <c r="G364" i="20" l="1"/>
  <c r="I365" i="20"/>
  <c r="J365" i="20"/>
  <c r="K365" i="20"/>
  <c r="AM333" i="18"/>
  <c r="AN334" i="18"/>
  <c r="D307" i="20"/>
  <c r="I364" i="20" l="1"/>
  <c r="J364" i="20"/>
  <c r="K364" i="20"/>
  <c r="G363" i="20"/>
  <c r="AM332" i="18"/>
  <c r="AN333" i="18"/>
  <c r="AM177" i="18" l="1"/>
  <c r="G362" i="20"/>
  <c r="I363" i="20"/>
  <c r="J363" i="20"/>
  <c r="K363" i="20"/>
  <c r="AM331" i="18"/>
  <c r="AN332" i="18"/>
  <c r="X179" i="18"/>
  <c r="X178" i="18"/>
  <c r="AM176" i="18" l="1"/>
  <c r="AN177" i="18"/>
  <c r="K362" i="20"/>
  <c r="G361" i="20"/>
  <c r="I362" i="20"/>
  <c r="J362" i="20"/>
  <c r="AM330" i="18"/>
  <c r="AN331" i="18"/>
  <c r="AM175" i="18" l="1"/>
  <c r="AN176" i="18"/>
  <c r="I361" i="20"/>
  <c r="G360" i="20"/>
  <c r="J361" i="20"/>
  <c r="K361" i="20"/>
  <c r="AM329" i="18"/>
  <c r="AN330" i="18"/>
  <c r="AM174" i="18" l="1"/>
  <c r="AN175" i="18"/>
  <c r="I360" i="20"/>
  <c r="K360" i="20"/>
  <c r="G359" i="20"/>
  <c r="J360" i="20"/>
  <c r="AM328" i="18"/>
  <c r="AN329" i="18"/>
  <c r="D306" i="20"/>
  <c r="AM173" i="18" l="1"/>
  <c r="AN174" i="18"/>
  <c r="G358" i="20"/>
  <c r="J359" i="20"/>
  <c r="K359" i="20"/>
  <c r="I359" i="20"/>
  <c r="AM327" i="18"/>
  <c r="AN328" i="18"/>
  <c r="D305" i="20"/>
  <c r="AM172" i="18" l="1"/>
  <c r="AN173" i="18"/>
  <c r="K358" i="20"/>
  <c r="I358" i="20"/>
  <c r="G357" i="20"/>
  <c r="J358" i="20"/>
  <c r="AM326" i="18"/>
  <c r="AN327" i="18"/>
  <c r="AM171" i="18" l="1"/>
  <c r="AN172" i="18"/>
  <c r="I357" i="20"/>
  <c r="J357" i="20"/>
  <c r="G356" i="20"/>
  <c r="K357" i="20"/>
  <c r="AN326" i="18"/>
  <c r="AM325" i="18"/>
  <c r="D304" i="20"/>
  <c r="X177" i="18"/>
  <c r="X176" i="18"/>
  <c r="N17" i="52"/>
  <c r="N16" i="52"/>
  <c r="AM170" i="18" l="1"/>
  <c r="AN171" i="18"/>
  <c r="I356" i="20"/>
  <c r="G355" i="20"/>
  <c r="J356" i="20"/>
  <c r="K356" i="20"/>
  <c r="L76" i="18"/>
  <c r="AM169" i="18" l="1"/>
  <c r="AM168" i="18" s="1"/>
  <c r="AN170" i="18"/>
  <c r="J355" i="20"/>
  <c r="I355" i="20"/>
  <c r="G354" i="20"/>
  <c r="K355" i="20"/>
  <c r="X175" i="18"/>
  <c r="X174" i="18"/>
  <c r="D303" i="20"/>
  <c r="D302" i="20"/>
  <c r="X173" i="18"/>
  <c r="AM167" i="18" l="1"/>
  <c r="AN168" i="18"/>
  <c r="AN169" i="18"/>
  <c r="K354" i="20"/>
  <c r="J354" i="20"/>
  <c r="G353" i="20"/>
  <c r="I354" i="20"/>
  <c r="D301" i="20"/>
  <c r="D300" i="20"/>
  <c r="D299" i="20"/>
  <c r="AN167" i="18" l="1"/>
  <c r="AM166" i="18"/>
  <c r="I353" i="20"/>
  <c r="G352" i="20"/>
  <c r="J353" i="20"/>
  <c r="K353" i="20"/>
  <c r="D298" i="20"/>
  <c r="AN166" i="18" l="1"/>
  <c r="AM165" i="18"/>
  <c r="I352" i="20"/>
  <c r="K352" i="20"/>
  <c r="G351" i="20"/>
  <c r="J352" i="20"/>
  <c r="H297" i="20"/>
  <c r="H298" i="20"/>
  <c r="H299" i="20"/>
  <c r="H300" i="20"/>
  <c r="H301" i="20"/>
  <c r="H302" i="20"/>
  <c r="H303" i="20"/>
  <c r="H304" i="20"/>
  <c r="H305" i="20"/>
  <c r="H306" i="20"/>
  <c r="H307" i="20"/>
  <c r="H308" i="20"/>
  <c r="C371" i="20"/>
  <c r="D297" i="20"/>
  <c r="AN165" i="18" l="1"/>
  <c r="AM164" i="18"/>
  <c r="G350" i="20"/>
  <c r="J351" i="20"/>
  <c r="K351" i="20"/>
  <c r="I351" i="20"/>
  <c r="X171" i="18"/>
  <c r="AM163" i="18" l="1"/>
  <c r="AN164" i="18"/>
  <c r="I350" i="20"/>
  <c r="J350" i="20"/>
  <c r="K350" i="20"/>
  <c r="G349" i="20"/>
  <c r="D296" i="20"/>
  <c r="D295" i="20"/>
  <c r="AN163" i="18" l="1"/>
  <c r="AM162" i="18"/>
  <c r="K349" i="20"/>
  <c r="I349" i="20"/>
  <c r="J349" i="20"/>
  <c r="G348" i="20"/>
  <c r="X170" i="18"/>
  <c r="X169" i="18"/>
  <c r="L11" i="52"/>
  <c r="L10" i="52"/>
  <c r="AM324" i="18"/>
  <c r="AM323" i="18" s="1"/>
  <c r="AM322"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M161" i="18" l="1"/>
  <c r="AN162" i="18"/>
  <c r="I348" i="20"/>
  <c r="G347" i="20"/>
  <c r="J348" i="20"/>
  <c r="K348" i="20"/>
  <c r="AN325" i="18"/>
  <c r="AN324" i="18"/>
  <c r="AN323" i="18"/>
  <c r="X168" i="18"/>
  <c r="X167" i="18"/>
  <c r="AN161" i="18" l="1"/>
  <c r="AM160" i="18"/>
  <c r="G346" i="20"/>
  <c r="J347" i="20"/>
  <c r="I347" i="20"/>
  <c r="K347" i="20"/>
  <c r="D293" i="20"/>
  <c r="AM159" i="18" l="1"/>
  <c r="AN160" i="18"/>
  <c r="K346" i="20"/>
  <c r="G345" i="20"/>
  <c r="J346" i="20"/>
  <c r="I346" i="20"/>
  <c r="X166" i="18"/>
  <c r="AN159" i="18" l="1"/>
  <c r="AM158" i="18"/>
  <c r="K345" i="20"/>
  <c r="G344" i="20"/>
  <c r="J345" i="20"/>
  <c r="I345" i="20"/>
  <c r="D292" i="20"/>
  <c r="C8" i="36"/>
  <c r="X165" i="18"/>
  <c r="N5" i="52"/>
  <c r="AN158" i="18" l="1"/>
  <c r="AM157" i="18"/>
  <c r="I344" i="20"/>
  <c r="K344" i="20"/>
  <c r="G343" i="20"/>
  <c r="J344" i="20"/>
  <c r="D291" i="20"/>
  <c r="AM156" i="18" l="1"/>
  <c r="AN157" i="18"/>
  <c r="G342" i="20"/>
  <c r="J343" i="20"/>
  <c r="I343" i="20"/>
  <c r="K343" i="20"/>
  <c r="D290" i="20"/>
  <c r="AM155" i="18" l="1"/>
  <c r="AN156" i="18"/>
  <c r="I342" i="20"/>
  <c r="K342" i="20"/>
  <c r="J342" i="20"/>
  <c r="G341" i="20"/>
  <c r="D289" i="20"/>
  <c r="AM154" i="18" l="1"/>
  <c r="AN155" i="18"/>
  <c r="K341" i="20"/>
  <c r="G340" i="20"/>
  <c r="I341" i="20"/>
  <c r="J341" i="20"/>
  <c r="AM321" i="18"/>
  <c r="AM320" i="18" s="1"/>
  <c r="D288" i="20"/>
  <c r="AM153" i="18" l="1"/>
  <c r="AN154" i="18"/>
  <c r="I340" i="20"/>
  <c r="K340" i="20"/>
  <c r="G339" i="20"/>
  <c r="J340" i="20"/>
  <c r="AN322" i="18"/>
  <c r="AN321" i="18"/>
  <c r="AM152" i="18" l="1"/>
  <c r="AN153" i="18"/>
  <c r="I339" i="20"/>
  <c r="G338" i="20"/>
  <c r="J339" i="20"/>
  <c r="K339" i="20"/>
  <c r="D287" i="20"/>
  <c r="D286" i="20"/>
  <c r="F15" i="52"/>
  <c r="AM151" i="18" l="1"/>
  <c r="AN152" i="18"/>
  <c r="G337" i="20"/>
  <c r="J338" i="20"/>
  <c r="K338" i="20"/>
  <c r="I338" i="20"/>
  <c r="AB3" i="49"/>
  <c r="AB4" i="49"/>
  <c r="AB5" i="49"/>
  <c r="AM150" i="18" l="1"/>
  <c r="AN151" i="18"/>
  <c r="J337" i="20"/>
  <c r="K337" i="20"/>
  <c r="I337" i="20"/>
  <c r="G336" i="20"/>
  <c r="D285" i="20"/>
  <c r="X164" i="18"/>
  <c r="AN150" i="18" l="1"/>
  <c r="AM149" i="18"/>
  <c r="J336" i="20"/>
  <c r="I336" i="20"/>
  <c r="K336" i="20"/>
  <c r="G335" i="20"/>
  <c r="H282" i="20"/>
  <c r="H283" i="20"/>
  <c r="H284" i="20"/>
  <c r="H285" i="20"/>
  <c r="H286" i="20"/>
  <c r="H287" i="20"/>
  <c r="H288" i="20"/>
  <c r="H289" i="20"/>
  <c r="H290" i="20"/>
  <c r="H291" i="20"/>
  <c r="H292" i="20"/>
  <c r="H293" i="20"/>
  <c r="H294" i="20"/>
  <c r="H295" i="20"/>
  <c r="H296" i="20"/>
  <c r="D284" i="20"/>
  <c r="AM148" i="18" l="1"/>
  <c r="AN149" i="18"/>
  <c r="K335" i="20"/>
  <c r="I335" i="20"/>
  <c r="G334" i="20"/>
  <c r="J335" i="20"/>
  <c r="AM147" i="18" l="1"/>
  <c r="AN148" i="18"/>
  <c r="I334" i="20"/>
  <c r="G333" i="20"/>
  <c r="K334" i="20"/>
  <c r="J334" i="20"/>
  <c r="D283" i="20"/>
  <c r="AN147" i="18" l="1"/>
  <c r="AM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N146" i="18"/>
  <c r="AM145" i="18"/>
  <c r="K332" i="20"/>
  <c r="I332" i="20"/>
  <c r="G331" i="20"/>
  <c r="J332" i="20"/>
  <c r="D273" i="15" l="1"/>
  <c r="F274" i="15"/>
  <c r="AM144" i="18"/>
  <c r="AN145" i="18"/>
  <c r="K331" i="20"/>
  <c r="G330" i="20"/>
  <c r="I331" i="20"/>
  <c r="J331" i="20"/>
  <c r="D281" i="20"/>
  <c r="D272" i="15" l="1"/>
  <c r="F273" i="15"/>
  <c r="AM143" i="18"/>
  <c r="AN144" i="18"/>
  <c r="K330" i="20"/>
  <c r="I330" i="20"/>
  <c r="J330" i="20"/>
  <c r="G329" i="20"/>
  <c r="D280" i="20"/>
  <c r="D271" i="15" l="1"/>
  <c r="F272" i="15"/>
  <c r="AM142" i="18"/>
  <c r="AN143" i="18"/>
  <c r="K329" i="20"/>
  <c r="I329" i="20"/>
  <c r="J329" i="20"/>
  <c r="G328" i="20"/>
  <c r="D279" i="20"/>
  <c r="D270" i="15" l="1"/>
  <c r="F271" i="15"/>
  <c r="AM141" i="18"/>
  <c r="AN142" i="18"/>
  <c r="K328" i="20"/>
  <c r="J328" i="20"/>
  <c r="G327" i="20"/>
  <c r="I328" i="20"/>
  <c r="X163" i="18"/>
  <c r="D278" i="20"/>
  <c r="D269" i="15" l="1"/>
  <c r="F270" i="15"/>
  <c r="AM140" i="18"/>
  <c r="AN141" i="18"/>
  <c r="J327" i="20"/>
  <c r="K327" i="20"/>
  <c r="G326" i="20"/>
  <c r="I327" i="20"/>
  <c r="E260" i="15"/>
  <c r="E253" i="15"/>
  <c r="E254" i="15"/>
  <c r="E255" i="15"/>
  <c r="E256" i="15"/>
  <c r="E257" i="15"/>
  <c r="E258" i="15"/>
  <c r="E259" i="15"/>
  <c r="D277" i="20"/>
  <c r="D268" i="15" l="1"/>
  <c r="F269" i="15"/>
  <c r="I296" i="15"/>
  <c r="J283" i="15"/>
  <c r="AM139" i="18"/>
  <c r="AN140" i="18"/>
  <c r="J326" i="20"/>
  <c r="K326" i="20"/>
  <c r="G325" i="20"/>
  <c r="I326" i="20"/>
  <c r="D267" i="15" l="1"/>
  <c r="F268" i="15"/>
  <c r="AM138" i="18"/>
  <c r="AN139" i="18"/>
  <c r="I325" i="20"/>
  <c r="K325" i="20"/>
  <c r="J325" i="20"/>
  <c r="G324" i="20"/>
  <c r="T135" i="18"/>
  <c r="D276" i="20"/>
  <c r="H273" i="20"/>
  <c r="H274" i="20"/>
  <c r="H275" i="20"/>
  <c r="H276" i="20"/>
  <c r="H277" i="20"/>
  <c r="H278" i="20"/>
  <c r="H279" i="20"/>
  <c r="H280" i="20"/>
  <c r="H281" i="20"/>
  <c r="D275" i="20"/>
  <c r="D274" i="20"/>
  <c r="D273" i="20"/>
  <c r="D266" i="15" l="1"/>
  <c r="F267" i="15"/>
  <c r="AM137" i="18"/>
  <c r="AN138" i="18"/>
  <c r="K324" i="20"/>
  <c r="I324" i="20"/>
  <c r="G323" i="20"/>
  <c r="J324" i="20"/>
  <c r="D272" i="20"/>
  <c r="D265" i="15" l="1"/>
  <c r="F266" i="15"/>
  <c r="AM136" i="18"/>
  <c r="AN136" i="18" s="1"/>
  <c r="AN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M135" i="18"/>
  <c r="D261" i="15" l="1"/>
  <c r="F262" i="15"/>
  <c r="I319" i="20"/>
  <c r="J319" i="20"/>
  <c r="G318" i="20"/>
  <c r="K319" i="20"/>
  <c r="AM134" i="18"/>
  <c r="AN135" i="18"/>
  <c r="D57" i="54"/>
  <c r="F261" i="15" l="1"/>
  <c r="D260" i="15"/>
  <c r="F260" i="15" s="1"/>
  <c r="J318" i="20"/>
  <c r="K318" i="20"/>
  <c r="G317" i="20"/>
  <c r="I318" i="20"/>
  <c r="AM133" i="18"/>
  <c r="AN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M132" i="18"/>
  <c r="AN133" i="18"/>
  <c r="N53" i="52"/>
  <c r="J316" i="20" l="1"/>
  <c r="I316" i="20"/>
  <c r="G315" i="20"/>
  <c r="K316" i="20"/>
  <c r="AM131" i="18"/>
  <c r="AN132" i="18"/>
  <c r="N110" i="18"/>
  <c r="N111" i="18"/>
  <c r="N112" i="18"/>
  <c r="N113" i="18"/>
  <c r="N114" i="18"/>
  <c r="N115" i="18"/>
  <c r="N116" i="18"/>
  <c r="N117" i="18"/>
  <c r="N109" i="18"/>
  <c r="I315" i="20" l="1"/>
  <c r="K315" i="20"/>
  <c r="J315" i="20"/>
  <c r="G314" i="20"/>
  <c r="AN131" i="18"/>
  <c r="AM130" i="18"/>
  <c r="N4" i="52"/>
  <c r="N3" i="52"/>
  <c r="N2" i="52"/>
  <c r="J314" i="20" l="1"/>
  <c r="G313" i="20"/>
  <c r="K314" i="20"/>
  <c r="I314" i="20"/>
  <c r="N41" i="52"/>
  <c r="M43" i="52" s="1"/>
  <c r="AM129" i="18"/>
  <c r="AN130" i="18"/>
  <c r="K313" i="20" l="1"/>
  <c r="J313" i="20"/>
  <c r="G312" i="20"/>
  <c r="I313" i="20"/>
  <c r="O41" i="52"/>
  <c r="AM128" i="18"/>
  <c r="AN129" i="18"/>
  <c r="D266" i="20"/>
  <c r="H266" i="20"/>
  <c r="G30" i="51"/>
  <c r="H30" i="51"/>
  <c r="D30" i="51"/>
  <c r="I30" i="51" s="1"/>
  <c r="K312" i="20" l="1"/>
  <c r="G311" i="20"/>
  <c r="J312" i="20"/>
  <c r="I312" i="20"/>
  <c r="AN128" i="18"/>
  <c r="AM127" i="18"/>
  <c r="D265" i="20"/>
  <c r="H265" i="20"/>
  <c r="G29" i="51"/>
  <c r="H29" i="51"/>
  <c r="D29" i="51"/>
  <c r="I29" i="51" s="1"/>
  <c r="I311" i="20" l="1"/>
  <c r="J311" i="20"/>
  <c r="K311" i="20"/>
  <c r="G310" i="20"/>
  <c r="AN127" i="18"/>
  <c r="AM126" i="18"/>
  <c r="X162" i="18"/>
  <c r="G28" i="51"/>
  <c r="H28" i="51"/>
  <c r="D28" i="51"/>
  <c r="I28" i="51" s="1"/>
  <c r="D264" i="20"/>
  <c r="H264" i="20"/>
  <c r="J310" i="20" l="1"/>
  <c r="I310" i="20"/>
  <c r="G309" i="20"/>
  <c r="K310" i="20"/>
  <c r="AN126" i="18"/>
  <c r="AM125" i="18"/>
  <c r="G27" i="51"/>
  <c r="H27" i="51"/>
  <c r="D27" i="51"/>
  <c r="I27" i="51" s="1"/>
  <c r="G26" i="51"/>
  <c r="H26" i="51"/>
  <c r="D26" i="51"/>
  <c r="I26" i="51" s="1"/>
  <c r="K309" i="20" l="1"/>
  <c r="J309" i="20"/>
  <c r="G308" i="20"/>
  <c r="I309" i="20"/>
  <c r="AM124" i="18"/>
  <c r="AN125" i="18"/>
  <c r="X161" i="18"/>
  <c r="AN124" i="18" l="1"/>
  <c r="AM123" i="18"/>
  <c r="AN123" i="18" l="1"/>
  <c r="AM122" i="18"/>
  <c r="AM121" i="18" l="1"/>
  <c r="AN122" i="18"/>
  <c r="X155" i="18"/>
  <c r="X156" i="18"/>
  <c r="X157" i="18"/>
  <c r="X158" i="18"/>
  <c r="X159" i="18"/>
  <c r="X160" i="18"/>
  <c r="X172" i="18"/>
  <c r="X154" i="18"/>
  <c r="AN121" i="18" l="1"/>
  <c r="AM120" i="18"/>
  <c r="N59" i="18"/>
  <c r="S155" i="18" s="1"/>
  <c r="AN120" i="18" l="1"/>
  <c r="AM119" i="18"/>
  <c r="AN119" i="18" l="1"/>
  <c r="AM118" i="18"/>
  <c r="T69" i="18"/>
  <c r="S160" i="18"/>
  <c r="S158" i="18"/>
  <c r="D57" i="51"/>
  <c r="T70" i="18" l="1"/>
  <c r="T71" i="18" s="1"/>
  <c r="T72" i="18" s="1"/>
  <c r="T73" i="18" s="1"/>
  <c r="AM117" i="18"/>
  <c r="AN118" i="18"/>
  <c r="AN117" i="18" l="1"/>
  <c r="AM116" i="18"/>
  <c r="T74" i="18"/>
  <c r="T75" i="18" s="1"/>
  <c r="N40" i="18"/>
  <c r="S157" i="18" s="1"/>
  <c r="R91" i="18" l="1"/>
  <c r="AM115" i="18"/>
  <c r="AN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N115" i="18" l="1"/>
  <c r="AM114" i="18"/>
  <c r="R10" i="49"/>
  <c r="R9" i="49"/>
  <c r="S10" i="49" s="1"/>
  <c r="T76" i="18" l="1"/>
  <c r="T77" i="18" s="1"/>
  <c r="T78" i="18" s="1"/>
  <c r="T79" i="18" s="1"/>
  <c r="AM113" i="18"/>
  <c r="AN114" i="18"/>
  <c r="T20" i="18"/>
  <c r="T21" i="18" s="1"/>
  <c r="AM112" i="18" l="1"/>
  <c r="AN113" i="18"/>
  <c r="R131" i="18" l="1"/>
  <c r="AN112" i="18"/>
  <c r="AM111" i="18"/>
  <c r="D108" i="50"/>
  <c r="AM110" i="18" l="1"/>
  <c r="AN111" i="18"/>
  <c r="AM109" i="18" l="1"/>
  <c r="AN110" i="18"/>
  <c r="N77" i="18" l="1"/>
  <c r="AM108" i="18"/>
  <c r="AN109" i="18"/>
  <c r="N22" i="33"/>
  <c r="R22" i="33" s="1"/>
  <c r="E22" i="33" l="1"/>
  <c r="AM107" i="18"/>
  <c r="AN108" i="18"/>
  <c r="C22" i="33"/>
  <c r="J22" i="33"/>
  <c r="F22" i="33"/>
  <c r="B22" i="33"/>
  <c r="I22" i="33"/>
  <c r="L22" i="33"/>
  <c r="H22" i="33"/>
  <c r="D22" i="33"/>
  <c r="K22" i="33"/>
  <c r="G22" i="33"/>
  <c r="AN107" i="18" l="1"/>
  <c r="AM106" i="18"/>
  <c r="T80" i="18" l="1"/>
  <c r="T81" i="18" s="1"/>
  <c r="T82" i="18" s="1"/>
  <c r="T83" i="18" s="1"/>
  <c r="T84" i="18" s="1"/>
  <c r="T85" i="18" s="1"/>
  <c r="AM105" i="18"/>
  <c r="AN106" i="18"/>
  <c r="AM104" i="18" l="1"/>
  <c r="AN105" i="18"/>
  <c r="AM319" i="18"/>
  <c r="AN320" i="18"/>
  <c r="AM103" i="18" l="1"/>
  <c r="AN104" i="18"/>
  <c r="AM318" i="18"/>
  <c r="AN319" i="18"/>
  <c r="AM102" i="18" l="1"/>
  <c r="AN103" i="18"/>
  <c r="AM317" i="18"/>
  <c r="AN318" i="18"/>
  <c r="T22" i="18"/>
  <c r="T23" i="18" s="1"/>
  <c r="AM101" i="18" l="1"/>
  <c r="AN102" i="18"/>
  <c r="AM316" i="18"/>
  <c r="AN317" i="18"/>
  <c r="T24" i="18"/>
  <c r="T25" i="18" s="1"/>
  <c r="T26" i="18" s="1"/>
  <c r="T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T28" i="18" l="1"/>
  <c r="AN101" i="18"/>
  <c r="AM100" i="18"/>
  <c r="AN316" i="18"/>
  <c r="AM315" i="18"/>
  <c r="D73" i="48"/>
  <c r="N76" i="18" l="1"/>
  <c r="AM99" i="18"/>
  <c r="AN100" i="18"/>
  <c r="AM314" i="18"/>
  <c r="AN315" i="18"/>
  <c r="AN99" i="18" l="1"/>
  <c r="AM98" i="18"/>
  <c r="AM313" i="18"/>
  <c r="AN314" i="18"/>
  <c r="AM97" i="18" l="1"/>
  <c r="AN98" i="18"/>
  <c r="AM312" i="18"/>
  <c r="AN313" i="18"/>
  <c r="T29" i="18" l="1"/>
  <c r="T30" i="18" s="1"/>
  <c r="T31" i="18" s="1"/>
  <c r="AN97" i="18"/>
  <c r="AM96" i="18"/>
  <c r="AM311" i="18"/>
  <c r="AN312" i="18"/>
  <c r="N23" i="33"/>
  <c r="D23" i="33" s="1"/>
  <c r="AN96" i="18" l="1"/>
  <c r="AM95" i="18"/>
  <c r="AM310" i="18"/>
  <c r="AN311"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M94" i="18"/>
  <c r="AN95" i="18"/>
  <c r="AM309" i="18"/>
  <c r="AN310" i="18"/>
  <c r="N33" i="18"/>
  <c r="M75" i="18" s="1"/>
  <c r="S156" i="18" l="1"/>
  <c r="S170" i="18" s="1"/>
  <c r="Q51" i="18" s="1"/>
  <c r="N75" i="18"/>
  <c r="N83" i="18" s="1"/>
  <c r="I126" i="18"/>
  <c r="I127" i="18" s="1"/>
  <c r="R64" i="18"/>
  <c r="AK509" i="18"/>
  <c r="AK510" i="18" s="1"/>
  <c r="AN94" i="18"/>
  <c r="AM93" i="18"/>
  <c r="AM308" i="18"/>
  <c r="AN309" i="18"/>
  <c r="U571" i="18" l="1"/>
  <c r="W574" i="18" s="1"/>
  <c r="Q52" i="18"/>
  <c r="Q33" i="18"/>
  <c r="AM92" i="18"/>
  <c r="AN93" i="18"/>
  <c r="AM307" i="18"/>
  <c r="AN308" i="18"/>
  <c r="X140" i="18" l="1"/>
  <c r="X141" i="18"/>
  <c r="AM91" i="18"/>
  <c r="AN92" i="18"/>
  <c r="AN307" i="18"/>
  <c r="AM306" i="18"/>
  <c r="AM90" i="18" l="1"/>
  <c r="AN91" i="18"/>
  <c r="AM305" i="18"/>
  <c r="AN306" i="18"/>
  <c r="AN90" i="18" l="1"/>
  <c r="AM89" i="18"/>
  <c r="AN305" i="18"/>
  <c r="AM304" i="18"/>
  <c r="AM88" i="18" l="1"/>
  <c r="AN89" i="18"/>
  <c r="AN304" i="18"/>
  <c r="AM303" i="18"/>
  <c r="AN88" i="18" l="1"/>
  <c r="AM87" i="18"/>
  <c r="AM302" i="18"/>
  <c r="AN303" i="18"/>
  <c r="B10" i="36"/>
  <c r="AM86" i="18" l="1"/>
  <c r="AN87" i="18"/>
  <c r="AM301" i="18"/>
  <c r="AN302" i="18"/>
  <c r="AM85" i="18" l="1"/>
  <c r="AN86" i="18"/>
  <c r="AM300" i="18"/>
  <c r="AN301" i="18"/>
  <c r="N25" i="33"/>
  <c r="N24" i="33"/>
  <c r="N21" i="33"/>
  <c r="N20" i="33"/>
  <c r="N19" i="33"/>
  <c r="N18" i="33"/>
  <c r="L18" i="33" s="1"/>
  <c r="N17" i="33"/>
  <c r="N9" i="33"/>
  <c r="N3" i="33"/>
  <c r="N4" i="33"/>
  <c r="AM84" i="18" l="1"/>
  <c r="AN85" i="18"/>
  <c r="AN300" i="18"/>
  <c r="AM299"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N84" i="18" l="1"/>
  <c r="AM83" i="18"/>
  <c r="AN299" i="18"/>
  <c r="AM298" i="18"/>
  <c r="AC15" i="33"/>
  <c r="AM82" i="18" l="1"/>
  <c r="AN83" i="18"/>
  <c r="AN298" i="18"/>
  <c r="AM297" i="18"/>
  <c r="N16" i="33"/>
  <c r="AM81" i="18" l="1"/>
  <c r="AN82" i="18"/>
  <c r="AN297" i="18"/>
  <c r="AM296" i="18"/>
  <c r="AN296" i="18" s="1"/>
  <c r="L16" i="33"/>
  <c r="J16" i="33"/>
  <c r="F16" i="33"/>
  <c r="C16" i="33"/>
  <c r="K16" i="33"/>
  <c r="G16" i="33"/>
  <c r="H16" i="33"/>
  <c r="D16" i="33"/>
  <c r="I16" i="33"/>
  <c r="E16" i="33"/>
  <c r="B16" i="33"/>
  <c r="R16" i="33"/>
  <c r="T32" i="18" l="1"/>
  <c r="T33" i="18" s="1"/>
  <c r="T34" i="18" s="1"/>
  <c r="T35" i="18" s="1"/>
  <c r="T36" i="18" s="1"/>
  <c r="T37" i="18" s="1"/>
  <c r="T38" i="18" s="1"/>
  <c r="T39" i="18" s="1"/>
  <c r="T40" i="18" s="1"/>
  <c r="AN505" i="18"/>
  <c r="AO505" i="18" s="1"/>
  <c r="AK508" i="18" s="1"/>
  <c r="AM80" i="18"/>
  <c r="AN80" i="18" s="1"/>
  <c r="AN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T41" i="18" l="1"/>
  <c r="T42" i="18" s="1"/>
  <c r="T43" i="18" s="1"/>
  <c r="AK511" i="18"/>
  <c r="AK512"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T44" i="18" l="1"/>
  <c r="T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T46" i="18" l="1"/>
  <c r="AM79" i="18"/>
  <c r="G25" i="46"/>
  <c r="H25" i="46"/>
  <c r="D25" i="46"/>
  <c r="I25" i="46" s="1"/>
  <c r="T47" i="18" l="1"/>
  <c r="AM78" i="18"/>
  <c r="AN79" i="18"/>
  <c r="D88" i="46"/>
  <c r="G24" i="46"/>
  <c r="H24" i="46"/>
  <c r="D24" i="46"/>
  <c r="I24" i="46" s="1"/>
  <c r="G23" i="46"/>
  <c r="H23" i="46"/>
  <c r="D23" i="46"/>
  <c r="I23" i="46" s="1"/>
  <c r="T48" i="18" l="1"/>
  <c r="T49" i="18" s="1"/>
  <c r="T50" i="18" s="1"/>
  <c r="T51" i="18" s="1"/>
  <c r="T52" i="18" s="1"/>
  <c r="T53" i="18" s="1"/>
  <c r="T54" i="18" s="1"/>
  <c r="AM77" i="18"/>
  <c r="AN78" i="18"/>
  <c r="T55" i="18" l="1"/>
  <c r="T56" i="18" s="1"/>
  <c r="G307" i="20"/>
  <c r="K308" i="20"/>
  <c r="J308" i="20"/>
  <c r="I308" i="20"/>
  <c r="AM76" i="18"/>
  <c r="AN77" i="18"/>
  <c r="G306" i="20" l="1"/>
  <c r="J307" i="20"/>
  <c r="I307" i="20"/>
  <c r="K307" i="20"/>
  <c r="AM75" i="18"/>
  <c r="AN76" i="18"/>
  <c r="AK285" i="18" l="1"/>
  <c r="AK286" i="18" s="1"/>
  <c r="G305" i="20"/>
  <c r="I306" i="20"/>
  <c r="K306" i="20"/>
  <c r="J306" i="20"/>
  <c r="AM74" i="18"/>
  <c r="AN75" i="18"/>
  <c r="Q34" i="18" l="1"/>
  <c r="Q41" i="18"/>
  <c r="Q40" i="18"/>
  <c r="V584" i="18"/>
  <c r="W584" i="18" s="1"/>
  <c r="G304" i="20"/>
  <c r="I305" i="20"/>
  <c r="K305" i="20"/>
  <c r="J305" i="20"/>
  <c r="AM73" i="18"/>
  <c r="AN74" i="18"/>
  <c r="S95" i="18"/>
  <c r="W126" i="18" s="1"/>
  <c r="X126" i="18" l="1"/>
  <c r="Y126" i="18"/>
  <c r="W124" i="18"/>
  <c r="X124" i="18" s="1"/>
  <c r="W125" i="18"/>
  <c r="W60" i="18"/>
  <c r="W59" i="18"/>
  <c r="W58" i="18"/>
  <c r="W123" i="18"/>
  <c r="X123" i="18" s="1"/>
  <c r="W122" i="18"/>
  <c r="X122" i="18" s="1"/>
  <c r="W120" i="18"/>
  <c r="X120" i="18" s="1"/>
  <c r="W121" i="18"/>
  <c r="W119" i="18"/>
  <c r="X119" i="18" s="1"/>
  <c r="W130" i="18"/>
  <c r="W86" i="18"/>
  <c r="W63" i="18"/>
  <c r="W118" i="18"/>
  <c r="X118" i="18" s="1"/>
  <c r="W116" i="18"/>
  <c r="X116" i="18" s="1"/>
  <c r="W117" i="18"/>
  <c r="W115" i="18"/>
  <c r="W50" i="18"/>
  <c r="W54" i="18"/>
  <c r="W49" i="18"/>
  <c r="W55" i="18"/>
  <c r="W47" i="18"/>
  <c r="W51" i="18"/>
  <c r="W48" i="18"/>
  <c r="W52" i="18"/>
  <c r="W53" i="18"/>
  <c r="W85" i="18"/>
  <c r="W90" i="18"/>
  <c r="W88" i="18"/>
  <c r="W89" i="18"/>
  <c r="W84" i="18"/>
  <c r="W83" i="18"/>
  <c r="W82" i="18"/>
  <c r="W81" i="18"/>
  <c r="W80" i="18"/>
  <c r="W79" i="18"/>
  <c r="X79" i="18" s="1"/>
  <c r="W45" i="18"/>
  <c r="W46" i="18"/>
  <c r="W44" i="18"/>
  <c r="W43" i="18"/>
  <c r="W42" i="18"/>
  <c r="W41" i="18"/>
  <c r="W37" i="18"/>
  <c r="W38" i="18"/>
  <c r="W39" i="18"/>
  <c r="W40" i="18"/>
  <c r="W35" i="18"/>
  <c r="W36" i="18"/>
  <c r="W34" i="18"/>
  <c r="W31" i="18"/>
  <c r="W32" i="18"/>
  <c r="W33" i="18"/>
  <c r="W78" i="18"/>
  <c r="X142" i="18"/>
  <c r="W99" i="18"/>
  <c r="W77" i="18"/>
  <c r="X77" i="18" s="1"/>
  <c r="W30" i="18"/>
  <c r="W29" i="18"/>
  <c r="W28" i="18"/>
  <c r="X28" i="18" s="1"/>
  <c r="W76" i="18"/>
  <c r="W75" i="18"/>
  <c r="W27" i="18"/>
  <c r="G303" i="20"/>
  <c r="K304" i="20"/>
  <c r="I304" i="20"/>
  <c r="J304" i="20"/>
  <c r="W26" i="18"/>
  <c r="X26" i="18" s="1"/>
  <c r="W74" i="18"/>
  <c r="W25" i="18"/>
  <c r="W24" i="18"/>
  <c r="X24" i="18" s="1"/>
  <c r="W73" i="18"/>
  <c r="W23" i="18"/>
  <c r="Y23" i="18" s="1"/>
  <c r="W72" i="18"/>
  <c r="W71" i="18"/>
  <c r="W70" i="18"/>
  <c r="W22" i="18"/>
  <c r="W21" i="18"/>
  <c r="W20" i="18"/>
  <c r="AM72" i="18"/>
  <c r="AN73" i="18"/>
  <c r="Y124" i="18" l="1"/>
  <c r="X125" i="18"/>
  <c r="Y125" i="18"/>
  <c r="X60" i="18"/>
  <c r="Y60" i="18"/>
  <c r="X58" i="18"/>
  <c r="Y58" i="18"/>
  <c r="X59" i="18"/>
  <c r="Y59" i="18"/>
  <c r="Y123" i="18"/>
  <c r="Y122" i="18"/>
  <c r="Y120" i="18"/>
  <c r="Y119" i="18"/>
  <c r="X121" i="18"/>
  <c r="Y121" i="18"/>
  <c r="X130" i="18"/>
  <c r="Y130" i="18"/>
  <c r="X86" i="18"/>
  <c r="Y86" i="18"/>
  <c r="X63" i="18"/>
  <c r="Y63" i="18"/>
  <c r="Y118" i="18"/>
  <c r="Y116" i="18"/>
  <c r="Y117" i="18"/>
  <c r="X117" i="18"/>
  <c r="X115" i="18"/>
  <c r="Y115" i="18"/>
  <c r="X52" i="18"/>
  <c r="Y52" i="18"/>
  <c r="X55" i="18"/>
  <c r="Y55" i="18"/>
  <c r="X48" i="18"/>
  <c r="Y48" i="18"/>
  <c r="Y49" i="18"/>
  <c r="X49" i="18"/>
  <c r="X51" i="18"/>
  <c r="Y51" i="18"/>
  <c r="X54" i="18"/>
  <c r="Y54" i="18"/>
  <c r="Y53" i="18"/>
  <c r="X53" i="18"/>
  <c r="X47" i="18"/>
  <c r="Y47" i="18"/>
  <c r="X50" i="18"/>
  <c r="Y50" i="18"/>
  <c r="Y89" i="18"/>
  <c r="X89" i="18"/>
  <c r="Y88" i="18"/>
  <c r="X88" i="18"/>
  <c r="X90" i="18"/>
  <c r="Y90" i="18"/>
  <c r="X85" i="18"/>
  <c r="Y85" i="18"/>
  <c r="X146" i="18"/>
  <c r="Y79" i="18"/>
  <c r="X83" i="18"/>
  <c r="Y83" i="18"/>
  <c r="X84" i="18"/>
  <c r="Y84" i="18"/>
  <c r="X82" i="18"/>
  <c r="Y82" i="18"/>
  <c r="X81" i="18"/>
  <c r="Y81" i="18"/>
  <c r="Y80" i="18"/>
  <c r="X80" i="18"/>
  <c r="X45" i="18"/>
  <c r="Y45" i="18"/>
  <c r="Y46" i="18"/>
  <c r="X46" i="18"/>
  <c r="X44" i="18"/>
  <c r="Y44" i="18"/>
  <c r="X43" i="18"/>
  <c r="Y43" i="18"/>
  <c r="X41" i="18"/>
  <c r="Y41" i="18"/>
  <c r="Y42" i="18"/>
  <c r="X42" i="18"/>
  <c r="X40" i="18"/>
  <c r="Y40" i="18"/>
  <c r="X38" i="18"/>
  <c r="Y38" i="18"/>
  <c r="X39" i="18"/>
  <c r="Y39" i="18"/>
  <c r="X37" i="18"/>
  <c r="Y37" i="18"/>
  <c r="X36" i="18"/>
  <c r="Y36" i="18"/>
  <c r="X35" i="18"/>
  <c r="Y35" i="18"/>
  <c r="X31" i="18"/>
  <c r="Y31" i="18"/>
  <c r="X34" i="18"/>
  <c r="Y34" i="18"/>
  <c r="X33" i="18"/>
  <c r="Y33" i="18"/>
  <c r="Y32" i="18"/>
  <c r="X32" i="18"/>
  <c r="X78" i="18"/>
  <c r="Y78" i="18"/>
  <c r="Y77" i="18"/>
  <c r="Y30" i="18"/>
  <c r="X30" i="18"/>
  <c r="X29" i="18"/>
  <c r="Y29" i="18"/>
  <c r="Y28" i="18"/>
  <c r="X76" i="18"/>
  <c r="Y76" i="18"/>
  <c r="X75" i="18"/>
  <c r="Y75" i="18"/>
  <c r="X27" i="18"/>
  <c r="Y27" i="18"/>
  <c r="G128" i="18"/>
  <c r="G302" i="20"/>
  <c r="K303" i="20"/>
  <c r="I303" i="20"/>
  <c r="J303" i="20"/>
  <c r="Y26" i="18"/>
  <c r="X74" i="18"/>
  <c r="Y74" i="18"/>
  <c r="X25" i="18"/>
  <c r="Y25" i="18"/>
  <c r="Y24" i="18"/>
  <c r="X73" i="18"/>
  <c r="Y73" i="18"/>
  <c r="X23" i="18"/>
  <c r="X72" i="18"/>
  <c r="Y72" i="18"/>
  <c r="X71" i="18"/>
  <c r="Y71" i="18"/>
  <c r="X139" i="18"/>
  <c r="Y70" i="18"/>
  <c r="X70" i="18"/>
  <c r="X22" i="18"/>
  <c r="Y22" i="18"/>
  <c r="X20" i="18"/>
  <c r="Y20" i="18"/>
  <c r="X99" i="18"/>
  <c r="Y99" i="18"/>
  <c r="X21" i="18"/>
  <c r="Y21" i="18"/>
  <c r="AM71" i="18"/>
  <c r="AN72" i="18"/>
  <c r="X145" i="18" l="1"/>
  <c r="Y139" i="18" s="1"/>
  <c r="X147" i="18"/>
  <c r="N64" i="18"/>
  <c r="I128" i="18"/>
  <c r="I129" i="18"/>
  <c r="G129" i="18"/>
  <c r="G301" i="20"/>
  <c r="I302" i="20"/>
  <c r="K302" i="20"/>
  <c r="J302" i="20"/>
  <c r="AM70" i="18"/>
  <c r="AN71" i="18"/>
  <c r="X148" i="18" l="1"/>
  <c r="L34" i="18" s="1"/>
  <c r="Z139" i="18"/>
  <c r="AA139" i="18"/>
  <c r="Y142" i="18"/>
  <c r="Y140" i="18"/>
  <c r="Y141" i="18"/>
  <c r="G130" i="18"/>
  <c r="I130" i="18"/>
  <c r="G300" i="20"/>
  <c r="I301" i="20"/>
  <c r="J301" i="20"/>
  <c r="K301" i="20"/>
  <c r="AM69" i="18"/>
  <c r="AN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AA140" i="18" l="1"/>
  <c r="Z140" i="18"/>
  <c r="Z142" i="18"/>
  <c r="AA142" i="18"/>
  <c r="AA141" i="18"/>
  <c r="Z141" i="18"/>
  <c r="G299" i="20"/>
  <c r="I300" i="20"/>
  <c r="K300" i="20"/>
  <c r="J300" i="20"/>
  <c r="AM68" i="18"/>
  <c r="AN69" i="18"/>
  <c r="N2" i="33"/>
  <c r="G298" i="20" l="1"/>
  <c r="K299" i="20"/>
  <c r="I299" i="20"/>
  <c r="J299" i="20"/>
  <c r="AM67" i="18"/>
  <c r="AN68" i="18"/>
  <c r="I2" i="33"/>
  <c r="E2" i="33"/>
  <c r="J2" i="33"/>
  <c r="F2" i="33"/>
  <c r="K2" i="33"/>
  <c r="G2" i="33"/>
  <c r="D2" i="33"/>
  <c r="C2" i="33"/>
  <c r="H2" i="33"/>
  <c r="D73" i="45"/>
  <c r="G297" i="20" l="1"/>
  <c r="K298" i="20"/>
  <c r="I298" i="20"/>
  <c r="J298" i="20"/>
  <c r="AM66" i="18"/>
  <c r="AN67" i="18"/>
  <c r="F33" i="14"/>
  <c r="F34" i="14"/>
  <c r="F35" i="14"/>
  <c r="F36" i="14"/>
  <c r="F37" i="14"/>
  <c r="F38" i="14"/>
  <c r="F39" i="14"/>
  <c r="F40" i="14"/>
  <c r="F41" i="14"/>
  <c r="F42" i="14"/>
  <c r="F43" i="14"/>
  <c r="E62" i="14"/>
  <c r="E61" i="14" s="1"/>
  <c r="B63" i="14"/>
  <c r="G61" i="14" l="1"/>
  <c r="E60" i="14"/>
  <c r="I297" i="20"/>
  <c r="K297" i="20"/>
  <c r="J297" i="20"/>
  <c r="G296" i="20"/>
  <c r="AM65" i="18"/>
  <c r="AN66" i="18"/>
  <c r="E59" i="14" l="1"/>
  <c r="G60" i="14"/>
  <c r="G295" i="20"/>
  <c r="K296" i="20"/>
  <c r="I296" i="20"/>
  <c r="J296" i="20"/>
  <c r="AM64" i="18"/>
  <c r="AN65" i="18"/>
  <c r="E58" i="14" l="1"/>
  <c r="G59" i="14"/>
  <c r="G294" i="20"/>
  <c r="K295" i="20"/>
  <c r="J295" i="20"/>
  <c r="I295" i="20"/>
  <c r="AN64" i="18"/>
  <c r="AM63" i="18"/>
  <c r="G58" i="14" l="1"/>
  <c r="E57" i="14"/>
  <c r="G293" i="20"/>
  <c r="I294" i="20"/>
  <c r="J294" i="20"/>
  <c r="K294" i="20"/>
  <c r="AM62" i="18"/>
  <c r="AN63" i="18"/>
  <c r="G57" i="14" l="1"/>
  <c r="E56" i="14"/>
  <c r="G292" i="20"/>
  <c r="K293" i="20"/>
  <c r="J293" i="20"/>
  <c r="I293" i="20"/>
  <c r="AM61" i="18"/>
  <c r="AN62" i="18"/>
  <c r="E55" i="14" l="1"/>
  <c r="G56" i="14"/>
  <c r="J292" i="20"/>
  <c r="I292" i="20"/>
  <c r="G291" i="20"/>
  <c r="K292" i="20"/>
  <c r="AN61" i="18"/>
  <c r="AM60" i="18"/>
  <c r="E54" i="14" l="1"/>
  <c r="G55" i="14"/>
  <c r="G290" i="20"/>
  <c r="J291" i="20"/>
  <c r="K291" i="20"/>
  <c r="I291" i="20"/>
  <c r="AM59" i="18"/>
  <c r="AN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T57" i="18" l="1"/>
  <c r="E53" i="14"/>
  <c r="G54" i="14"/>
  <c r="J290" i="20"/>
  <c r="G289" i="20"/>
  <c r="I290" i="20"/>
  <c r="K290" i="20"/>
  <c r="AN59" i="18"/>
  <c r="AM58" i="18"/>
  <c r="W56" i="18" l="1"/>
  <c r="G53" i="14"/>
  <c r="E52" i="14"/>
  <c r="G288" i="20"/>
  <c r="K289" i="20"/>
  <c r="J289" i="20"/>
  <c r="I289" i="20"/>
  <c r="AM57" i="18"/>
  <c r="AN58" i="18"/>
  <c r="X56" i="18" l="1"/>
  <c r="Y56" i="18"/>
  <c r="E51" i="14"/>
  <c r="G52" i="14"/>
  <c r="J288" i="20"/>
  <c r="K288" i="20"/>
  <c r="G287" i="20"/>
  <c r="I288" i="20"/>
  <c r="AM56" i="18"/>
  <c r="AN57" i="18"/>
  <c r="B105" i="13"/>
  <c r="B196" i="13" s="1"/>
  <c r="W57" i="18" l="1"/>
  <c r="X57" i="18" s="1"/>
  <c r="G51" i="14"/>
  <c r="E50" i="14"/>
  <c r="G286" i="20"/>
  <c r="J287" i="20"/>
  <c r="I287" i="20"/>
  <c r="K287" i="20"/>
  <c r="F105" i="13"/>
  <c r="AN56" i="18"/>
  <c r="AM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Y57" i="18" l="1"/>
  <c r="E49" i="14"/>
  <c r="G50" i="14"/>
  <c r="G285" i="20"/>
  <c r="J286" i="20"/>
  <c r="I286" i="20"/>
  <c r="K286" i="20"/>
  <c r="AN55" i="18"/>
  <c r="AM54" i="18"/>
  <c r="G49" i="14" l="1"/>
  <c r="E48" i="14"/>
  <c r="G284" i="20"/>
  <c r="K285" i="20"/>
  <c r="J285" i="20"/>
  <c r="I285" i="20"/>
  <c r="AM53" i="18"/>
  <c r="AN54" i="18"/>
  <c r="G48" i="14" l="1"/>
  <c r="E47" i="14"/>
  <c r="G283" i="20"/>
  <c r="K284" i="20"/>
  <c r="I284" i="20"/>
  <c r="J284" i="20"/>
  <c r="AN53" i="18"/>
  <c r="AM52" i="18"/>
  <c r="D64" i="43"/>
  <c r="E46" i="14" l="1"/>
  <c r="G47" i="14"/>
  <c r="I283" i="20"/>
  <c r="J283" i="20"/>
  <c r="K283" i="20"/>
  <c r="G282" i="20"/>
  <c r="AM51" i="18"/>
  <c r="AN52" i="18"/>
  <c r="E252" i="15"/>
  <c r="G46" i="14" l="1"/>
  <c r="E45" i="14"/>
  <c r="J282" i="20"/>
  <c r="I282" i="20"/>
  <c r="K282" i="20"/>
  <c r="G281" i="20"/>
  <c r="AM50" i="18"/>
  <c r="AN51" i="18"/>
  <c r="E251" i="15"/>
  <c r="E250" i="15"/>
  <c r="D171" i="20"/>
  <c r="E44" i="14" l="1"/>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N279" i="18"/>
  <c r="G250" i="20"/>
  <c r="I251" i="20"/>
  <c r="J251" i="20"/>
  <c r="K251" i="20"/>
  <c r="F246" i="15"/>
  <c r="D245" i="15"/>
  <c r="E173" i="13"/>
  <c r="G174" i="13"/>
  <c r="U2123" i="41" l="1"/>
  <c r="V2123" i="41" s="1"/>
  <c r="X2123" i="41" s="1"/>
  <c r="G249" i="20"/>
  <c r="J250" i="20"/>
  <c r="K250" i="20"/>
  <c r="I250" i="20"/>
  <c r="F245" i="15"/>
  <c r="D244" i="15"/>
  <c r="AO279" i="18"/>
  <c r="AK284" i="18" s="1"/>
  <c r="E172" i="13"/>
  <c r="G173" i="13"/>
  <c r="D62" i="38"/>
  <c r="AK288" i="18" l="1"/>
  <c r="J249" i="20"/>
  <c r="I249" i="20"/>
  <c r="K249" i="20"/>
  <c r="G248" i="20"/>
  <c r="F244" i="15"/>
  <c r="D243" i="15"/>
  <c r="AK287"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67" i="18" l="1"/>
  <c r="N68" i="18"/>
  <c r="G127" i="20"/>
  <c r="K128" i="20"/>
  <c r="J128" i="20"/>
  <c r="I128" i="20"/>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8" i="18" s="1"/>
  <c r="F24" i="18" l="1"/>
  <c r="G113" i="20"/>
  <c r="J114" i="20"/>
  <c r="I114" i="20"/>
  <c r="K114" i="20"/>
  <c r="L69" i="18"/>
  <c r="E33" i="13"/>
  <c r="G34" i="13"/>
  <c r="F108" i="15"/>
  <c r="C20" i="18"/>
  <c r="G20" i="14"/>
  <c r="G21" i="14"/>
  <c r="G112" i="20" l="1"/>
  <c r="K113" i="20"/>
  <c r="J113" i="20"/>
  <c r="I113" i="20"/>
  <c r="L70"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T101" i="18" l="1"/>
  <c r="B24" i="26"/>
  <c r="B2" i="27" s="1"/>
  <c r="G2" i="26"/>
  <c r="G25" i="26" s="1"/>
  <c r="G84" i="20"/>
  <c r="J85" i="20"/>
  <c r="I85" i="20"/>
  <c r="K85" i="20"/>
  <c r="E48" i="18"/>
  <c r="I2" i="22"/>
  <c r="I25" i="22" s="1"/>
  <c r="I30" i="22" s="1"/>
  <c r="D24" i="22"/>
  <c r="C24" i="23"/>
  <c r="C2" i="24" s="1"/>
  <c r="H2" i="23"/>
  <c r="D2" i="23"/>
  <c r="G5" i="13"/>
  <c r="E4" i="13"/>
  <c r="F79" i="15"/>
  <c r="C49" i="18"/>
  <c r="T102" i="18" l="1"/>
  <c r="T103" i="18" s="1"/>
  <c r="T104" i="18" s="1"/>
  <c r="T105" i="18" s="1"/>
  <c r="W100"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W104" i="18" l="1"/>
  <c r="Y104" i="18" s="1"/>
  <c r="X100" i="18"/>
  <c r="Y100"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W105" i="18" l="1"/>
  <c r="X104" i="18"/>
  <c r="W101" i="18"/>
  <c r="G2" i="29"/>
  <c r="G25" i="29" s="1"/>
  <c r="B24" i="29"/>
  <c r="B2" i="30" s="1"/>
  <c r="I2" i="25"/>
  <c r="I25" i="25" s="1"/>
  <c r="I30" i="25" s="1"/>
  <c r="D24" i="25"/>
  <c r="C24" i="26"/>
  <c r="C2" i="27" s="1"/>
  <c r="H2" i="26"/>
  <c r="H25" i="26" s="1"/>
  <c r="H30" i="26" s="1"/>
  <c r="D2" i="26"/>
  <c r="G81" i="20"/>
  <c r="K82" i="20"/>
  <c r="I82" i="20"/>
  <c r="J82" i="20"/>
  <c r="F76" i="15"/>
  <c r="C52" i="18"/>
  <c r="E51" i="18"/>
  <c r="X105" i="18" l="1"/>
  <c r="Y105" i="18"/>
  <c r="X101" i="18"/>
  <c r="Y101"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W102" i="18" l="1"/>
  <c r="I2" i="48"/>
  <c r="I28" i="48" s="1"/>
  <c r="I33" i="48" s="1"/>
  <c r="D27" i="48"/>
  <c r="B32" i="55"/>
  <c r="B2" i="57" s="1"/>
  <c r="G2" i="55"/>
  <c r="G33" i="55" s="1"/>
  <c r="C27" i="50"/>
  <c r="C2" i="51" s="1"/>
  <c r="H2" i="50"/>
  <c r="H28" i="50" s="1"/>
  <c r="H33" i="50" s="1"/>
  <c r="D2" i="50"/>
  <c r="G68" i="20"/>
  <c r="I69" i="20"/>
  <c r="J69" i="20"/>
  <c r="K69" i="20"/>
  <c r="F63" i="15"/>
  <c r="Y102" i="18" l="1"/>
  <c r="X102"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W103" i="18" l="1"/>
  <c r="X103" i="18" s="1"/>
  <c r="H2" i="58"/>
  <c r="H35" i="58" s="1"/>
  <c r="H40" i="58" s="1"/>
  <c r="C34" i="58"/>
  <c r="D2" i="58"/>
  <c r="I2" i="57"/>
  <c r="I35" i="57" s="1"/>
  <c r="I40" i="57" s="1"/>
  <c r="D34" i="57"/>
  <c r="G63" i="20"/>
  <c r="K64" i="20"/>
  <c r="J64" i="20"/>
  <c r="I64" i="20"/>
  <c r="F58" i="15"/>
  <c r="Y103"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T106" i="18" l="1"/>
  <c r="G57" i="20"/>
  <c r="I58" i="20"/>
  <c r="J58" i="20"/>
  <c r="K58" i="20"/>
  <c r="F52" i="15"/>
  <c r="T107" i="18" l="1"/>
  <c r="T108" i="18" s="1"/>
  <c r="T109" i="18" s="1"/>
  <c r="W106" i="18"/>
  <c r="G56" i="20"/>
  <c r="K57" i="20"/>
  <c r="J57" i="20"/>
  <c r="I57" i="20"/>
  <c r="F51" i="15"/>
  <c r="Y106" i="18" l="1"/>
  <c r="X106" i="18"/>
  <c r="W107" i="18"/>
  <c r="G55" i="20"/>
  <c r="I56" i="20"/>
  <c r="K56" i="20"/>
  <c r="J56" i="20"/>
  <c r="F50" i="15"/>
  <c r="X107" i="18" l="1"/>
  <c r="Y107"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W108" i="18" l="1"/>
  <c r="X108" i="18" s="1"/>
  <c r="G34" i="20"/>
  <c r="J35" i="20"/>
  <c r="K35" i="20"/>
  <c r="I35" i="20"/>
  <c r="F29" i="15"/>
  <c r="Y108" i="18" l="1"/>
  <c r="G33" i="20"/>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W109" i="18" l="1"/>
  <c r="X109" i="18" s="1"/>
  <c r="T110" i="18"/>
  <c r="T111" i="18" s="1"/>
  <c r="T112" i="18" s="1"/>
  <c r="G19" i="20"/>
  <c r="I20" i="20"/>
  <c r="J20" i="20"/>
  <c r="K20" i="20"/>
  <c r="F14" i="15"/>
  <c r="T113" i="18" l="1"/>
  <c r="Y109" i="18"/>
  <c r="W110" i="18"/>
  <c r="G18" i="20"/>
  <c r="J19" i="20"/>
  <c r="K19" i="20"/>
  <c r="I19" i="20"/>
  <c r="F13" i="15"/>
  <c r="T114" i="18" l="1"/>
  <c r="W114" i="18" s="1"/>
  <c r="X110" i="18"/>
  <c r="Y110" i="18"/>
  <c r="G17" i="20"/>
  <c r="K18" i="20"/>
  <c r="I18" i="20"/>
  <c r="J18" i="20"/>
  <c r="F12" i="15"/>
  <c r="Y114" i="18" l="1"/>
  <c r="X114" i="18"/>
  <c r="G16" i="20"/>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W111" i="18" l="1"/>
  <c r="Y111" i="18" s="1"/>
  <c r="G8" i="20"/>
  <c r="J9" i="20"/>
  <c r="K9" i="20"/>
  <c r="I9" i="20"/>
  <c r="F2" i="15"/>
  <c r="F3" i="15"/>
  <c r="X111"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W112" i="18" l="1"/>
  <c r="X112" i="18" s="1"/>
  <c r="Y112" i="18" l="1"/>
  <c r="W113" i="18" l="1"/>
  <c r="X113" i="18" s="1"/>
  <c r="Y113" i="18" l="1"/>
  <c r="K50" i="60"/>
  <c r="I5" i="60"/>
  <c r="J5" i="60" s="1"/>
  <c r="J10" i="60" s="1"/>
  <c r="J12" i="60" s="1"/>
</calcChain>
</file>

<file path=xl/sharedStrings.xml><?xml version="1.0" encoding="utf-8"?>
<sst xmlns="http://schemas.openxmlformats.org/spreadsheetml/2006/main" count="17034" uniqueCount="6994">
  <si>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</si>
  <si>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</si>
  <si>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</si>
  <si>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</si>
  <si>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</si>
  <si>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</si>
  <si>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</si>
  <si>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</si>
  <si>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</si>
  <si>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</si>
  <si>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</si>
  <si>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</si>
  <si>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</si>
  <si>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</si>
  <si>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</si>
  <si>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</si>
  <si>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</si>
  <si>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</si>
  <si>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</si>
  <si>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</si>
  <si>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</si>
  <si>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</si>
  <si>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</si>
  <si>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</si>
  <si>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</si>
  <si>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</si>
  <si>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</si>
  <si>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</si>
  <si>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</si>
  <si>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</si>
  <si>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</si>
  <si>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</si>
  <si>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</si>
  <si>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</si>
  <si>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</si>
  <si>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</si>
  <si>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</si>
  <si>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</si>
  <si>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</si>
  <si>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</si>
  <si>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</si>
  <si>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</si>
  <si>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</si>
  <si>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</si>
  <si>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</si>
  <si>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</si>
  <si>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</si>
  <si>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</si>
  <si>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</si>
  <si>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</si>
  <si>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</si>
  <si>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</si>
  <si>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</si>
  <si>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</si>
  <si>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</si>
  <si>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</si>
  <si>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</si>
  <si>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</si>
  <si>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</si>
  <si>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</si>
  <si>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</si>
  <si>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</si>
  <si>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</si>
  <si>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</si>
  <si>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</si>
  <si>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</si>
  <si>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</si>
  <si>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</si>
  <si>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</si>
  <si>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</si>
  <si>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</si>
  <si>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</si>
  <si>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</si>
  <si>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</si>
  <si>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</si>
  <si>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</si>
  <si>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</si>
  <si>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</si>
  <si>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</si>
  <si>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</si>
  <si>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</si>
  <si>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</si>
  <si>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</si>
  <si>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</si>
  <si>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</si>
  <si>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</si>
  <si>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</si>
  <si>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</si>
  <si>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</si>
  <si>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</si>
  <si>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</si>
  <si>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</si>
  <si>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</si>
  <si>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</si>
  <si>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</si>
  <si>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</si>
  <si>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</si>
  <si>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</si>
  <si>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</si>
  <si>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</si>
  <si>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</si>
  <si>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</si>
  <si>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</si>
  <si>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</si>
  <si>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</si>
  <si>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</si>
  <si>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</si>
  <si>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</si>
  <si>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</si>
  <si>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</si>
  <si>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</si>
  <si>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</si>
  <si>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</si>
  <si>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</si>
  <si>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</si>
  <si>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</si>
  <si>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</si>
  <si>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</si>
  <si>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</si>
  <si>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</si>
  <si>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</si>
  <si>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</si>
  <si>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</si>
  <si>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</si>
  <si>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</si>
  <si>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</si>
  <si>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</si>
  <si>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</si>
  <si>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</si>
  <si>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</si>
  <si>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</si>
  <si>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</si>
  <si>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</si>
  <si>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</si>
  <si>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</si>
  <si>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</si>
  <si>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</si>
  <si>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</si>
  <si>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</si>
  <si>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</si>
  <si>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</si>
  <si>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</si>
  <si>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</si>
  <si>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</si>
  <si>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</si>
  <si>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</si>
  <si>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</si>
  <si>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</si>
  <si>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</si>
  <si>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</si>
  <si>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</si>
  <si>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</si>
  <si>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</si>
  <si>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</si>
  <si>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</si>
  <si>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</si>
  <si>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</si>
  <si>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</si>
  <si>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</si>
  <si>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</si>
  <si>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</si>
  <si>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</si>
  <si>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</si>
  <si>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</si>
  <si>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</si>
  <si>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</si>
  <si>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</si>
  <si>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</si>
  <si>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</si>
  <si>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</si>
  <si>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</si>
  <si>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</si>
  <si>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</si>
  <si>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</si>
  <si>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</si>
  <si>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</si>
  <si>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</si>
  <si>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</si>
  <si>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</si>
  <si>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</si>
  <si>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</si>
  <si>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</si>
  <si>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</si>
  <si>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</si>
  <si>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</si>
  <si>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</si>
  <si>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</si>
  <si>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</si>
  <si>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</si>
  <si>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</si>
  <si>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</si>
  <si>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</si>
  <si>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</si>
  <si>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</si>
  <si>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</si>
  <si>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</si>
  <si>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</si>
  <si>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</si>
  <si>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</si>
  <si>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</si>
  <si>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</si>
  <si>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</si>
  <si>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</si>
  <si>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</si>
  <si>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</si>
  <si>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</si>
  <si>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</si>
  <si>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</si>
  <si>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</si>
  <si>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</si>
  <si>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</si>
  <si>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</si>
  <si>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</si>
  <si>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</si>
  <si>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</si>
  <si>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</si>
  <si>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</si>
  <si>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</si>
  <si>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</si>
  <si>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</si>
  <si>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</si>
  <si>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</si>
  <si>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</si>
  <si>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</si>
  <si>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</si>
  <si>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</si>
  <si>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</si>
  <si>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</si>
  <si>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</si>
  <si>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</si>
  <si>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</si>
  <si>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</si>
  <si>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</si>
  <si>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</si>
  <si>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</si>
  <si>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</si>
  <si>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</si>
  <si>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</si>
  <si>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</si>
  <si>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</si>
  <si>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</si>
  <si>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</si>
  <si>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</si>
  <si>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</si>
  <si>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</si>
  <si>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</si>
  <si>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</si>
  <si>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</si>
  <si>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</si>
  <si>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</si>
  <si>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</si>
  <si>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</si>
  <si>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</si>
  <si>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</si>
  <si>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</si>
  <si>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</si>
  <si>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</si>
  <si>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</si>
  <si>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</si>
  <si>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</si>
  <si>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</si>
  <si>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</si>
  <si>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</si>
  <si>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</si>
  <si>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</si>
  <si>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</si>
  <si>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</si>
  <si>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</si>
  <si>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</si>
  <si>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</si>
  <si>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</si>
  <si>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</si>
  <si>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</si>
  <si>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</si>
  <si>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</si>
  <si>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</si>
  <si>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</si>
  <si>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</si>
  <si>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</si>
  <si>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</si>
  <si>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</si>
  <si>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</si>
  <si>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</si>
  <si>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</si>
  <si>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</si>
  <si>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</si>
  <si>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</si>
  <si>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</si>
  <si>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</si>
  <si>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</si>
  <si>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</si>
  <si>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</si>
  <si>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</si>
  <si>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</si>
  <si>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</si>
  <si>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</si>
  <si>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</si>
  <si>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</si>
  <si>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</si>
  <si>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</si>
  <si>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</si>
  <si>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</si>
  <si>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</si>
  <si>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</si>
  <si>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</si>
  <si>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</si>
  <si>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</si>
  <si>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</si>
  <si>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</si>
  <si>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</si>
  <si>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</si>
  <si>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</si>
  <si>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</si>
  <si>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</si>
  <si>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</si>
  <si>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</si>
  <si>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</si>
  <si>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</si>
  <si>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</si>
  <si>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</si>
  <si>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</si>
  <si>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</si>
  <si>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</si>
  <si>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</si>
  <si>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</si>
  <si>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</si>
  <si>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</si>
  <si>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</si>
  <si>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</si>
  <si>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</si>
  <si>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</si>
  <si>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</si>
  <si>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</si>
  <si>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</si>
  <si>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</si>
  <si>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</si>
  <si>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</si>
  <si>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</si>
  <si>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</si>
  <si>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</si>
  <si>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</si>
  <si>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</si>
  <si>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</si>
  <si>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</si>
  <si>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</si>
  <si>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</si>
  <si>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</si>
  <si>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</si>
  <si>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</si>
  <si>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</si>
  <si>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</si>
  <si>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</si>
  <si>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</si>
  <si>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</si>
  <si>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</si>
  <si>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</si>
  <si>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</si>
  <si>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</si>
  <si>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</si>
  <si>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</si>
  <si>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</si>
  <si>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</si>
  <si>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</si>
  <si>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</si>
  <si>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</si>
  <si>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</si>
  <si>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</si>
  <si>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</si>
  <si>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</si>
  <si>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</si>
  <si>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</si>
  <si>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</si>
  <si>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</si>
  <si>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</si>
  <si>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</si>
  <si>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</si>
  <si>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</si>
  <si>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</si>
  <si>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</si>
  <si>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</si>
  <si>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</si>
  <si>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</si>
  <si>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</si>
  <si>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</si>
  <si>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</si>
  <si>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</si>
  <si>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</si>
  <si>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</si>
  <si>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</si>
  <si>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</si>
  <si>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</si>
  <si>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</si>
  <si>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</si>
  <si>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</si>
  <si>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</si>
  <si>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</si>
  <si>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</si>
  <si>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</si>
  <si>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</si>
  <si>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</si>
  <si>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</si>
  <si>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</si>
  <si>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</si>
  <si>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</si>
  <si>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</si>
  <si>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</si>
  <si>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</si>
  <si>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</si>
  <si>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</si>
  <si>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</si>
  <si>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</si>
  <si>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</si>
  <si>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</si>
  <si>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</si>
  <si>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</si>
  <si>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</si>
  <si>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</si>
  <si>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</si>
  <si>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</si>
  <si>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</si>
  <si>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</si>
  <si>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</si>
  <si>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</si>
  <si>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</si>
  <si>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</si>
  <si>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</si>
  <si>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</si>
  <si>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</si>
  <si>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</si>
  <si>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</si>
  <si>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</si>
  <si>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</si>
  <si>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</si>
  <si>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</si>
  <si>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</si>
  <si>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</si>
  <si>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</si>
  <si>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</si>
  <si>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</si>
  <si>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</si>
  <si>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</si>
  <si>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</si>
  <si>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</si>
  <si>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</si>
  <si>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</si>
  <si>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</si>
  <si>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</si>
  <si>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</si>
  <si>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</si>
  <si>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</si>
  <si>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</si>
  <si>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</si>
  <si>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</si>
  <si>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</si>
  <si>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</si>
  <si>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</si>
  <si>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</si>
  <si>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</si>
  <si>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</si>
  <si>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</si>
  <si>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</si>
  <si>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</si>
  <si>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</si>
  <si>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</si>
  <si>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</si>
  <si>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</si>
  <si>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</si>
  <si>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</si>
  <si>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</si>
  <si>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</si>
  <si>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</si>
  <si>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</si>
  <si>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</si>
  <si>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</si>
  <si>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</si>
  <si>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</si>
  <si>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</si>
  <si>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</si>
  <si>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</si>
  <si>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</si>
  <si>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</si>
  <si>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</si>
  <si>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</si>
  <si>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</si>
  <si>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</si>
  <si>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</si>
  <si>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</si>
  <si>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</si>
  <si>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</si>
  <si>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</si>
  <si>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</si>
  <si>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</si>
  <si>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</si>
  <si>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</si>
  <si>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</si>
  <si>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</si>
  <si>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</si>
  <si>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</si>
  <si>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</si>
  <si>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</si>
  <si>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</si>
  <si>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</si>
  <si>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</si>
  <si>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</si>
  <si>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</si>
  <si>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</si>
  <si>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</si>
  <si>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</si>
  <si>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</si>
  <si>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</si>
  <si>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</si>
  <si>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</si>
  <si>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</si>
  <si>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</si>
  <si>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</si>
  <si>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</si>
  <si>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</si>
  <si>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</si>
  <si>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</si>
  <si>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</si>
  <si>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</si>
  <si>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</si>
  <si>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</si>
  <si>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</si>
  <si>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</si>
  <si>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</si>
  <si>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</si>
  <si>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</si>
  <si>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</si>
  <si>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</si>
  <si>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</si>
  <si>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</si>
  <si>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</si>
  <si>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</si>
  <si>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</si>
  <si>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</si>
  <si>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</si>
  <si>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</si>
  <si>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</si>
  <si>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</si>
  <si>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</si>
  <si>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</si>
  <si>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</si>
  <si>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</si>
  <si>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</si>
  <si>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</si>
  <si>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</si>
  <si>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</si>
  <si>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</si>
  <si>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</si>
  <si>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</si>
  <si>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</si>
  <si>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</si>
  <si>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</si>
  <si>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</si>
  <si>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</si>
  <si>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</si>
  <si>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</si>
  <si>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</si>
  <si>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</si>
  <si>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</si>
  <si>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</si>
  <si>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</si>
  <si>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</si>
  <si>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</si>
  <si>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</si>
  <si>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</si>
  <si>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</si>
  <si>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</si>
  <si>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</si>
  <si>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</si>
  <si>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</si>
  <si>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</si>
  <si>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</si>
  <si>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</si>
  <si>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</si>
  <si>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</si>
  <si>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</si>
  <si>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</si>
  <si>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</si>
  <si>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</si>
  <si>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</si>
  <si>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</si>
  <si>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</si>
  <si>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</si>
  <si>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</si>
  <si>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</si>
  <si>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</si>
  <si>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</si>
  <si>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</si>
  <si>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</si>
  <si>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</si>
  <si>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</si>
  <si>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</si>
  <si>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</si>
  <si>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</si>
  <si>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</si>
  <si>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</si>
  <si>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</si>
  <si>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</si>
  <si>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</si>
  <si>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</si>
  <si>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</si>
  <si>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</si>
  <si>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</si>
  <si>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</si>
  <si>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</si>
  <si>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</si>
  <si>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</si>
  <si>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</si>
  <si>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</si>
  <si>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</si>
  <si>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</si>
  <si>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</si>
  <si>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</si>
  <si>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</si>
  <si>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</si>
  <si>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</si>
  <si>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</si>
  <si>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</si>
  <si>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</si>
  <si>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</si>
  <si>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</si>
  <si>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</si>
  <si>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</si>
  <si>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</si>
  <si>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</si>
  <si>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</si>
  <si>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</si>
  <si>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</si>
  <si>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</si>
  <si>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</si>
  <si>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</si>
  <si>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</si>
  <si>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</si>
  <si>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</si>
  <si>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</si>
  <si>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</si>
  <si>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</si>
  <si>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</si>
  <si>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</si>
  <si>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</si>
  <si>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</si>
  <si>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</si>
  <si>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</si>
  <si>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</si>
  <si>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</si>
  <si>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</si>
  <si>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</si>
  <si>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</si>
  <si>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</si>
  <si>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</si>
  <si>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</si>
  <si>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</si>
  <si>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</si>
  <si>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</si>
  <si>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</si>
  <si>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</si>
  <si>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</si>
  <si>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</si>
  <si>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</si>
  <si>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</si>
  <si>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</si>
  <si>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</si>
  <si>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</si>
  <si>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</si>
  <si>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</si>
  <si>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</si>
  <si>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</si>
  <si>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</si>
  <si>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</si>
  <si>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</si>
  <si>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</si>
  <si>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</si>
  <si>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</si>
  <si>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</si>
  <si>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</si>
  <si>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</si>
  <si>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</si>
  <si>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</si>
  <si>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</si>
  <si>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</si>
  <si>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</si>
  <si>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</si>
  <si>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</si>
  <si>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</si>
  <si>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</si>
  <si>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</si>
  <si>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</si>
  <si>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</si>
  <si>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</si>
  <si>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</si>
  <si>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</si>
  <si>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</si>
  <si>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</si>
  <si>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</si>
  <si>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</si>
  <si>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</si>
  <si>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</si>
  <si>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</si>
  <si>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</si>
  <si>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</si>
  <si>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</si>
  <si>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</si>
  <si>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</si>
  <si>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</si>
  <si>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</si>
  <si>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</si>
  <si>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</si>
  <si>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</si>
  <si>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</si>
  <si>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</si>
  <si>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</si>
  <si>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</si>
  <si>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</si>
  <si>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</si>
  <si>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</si>
  <si>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</si>
  <si>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</si>
  <si>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</si>
  <si>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</si>
  <si>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</si>
  <si>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</si>
  <si>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</si>
  <si>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</si>
  <si>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</si>
  <si>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</si>
  <si>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</si>
  <si>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</si>
  <si>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</si>
  <si>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</si>
  <si>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</si>
  <si>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</si>
  <si>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</si>
  <si>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</si>
  <si>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</si>
  <si>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</si>
  <si>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</si>
  <si>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</si>
  <si>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</si>
  <si>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</si>
  <si>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</si>
  <si>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</si>
  <si>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</si>
  <si>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</si>
  <si>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</si>
  <si>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</si>
  <si>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</si>
  <si>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</si>
  <si>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</si>
  <si>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</si>
  <si>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</si>
  <si>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</si>
  <si>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</si>
  <si>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</si>
  <si>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</si>
  <si>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</si>
  <si>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</si>
  <si>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</si>
  <si>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</si>
  <si>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</si>
  <si>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</si>
  <si>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</si>
  <si>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</si>
  <si>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</si>
  <si>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</si>
  <si>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</si>
  <si>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</si>
  <si>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</si>
  <si>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</si>
  <si>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</si>
  <si>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</si>
  <si>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</si>
  <si>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</si>
  <si>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</si>
  <si>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</si>
  <si>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</si>
  <si>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</si>
  <si>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</si>
  <si>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</si>
  <si>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</si>
  <si>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</si>
  <si>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</si>
  <si>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</si>
  <si>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</si>
  <si>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</si>
  <si>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</si>
  <si>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</si>
  <si>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</si>
  <si>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</si>
  <si>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</si>
  <si>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</si>
  <si>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</si>
  <si>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</si>
  <si>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</si>
  <si>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</si>
  <si>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</si>
  <si>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</si>
  <si>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</si>
  <si>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</si>
  <si>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</si>
  <si>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</si>
  <si>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</si>
  <si>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</si>
  <si>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</si>
  <si>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</si>
  <si>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</si>
  <si>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</si>
  <si>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</si>
  <si>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</si>
  <si>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</si>
  <si>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</si>
  <si>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</si>
  <si>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</si>
  <si>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</si>
  <si>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</si>
  <si>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</si>
  <si>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</si>
  <si>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</si>
  <si>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</si>
  <si>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</si>
  <si>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</si>
  <si>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</si>
  <si>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</si>
  <si>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</si>
  <si>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</si>
  <si>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</si>
  <si>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</si>
  <si>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</si>
  <si>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</si>
  <si>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</si>
  <si>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</si>
  <si>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</si>
  <si>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</si>
  <si>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</si>
  <si>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</si>
  <si>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</si>
  <si>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</si>
  <si>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</si>
  <si>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</si>
  <si>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</si>
  <si>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</si>
  <si>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</si>
  <si>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</si>
  <si>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</si>
  <si>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</si>
  <si>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</si>
  <si>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</si>
  <si>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</si>
  <si>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</si>
  <si>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</si>
  <si>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</si>
  <si>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</si>
  <si>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</si>
  <si>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</si>
  <si>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</si>
  <si>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</si>
  <si>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</si>
  <si>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</si>
  <si>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</si>
  <si>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</si>
  <si>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</si>
  <si>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</si>
  <si>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</si>
  <si>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</si>
  <si>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</si>
  <si>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</si>
  <si>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</si>
  <si>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</si>
  <si>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</si>
  <si>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</si>
  <si>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</si>
  <si>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</si>
  <si>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</si>
  <si>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</si>
  <si>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</si>
  <si>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</si>
  <si>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</si>
  <si>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</si>
  <si>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</si>
  <si>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</si>
  <si>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</si>
  <si>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</si>
  <si>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</si>
  <si>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</si>
  <si>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</si>
  <si>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</si>
  <si>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</si>
  <si>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</si>
  <si>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</si>
  <si>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</si>
  <si>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</si>
  <si>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</si>
  <si>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</si>
  <si>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</si>
  <si>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</si>
  <si>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</si>
  <si>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</si>
  <si>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</si>
  <si>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</si>
  <si>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</si>
  <si>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</si>
  <si>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</si>
  <si>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</si>
  <si>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</si>
  <si>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</si>
  <si>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</si>
  <si>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</si>
  <si>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</si>
  <si>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</si>
  <si>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</si>
  <si>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</si>
  <si>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</si>
  <si>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</si>
  <si>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</si>
  <si>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</si>
  <si>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</si>
  <si>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</si>
  <si>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</si>
  <si>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</si>
  <si>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</si>
  <si>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</si>
  <si>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</si>
  <si>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</si>
  <si>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</si>
  <si>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</si>
  <si>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</si>
  <si>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</si>
  <si>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</si>
  <si>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</si>
  <si>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</si>
  <si>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</si>
  <si>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</si>
  <si>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</si>
  <si>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</si>
  <si>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</si>
  <si>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</si>
  <si>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</si>
  <si>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</si>
  <si>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</si>
  <si>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</si>
  <si>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</si>
  <si>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</si>
  <si>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</si>
  <si>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</si>
  <si>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</si>
  <si>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</si>
  <si>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</si>
  <si>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</si>
  <si>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</si>
  <si>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</si>
  <si>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</si>
  <si>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</si>
  <si>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</si>
  <si>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</si>
  <si>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</si>
  <si>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</si>
  <si>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</si>
  <si>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</si>
  <si>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</si>
  <si>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</si>
  <si>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</si>
  <si>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</si>
  <si>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</si>
  <si>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</si>
  <si>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</si>
  <si>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</si>
  <si>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</si>
  <si>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</si>
  <si>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</si>
  <si>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</si>
  <si>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</si>
  <si>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</si>
  <si>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</si>
  <si>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</si>
  <si>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</si>
  <si>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</si>
  <si>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</si>
  <si>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</si>
  <si>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</si>
  <si>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</si>
  <si>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</si>
  <si>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</si>
  <si>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</si>
  <si>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</si>
  <si>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</si>
  <si>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</si>
  <si>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</si>
  <si>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</si>
  <si>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</si>
  <si>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</si>
  <si>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</si>
  <si>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</si>
  <si>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</si>
  <si>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</si>
  <si>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</si>
  <si>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</si>
  <si>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</si>
  <si>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</si>
  <si>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</si>
  <si>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</si>
  <si>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</si>
  <si>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</si>
  <si>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</si>
  <si>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</si>
  <si>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</si>
  <si>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</si>
  <si>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</si>
  <si>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</si>
  <si>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</si>
  <si>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</si>
  <si>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</si>
  <si>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</si>
  <si>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</si>
  <si>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</si>
  <si>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</si>
  <si>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</si>
  <si>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</si>
  <si>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</si>
  <si>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</si>
  <si>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</si>
  <si>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</si>
  <si>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</si>
  <si>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</si>
  <si>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</si>
  <si>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</si>
  <si>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</si>
  <si>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</si>
  <si>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</si>
  <si>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</si>
  <si>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</si>
  <si>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</si>
  <si>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</si>
  <si>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</si>
  <si>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</si>
  <si>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</si>
  <si>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</si>
  <si>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</si>
  <si>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</si>
  <si>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</si>
  <si>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</si>
  <si>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</si>
  <si>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</si>
  <si>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</si>
  <si>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</si>
  <si>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</si>
  <si>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</si>
  <si>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</si>
  <si>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</si>
  <si>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</si>
  <si>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</si>
  <si>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</si>
  <si>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</si>
  <si>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</si>
  <si>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</si>
  <si>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</si>
  <si>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</si>
  <si>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</si>
  <si>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</si>
  <si>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</si>
  <si>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</si>
  <si>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</si>
  <si>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</si>
  <si>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</si>
  <si>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</si>
  <si>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</si>
  <si>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</si>
  <si>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</si>
  <si>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</si>
  <si>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</si>
  <si>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</si>
  <si>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</si>
  <si>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</si>
  <si>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</si>
  <si>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</si>
  <si>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</si>
  <si>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</si>
  <si>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</si>
  <si>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</si>
  <si>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</si>
  <si>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</si>
  <si>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</si>
  <si>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</si>
  <si>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</si>
  <si>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</si>
  <si>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</si>
  <si>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</si>
  <si>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</si>
  <si>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</si>
  <si>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</si>
  <si>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</si>
  <si>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</si>
  <si>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</si>
  <si>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</si>
  <si>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</si>
  <si>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</si>
  <si>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</si>
  <si>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</si>
  <si>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</si>
  <si>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</si>
  <si>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</si>
  <si>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</si>
  <si>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</si>
  <si>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</si>
  <si>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</si>
  <si>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</si>
  <si>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</si>
  <si>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</si>
  <si>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</si>
  <si>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</si>
  <si>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</si>
  <si>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</si>
  <si>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</si>
  <si>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</si>
  <si>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</si>
  <si>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</si>
  <si>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</si>
  <si>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</si>
  <si>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</si>
  <si>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</si>
  <si>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</si>
  <si>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</si>
  <si>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</si>
  <si>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</si>
  <si>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</si>
  <si>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</si>
  <si>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</si>
  <si>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</si>
  <si>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</si>
  <si>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</si>
  <si>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</si>
  <si>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</si>
  <si>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</si>
  <si>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</si>
  <si>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</si>
  <si>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</si>
  <si>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</si>
  <si>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</si>
  <si>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</si>
  <si>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</si>
  <si>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</si>
  <si>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</si>
  <si>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</si>
  <si>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</si>
  <si>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</si>
  <si>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</si>
  <si>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</si>
  <si>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</si>
  <si>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</si>
  <si>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</si>
  <si>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</si>
  <si>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</si>
  <si>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</si>
  <si>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</si>
  <si>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</si>
  <si>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</si>
  <si>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</si>
  <si>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</si>
  <si>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</si>
  <si>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</si>
  <si>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</si>
  <si>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</si>
  <si>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</si>
  <si>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</si>
  <si>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</si>
  <si>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</si>
  <si>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</si>
  <si>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</si>
  <si>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</si>
  <si>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</si>
  <si>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</si>
  <si>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</si>
  <si>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</si>
  <si>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</si>
  <si>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</si>
  <si>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</si>
  <si>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</si>
  <si>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</si>
  <si>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</si>
  <si>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</si>
  <si>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</si>
  <si>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</si>
  <si>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</si>
  <si>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</si>
  <si>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</si>
  <si>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</si>
  <si>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</si>
  <si>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</si>
  <si>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</si>
  <si>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</si>
  <si>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</si>
  <si>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</si>
  <si>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</si>
  <si>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</si>
  <si>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</si>
  <si>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</si>
  <si>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</si>
  <si>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</si>
  <si>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</si>
  <si>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</si>
  <si>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</si>
  <si>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</si>
  <si>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</si>
  <si>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</si>
  <si>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</si>
  <si>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</si>
  <si>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</si>
  <si>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</si>
  <si>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</si>
  <si>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</si>
  <si>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</si>
  <si>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</si>
  <si>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</si>
  <si>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</si>
  <si>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</si>
  <si>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</si>
  <si>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</si>
  <si>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</si>
  <si>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</si>
  <si>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</si>
  <si>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</si>
  <si>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</si>
  <si>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</si>
  <si>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</si>
  <si>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</si>
  <si>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</si>
  <si>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</si>
  <si>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</si>
  <si>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</si>
  <si>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</si>
  <si>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</si>
  <si>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</si>
  <si>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</si>
  <si>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</si>
  <si>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</si>
  <si>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</si>
  <si>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</si>
  <si>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</si>
  <si>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</si>
  <si>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</si>
  <si>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</si>
  <si>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</si>
  <si>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</si>
  <si>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</si>
  <si>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</si>
  <si>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</si>
  <si>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</si>
  <si>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</si>
  <si>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</si>
  <si>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</si>
  <si>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</si>
  <si>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</si>
  <si>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</si>
  <si>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</si>
  <si>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</si>
  <si>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</si>
  <si>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</si>
  <si>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</si>
  <si>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</si>
  <si>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</si>
  <si>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</si>
  <si>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</si>
  <si>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</si>
  <si>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</si>
  <si>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</si>
  <si>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</si>
  <si>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</si>
  <si>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</si>
  <si>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</si>
  <si>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</si>
  <si>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</si>
  <si>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</si>
  <si>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</si>
  <si>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</si>
  <si>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</si>
  <si>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</si>
  <si>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</si>
  <si>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</si>
  <si>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</si>
  <si>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</si>
  <si>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</si>
  <si>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</si>
  <si>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</si>
  <si>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</si>
  <si>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</si>
  <si>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</si>
  <si>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</si>
  <si>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</si>
  <si>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</si>
  <si>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</si>
  <si>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</si>
  <si>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</si>
  <si>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</si>
  <si>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</si>
  <si>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</si>
  <si>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</si>
  <si>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</si>
  <si>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</si>
  <si>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</si>
  <si>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</si>
  <si>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</si>
  <si>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</si>
  <si>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</si>
  <si>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</si>
  <si>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</si>
  <si>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</si>
  <si>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</si>
  <si>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</si>
  <si>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</si>
  <si>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</si>
  <si>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</si>
  <si>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</si>
  <si>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</si>
  <si>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</si>
  <si>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</si>
  <si>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</si>
  <si>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</si>
  <si>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</si>
  <si>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</si>
  <si>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</si>
  <si>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</si>
  <si>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</si>
  <si>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</si>
  <si>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</si>
  <si>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</si>
  <si>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</si>
  <si>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</si>
  <si>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</si>
  <si>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</si>
  <si>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</si>
  <si>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</si>
  <si>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</si>
  <si>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</si>
  <si>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</si>
  <si>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</si>
  <si>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</si>
  <si>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</si>
  <si>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</si>
  <si>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</si>
  <si>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</si>
  <si>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</si>
  <si>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</si>
  <si>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</si>
  <si>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</si>
  <si>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</si>
  <si>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</si>
  <si>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</si>
  <si>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</si>
  <si>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</si>
  <si>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</si>
  <si>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</si>
  <si>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</si>
  <si>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</si>
  <si>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</si>
  <si>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</si>
  <si>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</si>
  <si>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</si>
  <si>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</si>
  <si>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</si>
  <si>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</si>
  <si>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</si>
  <si>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</si>
  <si>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</si>
  <si>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</si>
  <si>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</si>
  <si>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</si>
  <si>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</si>
  <si>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</si>
  <si>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</si>
  <si>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</si>
  <si>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</si>
  <si>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</si>
  <si>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</si>
  <si>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</si>
  <si>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</si>
  <si>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</si>
  <si>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</si>
  <si>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</si>
  <si>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</si>
  <si>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</si>
  <si>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</si>
  <si>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</si>
  <si>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</si>
  <si>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</si>
  <si>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</si>
  <si>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</si>
  <si>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</si>
  <si>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</si>
  <si>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</si>
  <si>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</si>
  <si>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</si>
  <si>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</si>
  <si>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</si>
  <si>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</si>
  <si>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</si>
  <si>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</si>
  <si>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</si>
  <si>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</si>
  <si>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</si>
  <si>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</si>
  <si>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</si>
  <si>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</si>
  <si>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</si>
  <si>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</si>
  <si>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</si>
  <si>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</si>
  <si>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</si>
  <si>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</si>
  <si>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</si>
  <si>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</si>
  <si>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</si>
  <si>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</si>
  <si>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</si>
  <si>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</si>
  <si>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</si>
  <si>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</si>
  <si>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</si>
  <si>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</si>
  <si>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</si>
  <si>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</si>
  <si>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</si>
  <si>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</si>
  <si>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</si>
  <si>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</si>
  <si>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</si>
  <si>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</si>
  <si>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</si>
  <si>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</si>
  <si>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</si>
  <si>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</si>
  <si>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</si>
  <si>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</si>
  <si>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</si>
  <si>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</si>
  <si>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</si>
  <si>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</si>
  <si>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</si>
  <si>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</si>
  <si>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</si>
  <si>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</si>
  <si>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</si>
  <si>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</si>
  <si>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</si>
  <si>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</si>
  <si>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</si>
  <si>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</si>
  <si>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</si>
  <si>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</si>
  <si>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</si>
  <si>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</si>
  <si>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</si>
  <si>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</si>
  <si>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</si>
  <si>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</si>
  <si>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</si>
  <si>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</si>
  <si>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</si>
  <si>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</si>
  <si>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</si>
  <si>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</si>
  <si>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</si>
  <si>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</si>
  <si>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</si>
  <si>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</si>
  <si>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</si>
  <si>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</si>
  <si>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</si>
  <si>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</si>
  <si>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</si>
  <si>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</si>
  <si>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</si>
  <si>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</si>
  <si>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</si>
  <si>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</si>
  <si>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</si>
  <si>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</si>
  <si>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</si>
  <si>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</si>
  <si>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</si>
  <si>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</si>
  <si>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</si>
  <si>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</si>
  <si>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</si>
  <si>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</si>
  <si>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</si>
  <si>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</si>
  <si>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</si>
  <si>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</si>
  <si>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</si>
  <si>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</si>
  <si>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</si>
  <si>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</si>
  <si>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</si>
  <si>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</si>
  <si>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</si>
  <si>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</si>
  <si>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</si>
  <si>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</si>
  <si>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</si>
  <si>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</si>
  <si>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</si>
  <si>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</si>
  <si>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</si>
  <si>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</si>
  <si>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</si>
  <si>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</si>
  <si>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</si>
  <si>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</si>
  <si>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</si>
  <si>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</si>
  <si>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</si>
  <si>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</si>
  <si>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</si>
  <si>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</si>
  <si>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</si>
  <si>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</si>
  <si>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</si>
  <si>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</si>
  <si>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</si>
  <si>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</si>
  <si>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</si>
  <si>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</si>
  <si>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</si>
  <si>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</si>
  <si>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</si>
  <si>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</si>
  <si>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</si>
  <si>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</si>
  <si>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</si>
  <si>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</si>
  <si>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</si>
  <si>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</si>
  <si>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</si>
  <si>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</si>
  <si>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</si>
  <si>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</si>
  <si>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</si>
  <si>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</si>
  <si>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</si>
  <si>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</si>
  <si>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</si>
  <si>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</si>
  <si>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</si>
  <si>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</si>
  <si>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</si>
  <si>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</si>
  <si>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</si>
  <si>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</si>
  <si>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</si>
  <si>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</si>
  <si>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</si>
  <si>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</si>
  <si>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</si>
  <si>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</si>
  <si>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</si>
  <si>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</si>
  <si>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</si>
  <si>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</si>
  <si>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</si>
  <si>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</si>
  <si>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</si>
  <si>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</si>
  <si>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</si>
  <si>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</si>
  <si>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</si>
  <si>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</si>
  <si>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</si>
  <si>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</si>
  <si>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</si>
  <si>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</si>
  <si>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</si>
  <si>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</si>
  <si>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</si>
  <si>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</si>
  <si>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</si>
  <si>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</si>
  <si>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</si>
  <si>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</si>
  <si>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</si>
  <si>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</si>
  <si>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</si>
  <si>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</si>
  <si>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</si>
  <si>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</si>
  <si>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</si>
  <si>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</si>
  <si>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</si>
  <si>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</si>
  <si>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</si>
  <si>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</si>
  <si>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</si>
  <si>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</si>
  <si>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</si>
  <si>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</si>
  <si>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</si>
  <si>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</si>
  <si>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</si>
  <si>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</si>
  <si>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</si>
  <si>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</si>
  <si>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</si>
  <si>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</si>
  <si>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</si>
  <si>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</si>
  <si>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</si>
  <si>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</si>
  <si>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</si>
  <si>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</si>
  <si>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</si>
  <si>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</si>
  <si>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</si>
  <si>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</si>
  <si>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</si>
  <si>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</si>
  <si>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</si>
  <si>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</si>
  <si>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</si>
  <si>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</si>
  <si>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</si>
  <si>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</si>
  <si>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</si>
  <si>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</si>
  <si>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</si>
  <si>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</si>
  <si>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</si>
  <si>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</si>
  <si>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</si>
  <si>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</si>
  <si>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</si>
  <si>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</si>
  <si>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</si>
  <si>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</si>
  <si>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</si>
  <si>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</si>
  <si>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</si>
  <si>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</si>
  <si>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</si>
  <si>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</si>
  <si>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</si>
  <si>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</si>
  <si>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</si>
  <si>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</si>
  <si>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</si>
  <si>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</si>
  <si>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</si>
  <si>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</si>
  <si>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</si>
  <si>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</si>
  <si>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</si>
  <si>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</si>
  <si>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</si>
  <si>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</si>
  <si>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</si>
  <si>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</si>
  <si>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</si>
  <si>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</si>
  <si>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</si>
  <si>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</si>
  <si>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</si>
  <si>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</si>
  <si>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</si>
  <si>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</si>
  <si>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</si>
  <si>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</si>
  <si>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</si>
  <si>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</si>
  <si>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</si>
  <si>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</si>
  <si>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</si>
  <si>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</si>
  <si>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</si>
  <si>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</si>
  <si>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</si>
  <si>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</si>
  <si>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</si>
  <si>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</si>
  <si>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</si>
  <si>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</si>
  <si>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</si>
  <si>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</si>
  <si>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</si>
  <si>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</si>
  <si>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</si>
  <si>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</si>
  <si>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</si>
  <si>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</si>
  <si>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</si>
  <si>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</si>
  <si>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</si>
  <si>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</si>
  <si>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</si>
  <si>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</si>
  <si>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</si>
  <si>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</si>
  <si>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</si>
  <si>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</si>
  <si>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</si>
  <si>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</si>
  <si>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</si>
  <si>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</si>
  <si>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</si>
  <si>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</si>
  <si>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</si>
  <si>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</si>
  <si>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</si>
  <si>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</si>
  <si>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</si>
  <si>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</si>
  <si>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</si>
  <si>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</si>
  <si>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</si>
  <si>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</si>
  <si>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</si>
  <si>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</si>
  <si>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</si>
  <si>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</si>
  <si>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</si>
  <si>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</si>
  <si>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</si>
  <si>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</si>
  <si>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</si>
  <si>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</si>
  <si>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</si>
  <si>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</si>
  <si>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</si>
  <si>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</si>
  <si>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</si>
  <si>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</si>
  <si>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</si>
  <si>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</si>
  <si>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</si>
  <si>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</si>
  <si>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</si>
  <si>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</si>
  <si>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</si>
  <si>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</si>
  <si>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</si>
  <si>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</si>
  <si>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</si>
  <si>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</si>
  <si>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</si>
  <si>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</si>
  <si>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</si>
  <si>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</si>
  <si>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</si>
  <si>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</si>
  <si>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</si>
  <si>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</si>
  <si>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</si>
  <si>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</si>
  <si>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</si>
  <si>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</si>
  <si>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</si>
  <si>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</si>
  <si>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</si>
  <si>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</si>
  <si>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</si>
  <si>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</si>
  <si>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</si>
  <si>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</si>
  <si>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</si>
  <si>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</si>
  <si>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</si>
  <si>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</si>
  <si>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</si>
  <si>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</si>
  <si>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</si>
  <si>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</si>
  <si>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</si>
  <si>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</si>
  <si>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</si>
  <si>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</si>
  <si>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</si>
  <si>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</si>
  <si>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</si>
  <si>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</si>
  <si>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</si>
  <si>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</si>
  <si>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</si>
  <si>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</si>
  <si>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</si>
  <si>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</si>
  <si>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</si>
  <si>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</si>
  <si>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</si>
  <si>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</si>
  <si>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</si>
  <si>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</si>
  <si>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</si>
  <si>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</si>
  <si>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</si>
  <si>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</si>
  <si>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</si>
  <si>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</si>
  <si>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</si>
  <si>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</si>
  <si>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</si>
  <si>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</si>
  <si>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</si>
  <si>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</si>
  <si>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</si>
  <si>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</si>
  <si>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</si>
  <si>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</si>
  <si>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</si>
  <si>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</si>
  <si>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</si>
  <si>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</si>
  <si>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</si>
  <si>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</si>
  <si>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</si>
  <si>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</si>
  <si>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</si>
  <si>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</si>
  <si>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</si>
  <si>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</si>
  <si>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</si>
  <si>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</si>
  <si>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</si>
  <si>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</si>
  <si>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</si>
  <si>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</si>
  <si>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</si>
  <si>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</si>
  <si>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</si>
  <si>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</si>
  <si>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</si>
  <si>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</si>
  <si>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</si>
  <si>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</si>
  <si>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</si>
  <si>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</si>
  <si>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</si>
  <si>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</si>
  <si>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</si>
  <si>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</si>
  <si>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</si>
  <si>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</si>
  <si>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</si>
  <si>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</si>
  <si>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</si>
  <si>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</si>
  <si>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</si>
  <si>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</si>
  <si>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</si>
  <si>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</si>
  <si>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</si>
  <si>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</si>
  <si>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</si>
  <si>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</si>
  <si>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</si>
  <si>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</si>
  <si>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</si>
  <si>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</si>
  <si>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</si>
  <si>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</si>
  <si>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</si>
  <si>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</si>
  <si>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</si>
  <si>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</si>
  <si>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</si>
  <si>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</si>
  <si>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</si>
  <si>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</si>
  <si>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</si>
  <si>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</si>
  <si>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</si>
  <si>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</si>
  <si>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</si>
  <si>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</si>
  <si>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</si>
  <si>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</si>
  <si>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</si>
  <si>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</si>
  <si>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</si>
  <si>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</si>
  <si>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</si>
  <si>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</si>
  <si>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</si>
  <si>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</si>
  <si>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</si>
  <si>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</si>
  <si>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</si>
  <si>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</si>
  <si>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</si>
  <si>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</si>
  <si>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</si>
  <si>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</si>
  <si>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</si>
  <si>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</si>
  <si>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</si>
  <si>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</si>
  <si>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</si>
  <si>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</si>
  <si>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</si>
  <si>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</si>
  <si>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</si>
  <si>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</si>
  <si>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</si>
  <si>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</si>
  <si>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</si>
  <si>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</si>
  <si>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</si>
  <si>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</si>
  <si>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</si>
  <si>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</si>
  <si>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</si>
  <si>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</si>
  <si>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</si>
  <si>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</si>
  <si>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</si>
  <si>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</si>
  <si>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</si>
  <si>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</si>
  <si>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</si>
  <si>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</si>
  <si>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</si>
  <si>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</si>
  <si>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</si>
  <si>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</si>
  <si>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</si>
  <si>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</si>
  <si>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</si>
  <si>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</si>
  <si>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</si>
  <si>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</si>
  <si>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</si>
  <si>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</si>
  <si>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</si>
  <si>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</si>
  <si>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</si>
  <si>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</si>
  <si>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</si>
  <si>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</si>
  <si>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</si>
  <si>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</si>
  <si>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</si>
  <si>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</si>
  <si>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</si>
  <si>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</si>
  <si>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</si>
  <si>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</si>
  <si>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</si>
  <si>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</si>
  <si>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</si>
  <si>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</si>
  <si>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</si>
  <si>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</si>
  <si>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</si>
  <si>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</si>
  <si>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</si>
  <si>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</si>
  <si>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</si>
  <si>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</si>
  <si>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</si>
  <si>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</si>
  <si>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</si>
  <si>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</si>
  <si>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</si>
  <si>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</si>
  <si>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</si>
  <si>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</si>
  <si>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</si>
  <si>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</si>
  <si>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</si>
  <si>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</si>
  <si>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</si>
  <si>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</si>
  <si>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</si>
  <si>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</si>
  <si>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</si>
  <si>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</si>
  <si>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</si>
  <si>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</si>
  <si>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</si>
  <si>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</si>
  <si>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</si>
  <si>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</si>
  <si>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</si>
  <si>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</si>
  <si>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</si>
  <si>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</si>
  <si>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</si>
  <si>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</si>
  <si>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</si>
  <si>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</si>
  <si>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</si>
  <si>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</si>
  <si>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</si>
  <si>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</si>
  <si>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</si>
  <si>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</si>
  <si>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</si>
  <si>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</si>
  <si>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</si>
  <si>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</si>
  <si>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</si>
  <si>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</si>
  <si>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</si>
  <si>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</si>
  <si>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</si>
  <si>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</si>
  <si>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</si>
  <si>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</si>
  <si>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</si>
  <si>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</si>
  <si>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</si>
  <si>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</si>
  <si>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</si>
  <si>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</si>
  <si>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</si>
  <si>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</si>
  <si>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</si>
  <si>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</si>
  <si>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</si>
  <si>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</si>
  <si>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</si>
  <si>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</si>
  <si>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</si>
  <si>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</si>
  <si>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</si>
  <si>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</si>
  <si>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</si>
  <si>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</si>
  <si>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</si>
  <si>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</si>
  <si>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</si>
  <si>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</si>
  <si>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</si>
  <si>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</si>
  <si>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</si>
  <si>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</si>
  <si>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</si>
  <si>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</si>
  <si>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</si>
  <si>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</si>
  <si>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</si>
  <si>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</si>
  <si>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</si>
  <si>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</si>
  <si>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</si>
  <si>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</si>
  <si>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</si>
  <si>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</si>
  <si>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</si>
  <si>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</si>
  <si>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</si>
  <si>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</si>
  <si>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</si>
  <si>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</si>
  <si>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</si>
  <si>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</si>
  <si>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</si>
  <si>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</si>
  <si>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</si>
  <si>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</si>
  <si>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</si>
  <si>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</si>
  <si>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</si>
  <si>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</si>
  <si>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</si>
  <si>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</si>
  <si>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</si>
  <si>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</si>
  <si>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</si>
  <si>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</si>
  <si>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</si>
  <si>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</si>
  <si>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</si>
  <si>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</si>
  <si>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</si>
  <si>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</si>
  <si>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</si>
  <si>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</si>
  <si>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</si>
  <si>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</si>
  <si>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</si>
  <si>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</si>
  <si>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</si>
  <si>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</si>
  <si>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</si>
  <si>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</si>
  <si>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</si>
  <si>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</si>
  <si>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</si>
  <si>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</si>
  <si>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</si>
  <si>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</si>
  <si>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</si>
  <si>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</si>
  <si>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</si>
  <si>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</si>
  <si>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</si>
  <si>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</si>
  <si>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</si>
  <si>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</si>
  <si>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</si>
  <si>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</si>
  <si>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</si>
  <si>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</si>
  <si>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</si>
  <si>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</si>
  <si>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</si>
  <si>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</si>
  <si>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</si>
  <si>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</si>
  <si>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</si>
  <si>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</si>
  <si>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</si>
  <si>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</si>
  <si>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</si>
  <si>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</si>
  <si>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</si>
  <si>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</si>
  <si>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</si>
  <si>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</si>
  <si>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</si>
  <si>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</si>
  <si>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</si>
  <si>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</si>
  <si>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</si>
  <si>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</si>
  <si>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</si>
  <si>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</si>
  <si>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</si>
  <si>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</si>
  <si>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</si>
  <si>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</si>
  <si>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</si>
  <si>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</si>
  <si>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</si>
  <si>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</si>
  <si>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</si>
  <si>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</si>
  <si>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</si>
  <si>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</si>
  <si>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</si>
  <si>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</si>
  <si>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</si>
  <si>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</si>
  <si>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</si>
  <si>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</si>
  <si>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</si>
  <si>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</si>
  <si>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</si>
  <si>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</si>
  <si>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</si>
  <si>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</si>
  <si>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</si>
  <si>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</si>
  <si>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</si>
  <si>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</si>
  <si>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</si>
  <si>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</si>
  <si>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</si>
  <si>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</si>
  <si>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</si>
  <si>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</si>
  <si>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</si>
  <si>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</si>
  <si>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</si>
  <si>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</si>
  <si>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</si>
  <si>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</si>
  <si>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</si>
  <si>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</si>
  <si>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</si>
  <si>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</si>
  <si>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</si>
  <si>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</si>
  <si>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</si>
  <si>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</si>
  <si>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</si>
  <si>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</si>
  <si>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</si>
  <si>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</si>
  <si>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</si>
  <si>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</si>
  <si>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</si>
  <si>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</si>
  <si>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</si>
  <si>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</si>
  <si>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</si>
  <si>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</si>
  <si>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</si>
  <si>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</si>
  <si>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</si>
  <si>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</si>
  <si>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</si>
  <si>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</si>
  <si>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</si>
  <si>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</si>
  <si>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</si>
  <si>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</si>
  <si>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</si>
  <si>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</si>
  <si>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</si>
  <si>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</si>
  <si>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</si>
  <si>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</si>
  <si>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</si>
  <si>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</si>
  <si>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</si>
  <si>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</si>
  <si>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</si>
  <si>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</si>
  <si>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</si>
  <si>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</si>
  <si>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</si>
  <si>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</si>
  <si>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</si>
  <si>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</si>
  <si>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</si>
  <si>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</si>
  <si>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</si>
  <si>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</si>
  <si>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</si>
  <si>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</si>
  <si>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</si>
  <si>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</si>
  <si>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</si>
  <si>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</si>
  <si>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</si>
  <si>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</si>
  <si>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</si>
  <si>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</si>
  <si>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</si>
  <si>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</si>
  <si>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</si>
  <si>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</si>
  <si>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</si>
  <si>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</si>
  <si>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</si>
  <si>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</si>
  <si>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</si>
  <si>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</si>
  <si>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</si>
  <si>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</si>
  <si>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</si>
  <si>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</si>
  <si>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</si>
  <si>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</si>
  <si>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</si>
  <si>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</si>
  <si>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</si>
  <si>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</si>
  <si>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</si>
  <si>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</si>
  <si>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</si>
  <si>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</si>
  <si>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</si>
  <si>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</si>
  <si>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</si>
  <si>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</si>
  <si>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</si>
  <si>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</si>
  <si>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</si>
  <si>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</si>
  <si>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</si>
  <si>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</si>
  <si>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</si>
  <si>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</si>
  <si>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</si>
  <si>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</si>
  <si>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</si>
  <si>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</si>
  <si>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</si>
  <si>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</si>
  <si>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</si>
  <si>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</si>
  <si>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</si>
  <si>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</si>
  <si>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</si>
  <si>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</si>
  <si>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</si>
  <si>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</si>
  <si>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</si>
  <si>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</si>
  <si>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</si>
  <si>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</si>
  <si>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</si>
  <si>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</si>
  <si>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</si>
  <si>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</si>
  <si>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</si>
  <si>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</si>
  <si>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</si>
  <si>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</si>
  <si>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</si>
  <si>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</si>
  <si>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</si>
  <si>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</si>
  <si>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</si>
  <si>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</si>
  <si>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</si>
  <si>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</si>
  <si>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</si>
  <si>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</si>
  <si>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</si>
  <si>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</si>
  <si>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</si>
  <si>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</si>
  <si>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</si>
  <si>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</si>
  <si>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</si>
  <si>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</si>
  <si>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</si>
  <si>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</si>
  <si>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</si>
  <si>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</si>
  <si>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</si>
  <si>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</si>
  <si>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</si>
  <si>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</si>
  <si>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</si>
  <si>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</si>
  <si>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</si>
  <si>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</si>
  <si>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</si>
  <si>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</si>
  <si>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</si>
  <si>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</si>
  <si>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</si>
  <si>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</si>
  <si>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</si>
  <si>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</si>
  <si>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</si>
  <si>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</si>
  <si>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</si>
  <si>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</si>
  <si>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</si>
  <si>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</si>
  <si>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</si>
  <si>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</si>
  <si>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</si>
  <si>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</si>
  <si>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</si>
  <si>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</si>
  <si>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</si>
  <si>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</si>
  <si>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</si>
  <si>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</si>
  <si>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</si>
  <si>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</si>
  <si>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</si>
  <si>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</si>
  <si>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</si>
  <si>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</si>
  <si>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</si>
  <si>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</si>
  <si>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</si>
  <si>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</si>
  <si>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</si>
  <si>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</si>
  <si>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</si>
  <si>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</si>
  <si>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</si>
  <si>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</si>
  <si>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</si>
  <si>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</si>
  <si>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</si>
  <si>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</si>
  <si>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</si>
  <si>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</si>
  <si>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</si>
  <si>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</si>
  <si>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</si>
  <si>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</si>
  <si>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</si>
  <si>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</si>
  <si>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</si>
  <si>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</si>
  <si>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</si>
  <si>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</si>
  <si>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</si>
  <si>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</si>
  <si>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</si>
  <si>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</si>
  <si>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</si>
  <si>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</si>
  <si>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</si>
  <si>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</si>
  <si>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</si>
  <si>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</si>
  <si>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</si>
  <si>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</si>
  <si>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</si>
  <si>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</si>
  <si>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</si>
  <si>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</si>
  <si>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</si>
  <si>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</si>
  <si>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</si>
  <si>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</si>
  <si>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</si>
  <si>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</si>
  <si>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</si>
  <si>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</si>
  <si>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</si>
  <si>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</si>
  <si>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</si>
  <si>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</si>
  <si>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</si>
  <si>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</si>
  <si>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</si>
  <si>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</si>
  <si>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</si>
  <si>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</si>
  <si>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</si>
  <si>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</si>
  <si>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</si>
  <si>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</si>
  <si>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</si>
  <si>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</si>
  <si>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</si>
  <si>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</si>
  <si>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</si>
  <si>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</si>
  <si>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</si>
  <si>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</si>
  <si>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</si>
  <si>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</si>
  <si>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</si>
  <si>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</si>
  <si>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</si>
  <si>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</si>
  <si>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</si>
  <si>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</si>
  <si>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</si>
  <si>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</si>
  <si>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</si>
  <si>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</si>
  <si>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</si>
  <si>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</si>
  <si>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</si>
  <si>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</si>
  <si>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</si>
  <si>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</si>
  <si>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</si>
  <si>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</si>
  <si>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</si>
  <si>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</si>
  <si>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</si>
  <si>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</si>
  <si>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</si>
  <si>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</si>
  <si>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</si>
  <si>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</si>
  <si>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</si>
  <si>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</si>
  <si>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</si>
  <si>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</si>
  <si>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</si>
  <si>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</si>
  <si>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</si>
  <si>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</si>
  <si>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</si>
  <si>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</si>
  <si>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</si>
  <si>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</si>
  <si>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</si>
  <si>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</si>
  <si>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</si>
  <si>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</si>
  <si>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</si>
  <si>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</si>
  <si>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</si>
  <si>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</si>
  <si>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</si>
  <si>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</si>
  <si>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</si>
  <si>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</si>
  <si>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</si>
  <si>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</si>
  <si>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</si>
  <si>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</si>
  <si>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</si>
  <si>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</si>
  <si>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</si>
  <si>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</si>
  <si>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</si>
  <si>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</si>
  <si>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</si>
  <si>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</si>
  <si>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</si>
  <si>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</si>
  <si>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</si>
  <si>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</si>
  <si>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</si>
  <si>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</si>
  <si>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</si>
  <si>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</si>
  <si>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</si>
  <si>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</si>
  <si>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</si>
  <si>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</si>
  <si>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</si>
  <si>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</si>
  <si>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</si>
  <si>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</si>
  <si>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</si>
  <si>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</si>
  <si>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</si>
  <si>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</si>
  <si>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</si>
  <si>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</si>
  <si>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</si>
  <si>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</si>
  <si>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</si>
  <si>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</si>
  <si>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</si>
  <si>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</si>
  <si>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</si>
  <si>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</si>
  <si>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</si>
  <si>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</si>
  <si>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</si>
  <si>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</si>
  <si>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</si>
  <si>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</si>
  <si>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</si>
  <si>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</si>
  <si>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</si>
  <si>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</si>
  <si>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</si>
  <si>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</si>
  <si>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</si>
  <si>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</si>
  <si>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</si>
  <si>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</si>
  <si>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</si>
  <si>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</si>
  <si>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</si>
  <si>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</si>
  <si>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</si>
  <si>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</si>
  <si>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</si>
  <si>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</si>
  <si>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</si>
  <si>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</si>
  <si>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</si>
  <si>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</si>
  <si>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</si>
  <si>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</si>
  <si>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</si>
  <si>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</si>
  <si>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</si>
  <si>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</si>
  <si>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</si>
  <si>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</si>
  <si>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</si>
  <si>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</si>
  <si>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</si>
  <si>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</si>
  <si>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</si>
  <si>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</si>
  <si>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</si>
  <si>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</si>
  <si>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</si>
  <si>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</si>
  <si>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</si>
  <si>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</si>
  <si>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</si>
  <si>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</si>
  <si>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</si>
  <si>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</si>
  <si>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</si>
  <si>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</si>
  <si>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</si>
  <si>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</si>
  <si>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</si>
  <si>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</si>
  <si>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</si>
  <si>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</si>
  <si>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</si>
  <si>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</si>
  <si>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</si>
  <si>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</si>
  <si>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</si>
  <si>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</si>
  <si>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</si>
  <si>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</si>
  <si>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</si>
  <si>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</si>
  <si>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</si>
  <si>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</si>
  <si>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</si>
  <si>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</si>
  <si>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</si>
  <si>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</si>
  <si>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</si>
  <si>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</si>
  <si>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</si>
  <si>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</si>
  <si>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</si>
  <si>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</si>
  <si>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</si>
  <si>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</si>
  <si>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</si>
  <si>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</si>
  <si>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</si>
  <si>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</si>
  <si>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</si>
  <si>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</si>
  <si>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</si>
  <si>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</si>
  <si>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</si>
  <si>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</si>
  <si>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</si>
  <si>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</si>
  <si>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</si>
  <si>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</si>
  <si>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</si>
  <si>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</si>
  <si>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</si>
  <si>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</si>
  <si>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</si>
  <si>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</si>
  <si>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</si>
  <si>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</si>
  <si>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</si>
  <si>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</si>
  <si>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</si>
  <si>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</si>
  <si>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</si>
  <si>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</si>
  <si>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</si>
  <si>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</si>
  <si>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</si>
  <si>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</si>
  <si>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</si>
  <si>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</si>
  <si>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</si>
  <si>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</si>
  <si>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</si>
  <si>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</si>
  <si>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</si>
  <si>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</si>
  <si>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</si>
  <si>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</si>
  <si>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</si>
  <si>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</si>
  <si>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</si>
  <si>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</si>
  <si>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</si>
  <si>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</si>
  <si>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</si>
  <si>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</si>
  <si>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</si>
  <si>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</si>
  <si>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</si>
  <si>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</si>
  <si>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</si>
  <si>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</si>
  <si>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</si>
  <si>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</si>
  <si>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</si>
  <si>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</si>
  <si>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</si>
  <si>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</si>
  <si>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</si>
  <si>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</si>
  <si>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</si>
  <si>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</si>
  <si>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</si>
  <si>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</si>
  <si>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</si>
  <si>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</si>
  <si>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</si>
  <si>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</si>
  <si>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</si>
  <si>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</si>
  <si>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</si>
  <si>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</si>
  <si>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</si>
  <si>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</si>
  <si>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</si>
  <si>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</si>
  <si>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</si>
  <si>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</si>
  <si>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</si>
  <si>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</si>
  <si>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</si>
  <si>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</si>
  <si>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</si>
  <si>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</si>
  <si>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</si>
  <si>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</si>
  <si>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</si>
  <si>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</si>
  <si>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</si>
  <si>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</si>
  <si>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</si>
  <si>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</si>
  <si>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</si>
  <si>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</si>
  <si>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</si>
  <si>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</si>
  <si>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</si>
  <si>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</si>
  <si>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</si>
  <si>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</si>
  <si>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</si>
  <si>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</si>
  <si>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</si>
  <si>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</si>
  <si>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</si>
  <si>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</si>
  <si>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</si>
  <si>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</si>
  <si>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</si>
  <si>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</si>
  <si>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</si>
  <si>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</si>
  <si>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</si>
  <si>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</si>
  <si>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</si>
  <si>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</si>
  <si>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</si>
  <si>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</si>
  <si>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</si>
  <si>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</si>
  <si>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</si>
  <si>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</si>
  <si>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</si>
  <si>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</si>
  <si>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</si>
  <si>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</si>
  <si>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</si>
  <si>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</si>
  <si>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</si>
  <si>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</si>
  <si>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</si>
  <si>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</si>
  <si>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</si>
  <si>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</si>
  <si>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</si>
  <si>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</si>
  <si>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</si>
  <si>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</si>
  <si>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</si>
  <si>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</si>
  <si>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</si>
  <si>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</si>
  <si>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</si>
  <si>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</si>
  <si>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</si>
  <si>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</si>
  <si>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</si>
  <si>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</si>
  <si>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</si>
  <si>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</si>
  <si>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</si>
  <si>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</si>
  <si>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</si>
  <si>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</si>
  <si>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</si>
  <si>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</si>
  <si>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</si>
  <si>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</si>
  <si>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</si>
  <si>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</si>
  <si>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</si>
  <si>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</si>
  <si>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</si>
  <si>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</si>
  <si>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</si>
  <si>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</si>
  <si>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</si>
  <si>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</si>
  <si>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</si>
  <si>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</si>
  <si>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</si>
  <si>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</si>
  <si>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</si>
  <si>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</si>
  <si>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</si>
  <si>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</si>
  <si>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</si>
  <si>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</si>
  <si>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</si>
  <si>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</si>
  <si>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</si>
  <si>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</si>
  <si>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</si>
  <si>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</si>
  <si>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</si>
  <si>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</si>
  <si>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</si>
  <si>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</si>
  <si>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</si>
  <si>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</si>
  <si>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</si>
  <si>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</si>
  <si>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</si>
  <si>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</si>
  <si>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</si>
  <si>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</si>
  <si>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</si>
  <si>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</si>
  <si>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</si>
  <si>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</si>
  <si>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</si>
  <si>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</si>
  <si>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</si>
  <si>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</si>
  <si>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</si>
  <si>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</si>
  <si>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</si>
  <si>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</si>
  <si>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</si>
  <si>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</si>
  <si>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</si>
  <si>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</si>
  <si>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</si>
  <si>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</si>
  <si>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</si>
  <si>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</si>
  <si>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</si>
  <si>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</si>
  <si>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</si>
  <si>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</si>
  <si>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</si>
  <si>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</si>
  <si>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</si>
  <si>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</si>
  <si>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</si>
  <si>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</si>
  <si>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</si>
  <si>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</si>
  <si>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</si>
  <si>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</si>
  <si>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</si>
  <si>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</si>
  <si>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</si>
  <si>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</si>
  <si>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</si>
  <si>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</si>
  <si>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</si>
  <si>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</si>
  <si>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</si>
  <si>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</si>
  <si>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</si>
  <si>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</si>
  <si>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</si>
  <si>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</si>
  <si>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</si>
  <si>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</si>
  <si>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</si>
  <si>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</si>
  <si>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</si>
  <si>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</si>
  <si>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</si>
  <si>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</si>
  <si>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</si>
  <si>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</si>
  <si>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</si>
  <si>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</si>
  <si>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</si>
  <si>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</si>
  <si>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</si>
  <si>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</si>
  <si>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</si>
  <si>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</si>
  <si>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</si>
  <si>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</si>
  <si>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</si>
  <si>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</si>
  <si>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</si>
  <si>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</si>
  <si>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</si>
  <si>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</si>
  <si>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</si>
  <si>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</si>
  <si>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</si>
  <si>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</si>
  <si>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</si>
  <si>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</si>
  <si>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</si>
  <si>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</si>
  <si>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</si>
  <si>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</si>
  <si>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</si>
  <si>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</si>
  <si>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</si>
  <si>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</si>
  <si>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</si>
  <si>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</si>
  <si>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</si>
  <si>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</si>
  <si>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</si>
  <si>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</si>
  <si>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</si>
  <si>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</si>
  <si>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</si>
  <si>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</si>
  <si>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</si>
  <si>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</si>
  <si>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</si>
  <si>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</si>
  <si>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</si>
  <si>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</si>
  <si>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</si>
  <si>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</si>
  <si>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</si>
  <si>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</si>
  <si>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</si>
  <si>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</si>
  <si>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</si>
  <si>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</si>
  <si>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</si>
  <si>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</si>
  <si>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</si>
  <si>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</si>
  <si>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</si>
  <si>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</si>
  <si>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</si>
  <si>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</si>
  <si>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</si>
  <si>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</si>
  <si>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</si>
  <si>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</si>
  <si>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</si>
  <si>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</si>
  <si>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</si>
  <si>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</si>
  <si>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</si>
  <si>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</si>
  <si>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</si>
  <si>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</si>
  <si>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</si>
  <si>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</si>
  <si>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</si>
  <si>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</si>
  <si>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</si>
  <si>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</si>
  <si>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</si>
  <si>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</si>
  <si>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</si>
  <si>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</si>
  <si>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</si>
  <si>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</si>
  <si>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</si>
  <si>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</si>
  <si>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</si>
  <si>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</si>
  <si>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</si>
  <si>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</si>
  <si>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</si>
  <si>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</si>
  <si>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</si>
  <si>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</si>
  <si>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</si>
  <si>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</si>
  <si>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</si>
  <si>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</si>
  <si>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</si>
  <si>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</si>
  <si>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</si>
  <si>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</si>
  <si>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</si>
  <si>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</si>
  <si>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</si>
  <si>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</si>
  <si>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</si>
  <si>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</si>
  <si>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</si>
  <si>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</si>
  <si>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</si>
  <si>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</si>
  <si>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</si>
  <si>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</si>
  <si>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</si>
  <si>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</si>
  <si>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</si>
  <si>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</si>
  <si>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</si>
  <si>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</si>
  <si>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</si>
  <si>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</si>
  <si>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</si>
  <si>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</si>
  <si>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</si>
  <si>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</si>
  <si>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</si>
  <si>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</si>
  <si>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</si>
  <si>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</si>
  <si>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</si>
  <si>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</si>
  <si>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</si>
  <si>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</si>
  <si>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</si>
  <si>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</si>
  <si>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</si>
  <si>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</si>
  <si>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</si>
  <si>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</si>
  <si>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</si>
  <si>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</si>
  <si>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</si>
  <si>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</si>
  <si>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</si>
  <si>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</si>
  <si>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</si>
  <si>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</si>
  <si>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</si>
  <si>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</si>
  <si>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</si>
  <si>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</si>
  <si>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</si>
  <si>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</si>
  <si>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</si>
  <si>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</si>
  <si>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</si>
  <si>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</si>
  <si>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</si>
  <si>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</si>
  <si>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</si>
  <si>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</si>
  <si>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</si>
  <si>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</si>
  <si>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</si>
  <si>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</si>
  <si>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</si>
  <si>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</si>
  <si>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</si>
  <si>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</si>
  <si>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</si>
  <si>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</si>
  <si>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</si>
  <si>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</si>
  <si>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</si>
  <si>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</si>
  <si>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</si>
  <si>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</si>
  <si>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</si>
  <si>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</si>
  <si>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</si>
  <si>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</si>
  <si>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</si>
  <si>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</si>
  <si>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</si>
  <si>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</si>
  <si>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</si>
  <si>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</si>
  <si>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</si>
  <si>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</si>
  <si>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</si>
  <si>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</si>
  <si>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</si>
  <si>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</si>
  <si>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</si>
  <si>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</si>
  <si>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</si>
  <si>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</si>
  <si>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</si>
  <si>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</si>
  <si>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</si>
  <si>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</si>
  <si>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</si>
  <si>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</si>
  <si>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</si>
  <si>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</si>
  <si>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</si>
  <si>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</si>
  <si>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</si>
  <si>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</si>
  <si>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</si>
  <si>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</si>
  <si>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</si>
  <si>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</si>
  <si>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</si>
  <si>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</si>
  <si>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</si>
  <si>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</si>
  <si>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</si>
  <si>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</si>
  <si>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</si>
  <si>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</si>
  <si>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</si>
  <si>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</si>
  <si>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</si>
  <si>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</si>
  <si>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</si>
  <si>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</si>
  <si>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</si>
  <si>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</si>
  <si>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</si>
  <si>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</si>
  <si>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</si>
  <si>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</si>
  <si>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</si>
  <si>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</si>
  <si>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</si>
  <si>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</si>
  <si>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</si>
  <si>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</si>
  <si>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</si>
  <si>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</si>
  <si>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</si>
  <si>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</si>
  <si>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</si>
  <si>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</si>
  <si>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</si>
  <si>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</si>
  <si>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</si>
  <si>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</si>
  <si>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</si>
  <si>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</si>
  <si>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</si>
  <si>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</si>
  <si>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</si>
  <si>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</si>
  <si>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</si>
  <si>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</si>
  <si>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</si>
  <si>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</si>
  <si>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</si>
  <si>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</si>
  <si>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</si>
  <si>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</si>
  <si>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</si>
  <si>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</si>
  <si>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</si>
  <si>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</si>
  <si>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</si>
  <si>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</si>
  <si>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</si>
  <si>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</si>
  <si>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</si>
  <si>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</si>
  <si>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</si>
  <si>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</si>
  <si>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</si>
  <si>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</si>
  <si>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</si>
  <si>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</si>
  <si>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</si>
  <si>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</si>
  <si>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</si>
  <si>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</si>
  <si>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</si>
  <si>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</si>
  <si>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</si>
  <si>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</si>
  <si>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</si>
  <si>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</si>
  <si>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</si>
  <si>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</si>
  <si>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</si>
  <si>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</si>
  <si>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</si>
  <si>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</si>
  <si>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</si>
  <si>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</si>
  <si>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</si>
  <si>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</si>
  <si>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</si>
  <si>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</si>
  <si>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</si>
  <si>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</si>
  <si>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</si>
  <si>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</si>
  <si>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</si>
  <si>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</si>
  <si>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</si>
  <si>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</si>
  <si>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</si>
  <si>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</si>
  <si>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</si>
  <si>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</si>
  <si>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</si>
  <si>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</si>
  <si>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</si>
  <si>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</si>
  <si>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</si>
  <si>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</si>
  <si>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</si>
  <si>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</si>
  <si>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</si>
  <si>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</si>
  <si>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</si>
  <si>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</si>
  <si>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</si>
  <si>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</si>
  <si>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</si>
  <si>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</si>
  <si>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</si>
  <si>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</si>
  <si>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</si>
  <si>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</si>
  <si>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</si>
  <si>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</si>
  <si>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</si>
  <si>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</si>
  <si>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</si>
  <si>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</si>
  <si>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</si>
  <si>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</si>
  <si>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</si>
  <si>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</si>
  <si>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</si>
  <si>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</si>
  <si>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</si>
  <si>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</si>
  <si>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</si>
  <si>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</si>
  <si>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</si>
  <si>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</si>
  <si>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</si>
  <si>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</si>
  <si>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</si>
  <si>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</si>
  <si>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</si>
  <si>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</si>
  <si>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</si>
  <si>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</si>
  <si>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</si>
  <si>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</si>
  <si>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</si>
  <si>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</si>
  <si>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</si>
  <si>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</si>
  <si>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</si>
  <si>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</si>
  <si>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</si>
  <si>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</si>
  <si>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</si>
  <si>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</si>
  <si>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</si>
  <si>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</si>
  <si>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</si>
  <si>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</si>
  <si>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</si>
  <si>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</si>
  <si>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</si>
  <si>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</si>
  <si>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</si>
  <si>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</si>
  <si>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</si>
  <si>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</si>
  <si>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</si>
  <si>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</si>
  <si>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</si>
  <si>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</si>
  <si>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</si>
  <si>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</si>
  <si>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</si>
  <si>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</si>
  <si>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</si>
  <si>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</si>
  <si>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</si>
  <si>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</si>
  <si>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</si>
  <si>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</si>
  <si>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</si>
  <si>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</si>
  <si>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</si>
  <si>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</si>
  <si>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</si>
  <si>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</si>
  <si>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</si>
  <si>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</si>
  <si>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</si>
  <si>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</si>
  <si>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</si>
  <si>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</si>
  <si>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</si>
  <si>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</si>
  <si>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</si>
  <si>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</si>
  <si>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</si>
  <si>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</si>
  <si>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</si>
  <si>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</si>
  <si>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</si>
  <si>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</si>
  <si>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</si>
  <si>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</si>
  <si>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</si>
  <si>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</si>
  <si>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</si>
  <si>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</si>
  <si>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</si>
  <si>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</si>
  <si>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</si>
  <si>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</si>
  <si>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</si>
  <si>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</si>
  <si>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</si>
  <si>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</si>
  <si>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</si>
  <si>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</si>
  <si>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</si>
  <si>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</si>
  <si>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</si>
  <si>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</si>
  <si>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</si>
  <si>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</si>
  <si>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</si>
  <si>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</si>
  <si>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</si>
  <si>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</si>
  <si>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</si>
  <si>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</si>
  <si>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</si>
  <si>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</si>
  <si>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</si>
  <si>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</si>
  <si>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</si>
  <si>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</si>
  <si>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</si>
  <si>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</si>
  <si>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</si>
  <si>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</si>
  <si>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</si>
  <si>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</si>
  <si>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</si>
  <si>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</si>
  <si>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</si>
  <si>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</si>
  <si>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</si>
  <si>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</si>
  <si>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</si>
  <si>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</si>
  <si>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</si>
  <si>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</si>
  <si>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</si>
  <si>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</si>
  <si>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</si>
  <si>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</si>
  <si>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</si>
  <si>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</si>
  <si>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</si>
  <si>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</si>
  <si>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</si>
  <si>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</si>
  <si>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</si>
  <si>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</si>
  <si>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</si>
  <si>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</si>
  <si>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</si>
  <si>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</si>
  <si>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</si>
  <si>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</si>
  <si>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</si>
  <si>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</si>
  <si>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</si>
  <si>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</si>
  <si>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</si>
  <si>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</si>
  <si>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</si>
  <si>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</si>
  <si>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</si>
  <si>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</si>
  <si>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</si>
  <si>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</si>
  <si>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</si>
  <si>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</si>
  <si>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</si>
  <si>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</si>
  <si>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</si>
  <si>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</si>
  <si>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</si>
  <si>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</si>
  <si>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</si>
  <si>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</si>
  <si>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</si>
  <si>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</si>
  <si>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</si>
  <si>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</si>
  <si>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</si>
  <si>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</si>
  <si>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</si>
  <si>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</si>
  <si>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</si>
  <si>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</si>
  <si>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</si>
  <si>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</si>
  <si>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</si>
  <si>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</si>
  <si>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</si>
  <si>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</si>
  <si>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</si>
  <si>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</si>
  <si>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</si>
  <si>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</si>
  <si>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</si>
  <si>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</si>
  <si>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</si>
  <si>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</si>
  <si>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</si>
  <si>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</si>
  <si>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</si>
  <si>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</si>
  <si>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</si>
  <si>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</si>
  <si>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</si>
  <si>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</si>
  <si>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</si>
  <si>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</si>
  <si>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</si>
  <si>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</si>
  <si>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</si>
  <si>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</si>
  <si>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</si>
  <si>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</si>
  <si>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</si>
  <si>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</si>
  <si>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</si>
  <si>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</si>
  <si>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</si>
  <si>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</si>
  <si>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</si>
  <si>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</si>
  <si>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</si>
  <si>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</si>
  <si>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</si>
  <si>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</si>
  <si>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</si>
  <si>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</si>
  <si>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</si>
  <si>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</si>
  <si>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</si>
  <si>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</si>
  <si>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</si>
  <si>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</si>
  <si>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</si>
  <si>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</si>
  <si>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</si>
  <si>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</si>
  <si>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</si>
  <si>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</si>
  <si>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</si>
  <si>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</si>
  <si>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</si>
  <si>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</si>
  <si>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</si>
  <si>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</si>
  <si>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</si>
  <si>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</si>
  <si>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</si>
  <si>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</si>
  <si>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</si>
  <si>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</si>
  <si>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</si>
  <si>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</si>
  <si>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</si>
  <si>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</si>
  <si>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</si>
  <si>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</si>
  <si>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</si>
  <si>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</si>
  <si>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</si>
  <si>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</si>
  <si>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</si>
  <si>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</si>
  <si>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</si>
  <si>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</si>
  <si>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</si>
  <si>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</si>
  <si>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</si>
  <si>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</si>
  <si>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</si>
  <si>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</si>
  <si>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</si>
  <si>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</si>
  <si>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</si>
  <si>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</si>
  <si>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</si>
  <si>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</si>
  <si>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</si>
  <si>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</si>
  <si>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</si>
  <si>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</si>
  <si>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</si>
  <si>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</si>
  <si>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</si>
  <si>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</si>
  <si>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</si>
  <si>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</si>
  <si>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</si>
  <si>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</si>
  <si>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</si>
  <si>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</si>
  <si>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</si>
  <si>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</si>
  <si>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</si>
  <si>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</si>
  <si>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</si>
  <si>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</si>
  <si>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</si>
  <si>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</si>
  <si>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</si>
  <si>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</si>
  <si>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</si>
  <si>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</si>
  <si>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</si>
  <si>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</si>
  <si>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</si>
  <si>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</si>
  <si>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</si>
  <si>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</si>
  <si>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</si>
  <si>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</si>
  <si>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</si>
  <si>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</si>
  <si>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</si>
  <si>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</si>
  <si>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</si>
  <si>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</si>
  <si>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</si>
  <si>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</si>
  <si>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</si>
  <si>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</si>
  <si>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</si>
  <si>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</si>
  <si>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</si>
  <si>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</si>
  <si>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</si>
  <si>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</si>
  <si>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</si>
  <si>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</si>
  <si>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</si>
  <si>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</si>
  <si>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</si>
  <si>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</si>
  <si>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</si>
  <si>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</si>
  <si>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</si>
  <si>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</si>
  <si>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</si>
  <si>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</si>
  <si>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</si>
  <si>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</si>
  <si>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</si>
  <si>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</si>
  <si>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</si>
  <si>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</si>
  <si>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</si>
  <si>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</si>
  <si>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</si>
  <si>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</si>
  <si>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</si>
  <si>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</si>
  <si>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</si>
  <si>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</si>
  <si>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</si>
  <si>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</si>
  <si>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</si>
  <si>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</si>
  <si>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</si>
  <si>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</si>
  <si>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</si>
  <si>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</si>
  <si>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</si>
  <si>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</si>
  <si>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</si>
  <si>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</si>
  <si>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</si>
  <si>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</si>
  <si>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</si>
  <si>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</si>
  <si>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</si>
  <si>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</si>
  <si>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</si>
  <si>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</si>
  <si>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</si>
  <si>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</si>
  <si>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</si>
  <si>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</si>
  <si>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</si>
  <si>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</si>
  <si>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</si>
  <si>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</si>
  <si>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</si>
  <si>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</si>
  <si>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</si>
  <si>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</si>
  <si>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</si>
  <si>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</si>
  <si>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</si>
  <si>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</si>
  <si>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</si>
  <si>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</si>
  <si>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</si>
  <si>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</si>
  <si>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</si>
  <si>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</si>
  <si>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</si>
  <si>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</si>
  <si>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</si>
  <si>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</si>
  <si>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</si>
  <si>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</si>
  <si>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</si>
  <si>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</si>
  <si>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</si>
  <si>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</si>
  <si>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</si>
  <si>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</si>
  <si>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</si>
  <si>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</si>
  <si>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</si>
  <si>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</si>
  <si>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</si>
  <si>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</si>
  <si>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</si>
  <si>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</si>
  <si>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</si>
  <si>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</si>
  <si>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</si>
  <si>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</si>
  <si>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</si>
  <si>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</si>
  <si>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</si>
  <si>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</si>
  <si>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</si>
  <si>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</si>
  <si>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</si>
  <si>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</si>
  <si>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</si>
  <si>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</si>
  <si>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</si>
  <si>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</si>
  <si>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</si>
  <si>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</si>
  <si>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</si>
  <si>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</si>
  <si>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</si>
  <si>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</si>
  <si>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</si>
  <si>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</si>
  <si>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</si>
  <si>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</si>
  <si>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</si>
  <si>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</si>
  <si>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</si>
  <si>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</si>
  <si>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</si>
  <si>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</si>
  <si>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</si>
  <si>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</si>
  <si>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</si>
  <si>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</si>
  <si>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</si>
  <si>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</si>
  <si>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</si>
  <si>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</si>
  <si>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</si>
  <si>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</si>
  <si>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</si>
  <si>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</si>
  <si>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</si>
  <si>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</si>
  <si>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</si>
  <si>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</si>
  <si>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</si>
  <si>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</si>
  <si>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</si>
  <si>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</si>
  <si>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</si>
  <si>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</si>
  <si>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</si>
  <si>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</si>
  <si>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</si>
  <si>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</si>
  <si>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</si>
  <si>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</si>
  <si>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</si>
  <si>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</si>
  <si>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</si>
  <si>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</si>
  <si>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</si>
  <si>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</si>
  <si>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</si>
  <si>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</si>
  <si>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</si>
  <si>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</si>
  <si>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</si>
  <si>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</si>
  <si>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</si>
  <si>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</si>
  <si>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</si>
  <si>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</si>
  <si>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</si>
  <si>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</si>
  <si>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</si>
  <si>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</si>
  <si>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</si>
  <si>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</si>
  <si>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</si>
  <si>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</si>
  <si>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</si>
  <si>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</si>
  <si>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</si>
  <si>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</si>
  <si>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</si>
  <si>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</si>
  <si>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</si>
  <si>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</si>
  <si>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</si>
  <si>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</si>
  <si>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</si>
  <si>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</si>
  <si>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</si>
  <si>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</si>
  <si>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</si>
  <si>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</si>
  <si>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</si>
  <si>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</si>
  <si>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</si>
  <si>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</si>
  <si>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</si>
  <si>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</si>
  <si>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</si>
  <si>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</si>
  <si>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</si>
  <si>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</si>
  <si>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</si>
  <si>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</si>
  <si>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</si>
  <si>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</si>
  <si>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</si>
  <si>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</si>
  <si>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</si>
  <si>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</si>
  <si>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</si>
  <si>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</si>
  <si>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</si>
  <si>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</si>
  <si>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</si>
  <si>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</si>
  <si>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</si>
  <si>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</si>
  <si>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</si>
  <si>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</si>
  <si>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</si>
  <si>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</si>
  <si>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</si>
  <si>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</si>
  <si>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</si>
  <si>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</si>
  <si>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</si>
  <si>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</si>
  <si>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</si>
  <si>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</si>
  <si>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</si>
  <si>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</si>
  <si>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</si>
  <si>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</si>
  <si>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</si>
  <si>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</si>
  <si>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</si>
  <si>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</si>
  <si>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</si>
  <si>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</si>
  <si>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</si>
  <si>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</si>
  <si>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</si>
  <si>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</si>
  <si>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</si>
  <si>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</si>
  <si>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</si>
  <si>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</si>
  <si>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</si>
  <si>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</si>
  <si>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</si>
  <si>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</si>
  <si>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</si>
  <si>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</si>
  <si>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</si>
  <si>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</si>
  <si>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</si>
  <si>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</si>
  <si>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</si>
  <si>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</si>
  <si>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</si>
  <si>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</si>
  <si>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</si>
  <si>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</si>
  <si>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</si>
  <si>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</si>
  <si>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</si>
  <si>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</si>
  <si>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</si>
  <si>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</si>
  <si>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</si>
  <si>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</si>
  <si>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</si>
  <si>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</si>
  <si>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</si>
  <si>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</si>
  <si>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</si>
  <si>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</si>
  <si>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</si>
  <si>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</si>
  <si>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</si>
  <si>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</si>
  <si>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</si>
  <si>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</si>
  <si>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</si>
  <si>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</si>
  <si>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</si>
  <si>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</si>
  <si>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</si>
  <si>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</si>
  <si>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</si>
  <si>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</si>
  <si>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</si>
  <si>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</si>
  <si>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</si>
  <si>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</si>
  <si>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</si>
  <si>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</si>
  <si>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</si>
  <si>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</si>
  <si>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</si>
  <si>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</si>
  <si>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</si>
  <si>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</si>
  <si>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</si>
  <si>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</si>
  <si>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</si>
  <si>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</si>
  <si>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</si>
  <si>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</si>
  <si>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</si>
  <si>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</si>
  <si>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</si>
  <si>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</si>
  <si>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</si>
  <si>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</si>
  <si>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</si>
  <si>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</si>
  <si>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</si>
  <si>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</si>
  <si>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</si>
  <si>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</si>
  <si>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</si>
  <si>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</si>
  <si>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</si>
  <si>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</si>
  <si>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</si>
  <si>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</si>
  <si>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</si>
  <si>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</si>
  <si>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</si>
  <si>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</si>
  <si>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</si>
  <si>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</si>
  <si>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</si>
  <si>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</si>
  <si>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</si>
  <si>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</si>
  <si>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</si>
  <si>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</si>
  <si>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</si>
  <si>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</si>
  <si>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</si>
  <si>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</si>
  <si>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</si>
  <si>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</si>
  <si>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</si>
  <si>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</si>
  <si>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</si>
  <si>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</si>
  <si>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</si>
  <si>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</si>
  <si>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</si>
  <si>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</si>
  <si>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</si>
  <si>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</si>
  <si>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</si>
  <si>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</si>
  <si>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</si>
  <si>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</si>
  <si>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</si>
  <si>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</si>
  <si>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</si>
  <si>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</si>
  <si>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</si>
  <si>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</si>
  <si>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</si>
  <si>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</si>
  <si>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</si>
  <si>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</si>
  <si>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</si>
  <si>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</si>
  <si>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</si>
  <si>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</si>
  <si>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</si>
  <si>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</si>
  <si>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</si>
  <si>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</si>
  <si>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</si>
  <si>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</si>
  <si>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</si>
  <si>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</si>
  <si>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</si>
  <si>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</si>
  <si>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</si>
  <si>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</si>
  <si>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</si>
  <si>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</si>
  <si>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</si>
  <si>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</si>
  <si>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</si>
  <si>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</si>
  <si>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</si>
  <si>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</si>
  <si>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</si>
  <si>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</si>
  <si>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</si>
  <si>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</si>
  <si>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</si>
  <si>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</si>
  <si>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</si>
  <si>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</si>
  <si>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</si>
  <si>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</si>
  <si>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</si>
  <si>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</si>
  <si>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</si>
  <si>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</si>
  <si>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</si>
  <si>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</si>
  <si>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</si>
  <si>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</si>
  <si>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</si>
  <si>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</si>
  <si>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</si>
  <si>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</si>
  <si>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</si>
  <si>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</si>
  <si>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</si>
  <si>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</si>
  <si>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</si>
  <si>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</si>
  <si>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</si>
  <si>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</si>
  <si>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</si>
  <si>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</si>
  <si>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</si>
  <si>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</si>
  <si>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</si>
  <si>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</si>
  <si>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</si>
  <si>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</si>
  <si>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</si>
  <si>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</si>
  <si>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</si>
  <si>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</si>
  <si>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</si>
  <si>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</si>
  <si>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</si>
  <si>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</si>
  <si>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</si>
  <si>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</si>
  <si>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</si>
  <si>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</si>
  <si>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</si>
  <si>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</si>
  <si>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</si>
  <si>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</si>
  <si>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</si>
  <si>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</si>
  <si>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</si>
  <si>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</si>
  <si>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</si>
  <si>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</si>
  <si>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</si>
  <si>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</si>
  <si>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</si>
  <si>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</si>
  <si>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</si>
  <si>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</si>
  <si>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</si>
  <si>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</si>
  <si>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</si>
  <si>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</si>
  <si>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</si>
  <si>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</si>
  <si>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</si>
  <si>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</si>
  <si>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</si>
  <si>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</si>
  <si>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</si>
  <si>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</si>
  <si>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</si>
  <si>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</si>
  <si>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</si>
  <si>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</si>
  <si>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</si>
  <si>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</si>
  <si>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</si>
  <si>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</si>
  <si>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</si>
  <si>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</si>
  <si>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</si>
  <si>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</si>
  <si>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</si>
  <si>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</si>
  <si>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</si>
  <si>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</si>
  <si>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</si>
  <si>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</si>
  <si>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</si>
  <si>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</si>
  <si>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</si>
  <si>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</si>
  <si>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</si>
  <si>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</si>
  <si>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</si>
  <si>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</si>
  <si>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</si>
  <si>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</si>
  <si>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</si>
  <si>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</si>
  <si>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</si>
  <si>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</si>
  <si>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</si>
  <si>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</si>
  <si>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</si>
  <si>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</si>
  <si>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</si>
  <si>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</si>
  <si>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</si>
  <si>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</si>
  <si>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</si>
  <si>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</si>
  <si>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</si>
  <si>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</si>
  <si>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</si>
  <si>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</si>
  <si>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</si>
  <si>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</si>
  <si>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</si>
  <si>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</si>
  <si>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</si>
  <si>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</si>
  <si>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</si>
  <si>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</si>
  <si>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</si>
  <si>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</si>
  <si>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</si>
  <si>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</si>
  <si>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</si>
  <si>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</si>
  <si>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</si>
  <si>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</si>
  <si>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</si>
  <si>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</si>
  <si>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</si>
  <si>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</si>
  <si>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</si>
  <si>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</si>
  <si>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</si>
  <si>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</si>
  <si>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</si>
  <si>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</si>
  <si>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</si>
  <si>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</si>
  <si>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</si>
  <si>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</si>
  <si>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</si>
  <si>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</si>
  <si>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</si>
  <si>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</si>
  <si>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</si>
  <si>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</si>
  <si>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</si>
  <si>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</si>
  <si>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</si>
  <si>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</si>
  <si>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</si>
  <si>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</si>
  <si>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</si>
  <si>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</si>
  <si>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</si>
  <si>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</si>
  <si>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</si>
  <si>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</si>
  <si>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</si>
  <si>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</si>
  <si>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</si>
  <si>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</si>
  <si>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</si>
  <si>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</si>
  <si>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</si>
  <si>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</si>
  <si>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</si>
  <si>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</si>
  <si>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</si>
  <si>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</si>
  <si>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</si>
  <si>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</si>
  <si>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</si>
  <si>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</si>
  <si>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</si>
  <si>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</si>
  <si>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</si>
  <si>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</si>
  <si>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</si>
  <si>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</si>
  <si>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</si>
  <si>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</si>
  <si>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</si>
  <si>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</si>
  <si>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</si>
  <si>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</si>
  <si>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</si>
  <si>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</si>
  <si>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</si>
  <si>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</si>
  <si>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</si>
  <si>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</si>
  <si>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</si>
  <si>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</si>
  <si>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</si>
  <si>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</si>
  <si>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</si>
  <si>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</si>
  <si>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</si>
  <si>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</si>
  <si>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</si>
  <si>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</si>
  <si>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</si>
  <si>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</si>
  <si>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</si>
  <si>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</si>
  <si>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</si>
  <si>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</si>
  <si>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</si>
  <si>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</si>
  <si>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</si>
  <si>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</si>
  <si>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</si>
  <si>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</si>
  <si>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</si>
  <si>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</si>
  <si>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</si>
  <si>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</si>
  <si>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</si>
  <si>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</si>
  <si>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</si>
  <si>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</si>
  <si>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</si>
  <si>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</si>
  <si>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</si>
  <si>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</si>
  <si>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</si>
  <si>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</si>
  <si>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</si>
  <si>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</si>
  <si>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</si>
  <si>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</si>
  <si>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</si>
  <si>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</si>
  <si>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</si>
  <si>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</si>
  <si>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</si>
  <si>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</si>
  <si>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</si>
  <si>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</si>
  <si>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</si>
  <si>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</si>
  <si>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</si>
  <si>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</si>
  <si>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</si>
  <si>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</si>
  <si>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</si>
  <si>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</si>
  <si>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</si>
  <si>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</si>
  <si>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</si>
  <si>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</si>
  <si>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</si>
  <si>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</si>
  <si>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</si>
  <si>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</si>
  <si>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</si>
  <si>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</si>
  <si>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</si>
  <si>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</si>
  <si>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</si>
  <si>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</si>
  <si>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</si>
  <si>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</si>
  <si>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</si>
  <si>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</si>
  <si>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</si>
  <si>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</si>
  <si>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</si>
  <si>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</si>
  <si>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</si>
  <si>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</si>
  <si>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</si>
  <si>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</si>
  <si>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</si>
  <si>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</si>
  <si>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</si>
  <si>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</si>
  <si>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</si>
  <si>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</si>
  <si>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</si>
  <si>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</si>
  <si>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</si>
  <si>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</si>
  <si>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</si>
  <si>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</si>
  <si>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</si>
  <si>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</si>
  <si>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</si>
  <si>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</si>
  <si>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</si>
  <si>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</si>
  <si>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</si>
  <si>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</si>
  <si>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</si>
  <si>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</si>
  <si>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</si>
  <si>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</si>
  <si>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</si>
  <si>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</si>
  <si>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</si>
  <si>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</si>
  <si>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</si>
  <si>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</si>
  <si>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</si>
  <si>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</si>
  <si>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</si>
  <si>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</si>
  <si>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</si>
  <si>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</si>
  <si>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</si>
  <si>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</si>
  <si>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</si>
  <si>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</si>
  <si>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</si>
  <si>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</si>
  <si>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</si>
  <si>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</si>
  <si>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</si>
  <si>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</si>
  <si>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</si>
  <si>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</si>
  <si>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</si>
  <si>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</si>
  <si>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</si>
  <si>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</si>
  <si>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</si>
  <si>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</si>
  <si>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</si>
  <si>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</si>
  <si>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</si>
  <si>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</si>
  <si>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</si>
  <si>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</si>
  <si>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</si>
  <si>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</si>
  <si>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</si>
  <si>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</si>
  <si>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</si>
  <si>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</si>
  <si>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</si>
  <si>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</si>
  <si>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</si>
  <si>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</si>
  <si>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</si>
  <si>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</si>
  <si>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</si>
  <si>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</si>
  <si>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</si>
  <si>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</si>
  <si>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</si>
  <si>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</si>
  <si>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</si>
  <si>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</si>
  <si>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</si>
  <si>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</si>
  <si>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</si>
  <si>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</si>
  <si>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</si>
  <si>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</si>
  <si>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</si>
  <si>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</si>
  <si>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</si>
  <si>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</si>
  <si>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</si>
  <si>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</si>
  <si>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</si>
  <si>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</si>
  <si>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</si>
  <si>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</si>
  <si>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</si>
  <si>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</si>
  <si>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</si>
  <si>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</si>
  <si>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</si>
  <si>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</si>
  <si>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</si>
  <si>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</si>
  <si>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</si>
  <si>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</si>
  <si>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</si>
  <si>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</si>
  <si>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</si>
  <si>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</si>
  <si>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</si>
  <si>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</si>
  <si>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</si>
  <si>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</si>
  <si>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</si>
  <si>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</si>
  <si>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</si>
  <si>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</si>
  <si>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</si>
  <si>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</si>
  <si>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</si>
  <si>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</si>
  <si>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</si>
  <si>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</si>
  <si>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</si>
  <si>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</si>
  <si>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</si>
  <si>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</si>
  <si>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</si>
  <si>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</si>
  <si>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</si>
  <si>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</si>
  <si>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</si>
  <si>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</si>
  <si>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</si>
  <si>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</si>
  <si>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</si>
  <si>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</si>
  <si>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</si>
  <si>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</si>
  <si>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</si>
  <si>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</si>
  <si>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</si>
  <si>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</si>
  <si>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</si>
  <si>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</si>
  <si>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</si>
  <si>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</si>
  <si>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</si>
  <si>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</si>
  <si>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</si>
  <si>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</si>
  <si>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</si>
  <si>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</si>
  <si>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</si>
  <si>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</si>
  <si>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</si>
  <si>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</si>
  <si>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</si>
  <si>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</si>
  <si>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</si>
  <si>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</si>
  <si>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</si>
  <si>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</si>
  <si>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</si>
  <si>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</si>
  <si>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</si>
  <si>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</si>
  <si>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</si>
  <si>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</si>
  <si>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</si>
  <si>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</si>
  <si>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</si>
  <si>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</si>
  <si>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</si>
  <si>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</si>
  <si>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</si>
  <si>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</si>
  <si>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</si>
  <si>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</si>
  <si>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</si>
  <si>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</si>
  <si>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</si>
  <si>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</si>
  <si>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</si>
  <si>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</si>
  <si>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</si>
  <si>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</si>
  <si>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</si>
  <si>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</si>
  <si>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</si>
  <si>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</si>
  <si>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</si>
  <si>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</si>
  <si>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</si>
  <si>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</si>
  <si>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</si>
  <si>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</si>
  <si>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</si>
  <si>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</si>
  <si>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</si>
  <si>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</si>
  <si>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</si>
  <si>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</si>
  <si>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</si>
  <si>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</si>
  <si>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</si>
  <si>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</si>
  <si>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</si>
  <si>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</si>
  <si>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</si>
  <si>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</si>
  <si>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</si>
  <si>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علی</t>
  </si>
  <si>
    <t>پول نقد بورس سارا</t>
  </si>
  <si>
    <t>ارزش بازار صندوق</t>
  </si>
  <si>
    <t>9/9/1397</t>
  </si>
  <si>
    <t>تعداد سهام صندوق</t>
  </si>
  <si>
    <t>ارزش بازار</t>
  </si>
  <si>
    <t>طلب از مریم سهام</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</si>
  <si>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</si>
  <si>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</si>
  <si>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</si>
  <si>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</si>
  <si>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</si>
  <si>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</si>
  <si>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</si>
  <si>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</si>
  <si>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</si>
  <si>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</si>
  <si>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</si>
  <si>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</si>
  <si>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</si>
  <si>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</si>
  <si>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</si>
  <si>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</si>
  <si>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</si>
  <si>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</si>
  <si>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</si>
  <si>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</si>
  <si>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</si>
  <si>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</si>
  <si>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</si>
  <si>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</si>
  <si>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</si>
  <si>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</si>
  <si>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</si>
  <si>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</si>
  <si>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</si>
  <si>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</si>
  <si>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</si>
  <si>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</si>
  <si>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</si>
  <si>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</si>
  <si>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</si>
  <si>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</si>
  <si>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</si>
  <si>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</si>
  <si>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</si>
  <si>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</si>
  <si>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</si>
  <si>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</si>
  <si>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</si>
  <si>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</si>
  <si>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</si>
  <si>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</si>
  <si>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</si>
  <si>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</si>
  <si>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</si>
  <si>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</si>
  <si>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</si>
  <si>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</si>
  <si>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</si>
  <si>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</si>
  <si>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</si>
  <si>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</si>
  <si>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</si>
  <si>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</si>
  <si>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</si>
  <si>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</si>
  <si>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</si>
  <si>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</si>
  <si>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</si>
  <si>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</si>
  <si>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</si>
  <si>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</si>
  <si>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</si>
  <si>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</si>
  <si>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</si>
  <si>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</si>
  <si>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</si>
  <si>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</si>
  <si>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</si>
  <si>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</si>
  <si>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</si>
  <si>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</si>
  <si>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</si>
  <si>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</si>
  <si>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</si>
  <si>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</si>
  <si>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</si>
  <si>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</si>
  <si>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</si>
  <si>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</si>
  <si>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</si>
  <si>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</si>
  <si>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</si>
  <si>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</si>
  <si>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</si>
  <si>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</si>
  <si>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</si>
  <si>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</si>
  <si>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</si>
  <si>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</si>
  <si>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</si>
  <si>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</si>
  <si>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</si>
  <si>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</si>
  <si>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</si>
  <si>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</si>
  <si>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</si>
  <si>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</si>
  <si>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</si>
  <si>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</si>
  <si>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</si>
  <si>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</si>
  <si>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</si>
  <si>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</si>
  <si>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</si>
  <si>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</si>
  <si>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</si>
  <si>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</si>
  <si>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</si>
  <si>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</si>
  <si>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</si>
  <si>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</si>
  <si>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</si>
  <si>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</si>
  <si>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</si>
  <si>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</si>
  <si>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</si>
  <si>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</si>
  <si>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</si>
  <si>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</si>
  <si>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</si>
  <si>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</si>
  <si>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</si>
  <si>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</si>
  <si>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</si>
  <si>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</si>
  <si>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</si>
  <si>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</si>
  <si>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</si>
  <si>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</si>
  <si>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</si>
  <si>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</si>
  <si>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</si>
  <si>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</si>
  <si>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</si>
  <si>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</si>
  <si>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</si>
  <si>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</si>
  <si>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</si>
  <si>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</si>
  <si>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</si>
  <si>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</si>
  <si>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</si>
  <si>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</si>
  <si>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</si>
  <si>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</si>
  <si>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</si>
  <si>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</si>
  <si>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</si>
  <si>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</si>
  <si>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</si>
  <si>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</si>
  <si>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</si>
  <si>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</si>
  <si>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</si>
  <si>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</si>
  <si>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</si>
  <si>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</si>
  <si>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</si>
  <si>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</si>
  <si>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</si>
  <si>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</si>
  <si>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</si>
  <si>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</si>
  <si>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</si>
  <si>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</si>
  <si>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</si>
  <si>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</si>
  <si>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</si>
  <si>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</si>
  <si>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</si>
  <si>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</si>
  <si>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</si>
  <si>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</si>
  <si>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</si>
  <si>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</si>
  <si>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10/11/1397</t>
  </si>
  <si>
    <t>خرید از شهروند و عابربانک 10/11</t>
  </si>
  <si>
    <t>عابر بانک و خرید شهروند</t>
  </si>
  <si>
    <t>12/11/1397</t>
  </si>
  <si>
    <t>خرید 12/11 از کارت سارا</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</si>
  <si>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</si>
  <si>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</si>
  <si>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</si>
  <si>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</si>
  <si>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</si>
  <si>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</si>
  <si>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</si>
  <si>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</si>
  <si>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</si>
  <si>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</si>
  <si>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</si>
  <si>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</si>
  <si>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</si>
  <si>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</si>
  <si>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</si>
  <si>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</si>
  <si>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</si>
  <si>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</si>
  <si>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</si>
  <si>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</si>
  <si>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</si>
  <si>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</si>
  <si>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</si>
  <si>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</si>
  <si>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</si>
  <si>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</si>
  <si>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</si>
  <si>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</si>
  <si>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</si>
  <si>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</si>
  <si>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</si>
  <si>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</si>
  <si>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</si>
  <si>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</si>
  <si>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</si>
  <si>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</si>
  <si>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</si>
  <si>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</si>
  <si>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</si>
  <si>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</si>
  <si>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</si>
  <si>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</si>
  <si>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</si>
  <si>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</si>
  <si>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</si>
  <si>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</si>
  <si>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</si>
  <si>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</si>
  <si>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</si>
  <si>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</si>
  <si>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</si>
  <si>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</si>
  <si>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</si>
  <si>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</si>
  <si>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</si>
  <si>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</si>
  <si>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</si>
  <si>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</si>
  <si>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</si>
  <si>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</si>
  <si>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</si>
  <si>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</si>
  <si>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</si>
  <si>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</si>
  <si>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</si>
  <si>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</si>
  <si>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</si>
  <si>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</si>
  <si>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</si>
  <si>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</si>
  <si>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</si>
  <si>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</si>
  <si>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</si>
  <si>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</si>
  <si>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</si>
  <si>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</si>
  <si>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</si>
  <si>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</si>
  <si>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</si>
  <si>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</si>
  <si>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</si>
  <si>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</si>
  <si>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</si>
  <si>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</si>
  <si>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</si>
  <si>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</si>
  <si>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</si>
  <si>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</si>
  <si>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</si>
  <si>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</si>
  <si>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</si>
  <si>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</si>
  <si>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</si>
  <si>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</si>
  <si>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</si>
  <si>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</si>
  <si>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</si>
  <si>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</si>
  <si>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</si>
  <si>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</si>
  <si>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</si>
  <si>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</si>
  <si>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</si>
  <si>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</si>
  <si>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</si>
  <si>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</si>
  <si>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</si>
  <si>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</si>
  <si>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</si>
  <si>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</si>
  <si>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</si>
  <si>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</si>
  <si>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</si>
  <si>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</si>
  <si>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</si>
  <si>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</si>
  <si>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</si>
  <si>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</si>
  <si>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</si>
  <si>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</si>
  <si>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</si>
  <si>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</si>
  <si>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</si>
  <si>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</si>
  <si>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</si>
  <si>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</si>
  <si>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</si>
  <si>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</si>
  <si>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</si>
  <si>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</si>
  <si>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</si>
  <si>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</si>
  <si>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</si>
  <si>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</si>
  <si>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</si>
  <si>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</si>
  <si>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</si>
  <si>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</si>
  <si>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</si>
  <si>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</si>
  <si>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</si>
  <si>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</si>
  <si>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</si>
  <si>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</si>
  <si>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</si>
  <si>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</si>
  <si>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</si>
  <si>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</si>
  <si>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</si>
  <si>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</si>
  <si>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</si>
  <si>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</si>
  <si>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</si>
  <si>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</si>
  <si>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</si>
  <si>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</si>
  <si>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</si>
  <si>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</si>
  <si>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</si>
  <si>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</si>
  <si>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</si>
  <si>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</si>
  <si>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</si>
  <si>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</si>
  <si>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</si>
  <si>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</si>
  <si>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</si>
  <si>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</si>
  <si>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</si>
  <si>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</si>
  <si>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</si>
  <si>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</si>
  <si>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</si>
  <si>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</si>
  <si>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</si>
  <si>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</si>
  <si>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</si>
  <si>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</si>
  <si>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</si>
  <si>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</si>
  <si>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</si>
  <si>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</si>
  <si>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</si>
  <si>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</si>
  <si>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</si>
  <si>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</si>
  <si>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</si>
  <si>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</si>
  <si>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</si>
  <si>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</si>
  <si>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</si>
  <si>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</si>
  <si>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</si>
  <si>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</si>
  <si>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</si>
  <si>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</si>
  <si>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</si>
  <si>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</si>
  <si>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</si>
  <si>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</si>
  <si>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</si>
  <si>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</si>
  <si>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</si>
  <si>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</si>
  <si>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</si>
  <si>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</si>
  <si>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</si>
  <si>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</si>
  <si>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</si>
  <si>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</si>
  <si>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</si>
  <si>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</si>
  <si>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</si>
  <si>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</si>
  <si>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</si>
  <si>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</si>
  <si>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</si>
  <si>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</si>
  <si>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</si>
  <si>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</si>
  <si>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</si>
  <si>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</si>
  <si>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</si>
  <si>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</si>
  <si>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</si>
  <si>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</si>
  <si>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</si>
  <si>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</si>
  <si>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</si>
  <si>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</si>
  <si>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</si>
  <si>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</si>
  <si>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</si>
  <si>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</si>
  <si>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</si>
  <si>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</si>
  <si>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</si>
  <si>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</si>
  <si>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</si>
  <si>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</si>
  <si>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</si>
  <si>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</si>
  <si>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</si>
  <si>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</si>
  <si>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</si>
  <si>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</si>
  <si>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</si>
  <si>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</si>
  <si>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</si>
  <si>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</si>
  <si>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</si>
  <si>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</si>
  <si>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</si>
  <si>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</si>
  <si>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</si>
  <si>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</si>
  <si>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</si>
  <si>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</si>
  <si>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</si>
  <si>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</si>
  <si>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</si>
  <si>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</si>
  <si>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</si>
  <si>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</si>
  <si>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</si>
  <si>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</si>
  <si>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</si>
  <si>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</si>
  <si>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</si>
  <si>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</si>
  <si>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</si>
  <si>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</si>
  <si>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</si>
  <si>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</si>
  <si>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</si>
  <si>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</si>
  <si>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</si>
  <si>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</si>
  <si>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</si>
  <si>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</si>
  <si>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</si>
  <si>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</si>
  <si>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</si>
  <si>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</si>
  <si>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</si>
  <si>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</si>
  <si>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</si>
  <si>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</si>
  <si>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</si>
  <si>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</si>
  <si>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</si>
  <si>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</si>
  <si>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</si>
  <si>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</si>
  <si>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</si>
  <si>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</si>
  <si>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</si>
  <si>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</si>
  <si>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</si>
  <si>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</si>
  <si>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</si>
  <si>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</si>
  <si>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</si>
  <si>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</si>
  <si>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</si>
  <si>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</si>
  <si>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</si>
  <si>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</si>
  <si>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</si>
  <si>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</si>
  <si>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</si>
  <si>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</si>
  <si>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</si>
  <si>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</si>
  <si>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</si>
  <si>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</si>
  <si>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</si>
  <si>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</si>
  <si>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</si>
  <si>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</si>
  <si>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</si>
  <si>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</si>
  <si>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</si>
  <si>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</si>
  <si>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</si>
  <si>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</si>
  <si>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</si>
  <si>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</si>
  <si>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</si>
  <si>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</si>
  <si>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</si>
  <si>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</si>
  <si>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</si>
  <si>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</si>
  <si>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</si>
  <si>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</si>
  <si>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</si>
  <si>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</si>
  <si>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</si>
  <si>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</si>
  <si>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</si>
  <si>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</si>
  <si>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</si>
  <si>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</si>
  <si>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</si>
  <si>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</si>
  <si>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</si>
  <si>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</si>
  <si>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</si>
  <si>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</si>
  <si>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</si>
  <si>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</si>
  <si>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</si>
  <si>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</si>
  <si>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</si>
  <si>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</si>
  <si>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</si>
  <si>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</si>
  <si>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</si>
  <si>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</si>
  <si>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</si>
  <si>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</si>
  <si>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</si>
  <si>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</si>
  <si>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</si>
  <si>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</si>
  <si>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</si>
  <si>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</si>
  <si>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</si>
  <si>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</si>
  <si>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</si>
  <si>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</si>
  <si>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</si>
  <si>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</si>
  <si>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</si>
  <si>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</si>
  <si>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</si>
  <si>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</si>
  <si>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</si>
  <si>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</si>
  <si>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</si>
  <si>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</si>
  <si>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</si>
  <si>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</si>
  <si>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</si>
  <si>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</si>
  <si>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</si>
  <si>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</si>
  <si>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</si>
  <si>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</si>
  <si>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</si>
  <si>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</si>
  <si>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</si>
  <si>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</si>
  <si>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</si>
  <si>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</si>
  <si>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</si>
  <si>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</si>
  <si>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</si>
  <si>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</si>
  <si>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</si>
  <si>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</si>
  <si>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</si>
  <si>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</si>
  <si>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</si>
  <si>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</si>
  <si>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</si>
  <si>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</si>
  <si>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</si>
  <si>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</si>
  <si>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</si>
  <si>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</si>
  <si>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</si>
  <si>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</si>
  <si>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</si>
  <si>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</si>
  <si>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</si>
  <si>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</si>
  <si>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</si>
  <si>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</si>
  <si>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</si>
  <si>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</si>
  <si>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</si>
  <si>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</si>
  <si>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</si>
  <si>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</si>
  <si>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</si>
  <si>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</si>
  <si>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</si>
  <si>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</si>
  <si>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</si>
  <si>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</si>
  <si>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</si>
  <si>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</si>
  <si>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</si>
  <si>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</si>
  <si>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</si>
  <si>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</si>
  <si>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</si>
  <si>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</si>
  <si>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</si>
  <si>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</si>
  <si>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</si>
  <si>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</si>
  <si>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</si>
  <si>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</si>
  <si>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</si>
  <si>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</si>
  <si>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</si>
  <si>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</si>
  <si>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</si>
  <si>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</si>
  <si>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</si>
  <si>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</si>
  <si>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</si>
  <si>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</si>
  <si>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</si>
  <si>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</si>
  <si>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</si>
  <si>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</si>
  <si>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</si>
  <si>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</si>
  <si>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</si>
  <si>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</si>
  <si>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</si>
  <si>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</si>
  <si>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</si>
  <si>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</si>
  <si>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</si>
  <si>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</si>
  <si>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</si>
  <si>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</si>
  <si>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</si>
  <si>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</si>
  <si>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</si>
  <si>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</si>
  <si>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</si>
  <si>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</si>
  <si>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</si>
  <si>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</si>
  <si>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</si>
  <si>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</si>
  <si>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</si>
  <si>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</si>
  <si>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</si>
  <si>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</si>
  <si>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</si>
  <si>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</si>
  <si>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</si>
  <si>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</si>
  <si>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</si>
  <si>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</si>
  <si>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</si>
  <si>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</si>
  <si>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</si>
  <si>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</si>
  <si>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</si>
  <si>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</si>
  <si>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</si>
  <si>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</si>
  <si>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</si>
  <si>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</si>
  <si>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</si>
  <si>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</si>
  <si>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</si>
  <si>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</si>
  <si>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</si>
  <si>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</si>
  <si>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</si>
  <si>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</si>
  <si>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</si>
  <si>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</si>
  <si>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</si>
  <si>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</si>
  <si>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</si>
  <si>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</si>
  <si>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</si>
  <si>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</si>
  <si>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</si>
  <si>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</si>
  <si>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</si>
  <si>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</si>
  <si>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</si>
  <si>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</si>
  <si>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</si>
  <si>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</si>
  <si>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</si>
  <si>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</si>
  <si>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</si>
  <si>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</si>
  <si>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</si>
  <si>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</si>
  <si>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</si>
  <si>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</si>
  <si>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</si>
  <si>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</si>
  <si>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</si>
  <si>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</si>
  <si>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</si>
  <si>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</si>
  <si>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</si>
  <si>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</si>
  <si>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</si>
  <si>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</si>
  <si>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</si>
  <si>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</si>
  <si>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</si>
  <si>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</si>
  <si>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</si>
  <si>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</si>
  <si>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</si>
  <si>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</si>
  <si>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</si>
  <si>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</si>
  <si>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</si>
  <si>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</si>
  <si>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</si>
  <si>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</si>
  <si>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</si>
  <si>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</si>
  <si>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</si>
  <si>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</si>
  <si>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</si>
  <si>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</si>
  <si>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</si>
  <si>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</si>
  <si>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</si>
  <si>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</si>
  <si>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</si>
  <si>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</si>
  <si>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</si>
  <si>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</si>
  <si>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</si>
  <si>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</si>
  <si>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</si>
  <si>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</si>
  <si>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</si>
  <si>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</si>
  <si>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</si>
  <si>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</si>
  <si>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</si>
  <si>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</si>
  <si>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</si>
  <si>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</si>
  <si>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</si>
  <si>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</si>
  <si>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</si>
  <si>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</si>
  <si>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</si>
  <si>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</si>
  <si>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</si>
  <si>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</si>
  <si>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</si>
  <si>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</si>
  <si>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</si>
  <si>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</si>
  <si>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</si>
  <si>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</si>
  <si>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</si>
  <si>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</si>
  <si>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</si>
  <si>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</si>
  <si>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</si>
  <si>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</si>
  <si>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</si>
  <si>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</si>
  <si>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</si>
  <si>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</si>
  <si>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</si>
  <si>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</si>
  <si>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</si>
  <si>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</si>
  <si>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</si>
  <si>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</si>
  <si>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</si>
  <si>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</si>
  <si>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</si>
  <si>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</si>
  <si>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</si>
  <si>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</si>
  <si>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</si>
  <si>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</si>
  <si>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</si>
  <si>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</si>
  <si>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</si>
  <si>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</si>
  <si>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</si>
  <si>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</si>
  <si>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</si>
  <si>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</si>
  <si>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</si>
  <si>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</si>
  <si>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</si>
  <si>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</si>
  <si>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</si>
  <si>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</si>
  <si>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</si>
  <si>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</si>
  <si>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</si>
  <si>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</si>
  <si>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</si>
  <si>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</si>
  <si>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</si>
  <si>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</si>
  <si>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</si>
  <si>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</si>
  <si>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</si>
  <si>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</si>
  <si>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</si>
  <si>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</si>
  <si>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</si>
  <si>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</si>
  <si>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</si>
  <si>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</si>
  <si>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</si>
  <si>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</si>
  <si>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</si>
  <si>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</si>
  <si>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</si>
  <si>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</si>
  <si>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</si>
  <si>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</si>
  <si>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</si>
  <si>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</si>
  <si>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</si>
  <si>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</si>
  <si>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</si>
  <si>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</si>
  <si>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</si>
  <si>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</si>
  <si>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</si>
  <si>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</si>
  <si>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</si>
  <si>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</si>
  <si>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</si>
  <si>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</si>
  <si>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</si>
  <si>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</si>
  <si>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</si>
  <si>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</si>
  <si>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</si>
  <si>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</si>
  <si>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</si>
  <si>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</si>
  <si>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</si>
  <si>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</si>
  <si>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</si>
  <si>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</si>
  <si>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</si>
  <si>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</si>
  <si>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</si>
  <si>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</si>
  <si>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</si>
  <si>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</si>
  <si>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</si>
  <si>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</si>
  <si>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</si>
  <si>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</si>
  <si>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</si>
  <si>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</si>
  <si>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</si>
  <si>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</si>
  <si>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</si>
  <si>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</si>
  <si>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</si>
  <si>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</si>
  <si>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</si>
  <si>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</si>
  <si>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</si>
  <si>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</si>
  <si>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</si>
  <si>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</si>
  <si>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</si>
  <si>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</si>
  <si>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</si>
  <si>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</si>
  <si>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</si>
  <si>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</si>
  <si>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</si>
  <si>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</si>
  <si>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</si>
  <si>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</si>
  <si>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</si>
  <si>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</si>
  <si>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</si>
  <si>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</si>
  <si>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</si>
  <si>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</si>
  <si>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</si>
  <si>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</si>
  <si>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</si>
  <si>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</si>
  <si>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</si>
  <si>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</si>
  <si>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</si>
  <si>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</si>
  <si>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</si>
  <si>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</si>
  <si>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</si>
  <si>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</si>
  <si>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</si>
  <si>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</si>
  <si>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</si>
  <si>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</si>
  <si>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</si>
  <si>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</si>
  <si>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</si>
  <si>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</si>
  <si>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</si>
  <si>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</si>
  <si>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</si>
  <si>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</si>
  <si>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</si>
  <si>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</si>
  <si>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</si>
  <si>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</si>
  <si>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</si>
  <si>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</si>
  <si>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</si>
  <si>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</si>
  <si>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</si>
  <si>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</si>
  <si>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</si>
  <si>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</si>
  <si>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</si>
  <si>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</si>
  <si>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</si>
  <si>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</si>
  <si>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</si>
  <si>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</si>
  <si>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</si>
  <si>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</si>
  <si>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</si>
  <si>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</si>
  <si>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</si>
  <si>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</si>
  <si>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</si>
  <si>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</si>
  <si>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</si>
  <si>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</si>
  <si>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</si>
  <si>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</si>
  <si>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</si>
  <si>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</si>
  <si>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</si>
  <si>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</si>
  <si>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</si>
  <si>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</si>
  <si>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</si>
  <si>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</si>
  <si>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</si>
  <si>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</si>
  <si>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</si>
  <si>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</si>
  <si>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</si>
  <si>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</si>
  <si>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</si>
  <si>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</si>
  <si>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</si>
  <si>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</si>
  <si>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</si>
  <si>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</si>
  <si>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</si>
  <si>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</si>
  <si>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</si>
  <si>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</si>
  <si>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</si>
  <si>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</si>
  <si>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</si>
  <si>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</si>
  <si>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</si>
  <si>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</si>
  <si>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</si>
  <si>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</si>
  <si>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</si>
  <si>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</si>
  <si>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</si>
  <si>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</si>
  <si>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</si>
  <si>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</si>
  <si>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</si>
  <si>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</si>
  <si>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</si>
  <si>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</si>
  <si>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</si>
  <si>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</si>
  <si>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</si>
  <si>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</si>
  <si>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</si>
  <si>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</si>
  <si>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</si>
  <si>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</si>
  <si>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</si>
  <si>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</si>
  <si>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</si>
  <si>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</si>
  <si>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</si>
  <si>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</si>
  <si>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</si>
  <si>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</si>
  <si>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</si>
  <si>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</si>
  <si>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</si>
  <si>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</si>
  <si>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</si>
  <si>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</si>
  <si>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</si>
  <si>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</si>
  <si>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</si>
  <si>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</si>
  <si>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</si>
  <si>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</si>
  <si>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</si>
  <si>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</si>
  <si>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</si>
  <si>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</si>
  <si>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</si>
  <si>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</si>
  <si>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</si>
  <si>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</si>
  <si>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</si>
  <si>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</si>
  <si>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</si>
  <si>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</si>
  <si>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</si>
  <si>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</si>
  <si>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</si>
  <si>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</si>
  <si>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</si>
  <si>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</si>
  <si>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</si>
  <si>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</si>
  <si>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</si>
  <si>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</si>
  <si>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</si>
  <si>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</si>
  <si>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</si>
  <si>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</si>
  <si>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</si>
  <si>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</si>
  <si>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</si>
  <si>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</si>
  <si>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</si>
  <si>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</si>
  <si>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</si>
  <si>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</si>
  <si>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</si>
  <si>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</si>
  <si>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</si>
  <si>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</si>
  <si>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</si>
  <si>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</si>
  <si>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</si>
  <si>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</si>
  <si>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</si>
  <si>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</si>
  <si>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</si>
  <si>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</si>
  <si>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</si>
  <si>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</si>
  <si>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</si>
  <si>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</si>
  <si>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</si>
  <si>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</si>
  <si>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</si>
  <si>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</si>
  <si>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</si>
  <si>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</si>
  <si>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</si>
  <si>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</si>
  <si>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</si>
  <si>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</si>
  <si>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</si>
  <si>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</si>
  <si>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</si>
  <si>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</si>
  <si>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</si>
  <si>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</si>
  <si>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</si>
  <si>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</si>
  <si>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</si>
  <si>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</si>
  <si>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</si>
  <si>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</si>
  <si>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</si>
  <si>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</si>
  <si>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</si>
  <si>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</si>
  <si>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</si>
  <si>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</si>
  <si>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</si>
  <si>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</si>
  <si>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</si>
  <si>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</si>
  <si>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</si>
  <si>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</si>
  <si>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</si>
  <si>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</si>
  <si>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</si>
  <si>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</si>
  <si>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</si>
  <si>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</si>
  <si>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</si>
  <si>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</si>
  <si>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</si>
  <si>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</si>
  <si>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</si>
  <si>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</si>
  <si>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</si>
  <si>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</si>
  <si>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</si>
  <si>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</si>
  <si>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</si>
  <si>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</si>
  <si>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</si>
  <si>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</si>
  <si>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</si>
  <si>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</si>
  <si>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</si>
  <si>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</si>
  <si>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</si>
  <si>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</si>
  <si>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</si>
  <si>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</si>
  <si>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</si>
  <si>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</si>
  <si>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</si>
  <si>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</si>
  <si>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</si>
  <si>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</si>
  <si>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</si>
  <si>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</si>
  <si>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</si>
  <si>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</si>
  <si>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</si>
  <si>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</si>
  <si>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</si>
  <si>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</si>
  <si>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</si>
  <si>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</si>
  <si>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</si>
  <si>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</si>
  <si>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</si>
  <si>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</si>
  <si>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</si>
  <si>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</si>
  <si>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</si>
  <si>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</si>
  <si>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</si>
  <si>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</si>
  <si>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</si>
  <si>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</si>
  <si>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</si>
  <si>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</si>
  <si>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</si>
  <si>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</si>
  <si>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</si>
  <si>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</si>
  <si>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</si>
  <si>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</si>
  <si>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</si>
  <si>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</si>
  <si>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</si>
  <si>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</si>
  <si>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</si>
  <si>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</si>
  <si>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</si>
  <si>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</si>
  <si>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</si>
  <si>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</si>
  <si>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</si>
  <si>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</si>
  <si>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</si>
  <si>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</si>
  <si>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</si>
  <si>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</si>
  <si>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</si>
  <si>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</si>
  <si>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</si>
  <si>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</si>
  <si>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</si>
  <si>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</si>
  <si>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</si>
  <si>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</si>
  <si>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</si>
  <si>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</si>
  <si>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</si>
  <si>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</si>
  <si>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</si>
  <si>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</si>
  <si>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</si>
  <si>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</si>
  <si>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</si>
  <si>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</si>
  <si>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</si>
  <si>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</si>
  <si>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</si>
  <si>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</si>
  <si>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</si>
  <si>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</si>
  <si>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</si>
  <si>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</si>
  <si>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</si>
  <si>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</si>
  <si>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</si>
  <si>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</si>
  <si>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</si>
  <si>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</si>
  <si>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</si>
  <si>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</si>
  <si>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</si>
  <si>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</si>
  <si>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</si>
  <si>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</si>
  <si>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</si>
  <si>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</si>
  <si>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</si>
  <si>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</si>
  <si>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</si>
  <si>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</si>
  <si>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</si>
  <si>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</si>
  <si>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</si>
  <si>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</si>
  <si>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</si>
  <si>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</si>
  <si>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</si>
  <si>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</si>
  <si>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</si>
  <si>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</si>
  <si>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</si>
  <si>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</si>
  <si>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</si>
  <si>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</si>
  <si>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</si>
  <si>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</si>
  <si>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</si>
  <si>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</si>
  <si>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</si>
  <si>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</si>
  <si>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</si>
  <si>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</si>
  <si>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</si>
  <si>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</si>
  <si>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</si>
  <si>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</si>
  <si>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</si>
  <si>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</si>
  <si>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</si>
  <si>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</si>
  <si>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</si>
  <si>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</si>
  <si>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</si>
  <si>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</si>
  <si>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</si>
  <si>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</si>
  <si>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</si>
  <si>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</si>
  <si>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</si>
  <si>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</si>
  <si>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</si>
  <si>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</si>
  <si>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</si>
  <si>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</si>
  <si>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</si>
  <si>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</si>
  <si>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</si>
  <si>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</si>
  <si>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</si>
  <si>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</si>
  <si>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</si>
  <si>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</si>
  <si>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</si>
  <si>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</si>
  <si>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وغدیر 48654 تا 1275</t>
  </si>
  <si>
    <t>1/10/1400</t>
  </si>
  <si>
    <t>1/10/1401</t>
  </si>
  <si>
    <t>مانده فروش زاگرس و خرید وغدیر</t>
  </si>
  <si>
    <t>2/10/1399</t>
  </si>
  <si>
    <t>3/10/1399</t>
  </si>
  <si>
    <t>واریز به بورس مهدی</t>
  </si>
  <si>
    <t>6/10/1399</t>
  </si>
  <si>
    <t>وغدیر 450 تا 1210</t>
  </si>
  <si>
    <t>7/10/1399</t>
  </si>
  <si>
    <t>مریم از کارت ایلیا 4/10/99</t>
  </si>
  <si>
    <t>8/10/1399</t>
  </si>
  <si>
    <t>از مهدی گرفتم</t>
  </si>
  <si>
    <t>10/10/1399</t>
  </si>
  <si>
    <t>وغدیر 27754 تا 1175</t>
  </si>
  <si>
    <t>13/10/1399</t>
  </si>
  <si>
    <t>وغدیر 8020 تا 1148</t>
  </si>
  <si>
    <t>15/10/1399</t>
  </si>
  <si>
    <t>برای مریم خرج شد</t>
  </si>
  <si>
    <t>14/10/1399</t>
  </si>
  <si>
    <t>وغدیر 3695 تا 1141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</si>
  <si>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</si>
  <si>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</si>
  <si>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</si>
  <si>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</si>
  <si>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</si>
  <si>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</si>
  <si>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</si>
  <si>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</si>
  <si>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</si>
  <si>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</si>
  <si>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</si>
  <si>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</si>
  <si>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</si>
  <si>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</si>
  <si>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</si>
  <si>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</si>
  <si>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</si>
  <si>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</si>
  <si>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</si>
  <si>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</si>
  <si>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</si>
  <si>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</si>
  <si>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</si>
  <si>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</si>
  <si>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</si>
  <si>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</si>
  <si>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</si>
  <si>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</si>
  <si>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</si>
  <si>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</si>
  <si>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</si>
  <si>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</si>
  <si>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</si>
  <si>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</si>
  <si>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</si>
  <si>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</si>
  <si>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</si>
  <si>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</si>
  <si>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</si>
  <si>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</si>
  <si>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</si>
  <si>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</si>
  <si>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</si>
  <si>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</si>
  <si>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</si>
  <si>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</si>
  <si>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</si>
  <si>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</si>
  <si>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</si>
  <si>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</si>
  <si>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</si>
  <si>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</si>
  <si>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</si>
  <si>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</si>
  <si>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</si>
  <si>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</si>
  <si>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</si>
  <si>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</si>
  <si>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</si>
  <si>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</si>
  <si>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</si>
  <si>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</si>
  <si>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</si>
  <si>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بدهی مریم به حاج خانوم</t>
  </si>
  <si>
    <t>بدهی سارا به حاج خانوم</t>
  </si>
  <si>
    <t>27/12/1399</t>
  </si>
  <si>
    <t>7/1/1400</t>
  </si>
  <si>
    <t>8/1/1400</t>
  </si>
  <si>
    <t>علی واریز</t>
  </si>
  <si>
    <t>10/1/1400</t>
  </si>
  <si>
    <t>سایرین</t>
  </si>
  <si>
    <t>17/1/1400</t>
  </si>
  <si>
    <t>18/1/1400</t>
  </si>
  <si>
    <t>طلا</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</si>
  <si>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</si>
  <si>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</si>
  <si>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</si>
  <si>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</si>
  <si>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</si>
  <si>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</si>
  <si>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</si>
  <si>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</si>
  <si>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</si>
  <si>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</si>
  <si>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</si>
  <si>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</si>
  <si>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</si>
  <si>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</si>
  <si>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</si>
  <si>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</si>
  <si>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</si>
  <si>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</si>
  <si>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</si>
  <si>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سکه</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</si>
  <si>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</si>
  <si>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</si>
  <si>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</si>
  <si>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</si>
  <si>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</si>
  <si>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</si>
  <si>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</si>
  <si>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</si>
  <si>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</si>
  <si>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</si>
  <si>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سرمایه
(میلیون ریال)</t>
  </si>
  <si>
    <t>نام شرکت</t>
  </si>
  <si>
    <t>سود انتظاری 1400</t>
  </si>
  <si>
    <t>11,730</t>
  </si>
  <si>
    <t>1,091,599,378</t>
  </si>
  <si>
    <t>2,263,562,420</t>
  </si>
  <si>
    <t>1,000</t>
  </si>
  <si>
    <t>72,000,000</t>
  </si>
  <si>
    <t>سرمايه گذاري غدير</t>
  </si>
  <si>
    <t>47,550</t>
  </si>
  <si>
    <t>2,655,406</t>
  </si>
  <si>
    <t>134,368,667</t>
  </si>
  <si>
    <t>1,090,296</t>
  </si>
  <si>
    <t>ساختمان ايران</t>
  </si>
  <si>
    <t>20,070</t>
  </si>
  <si>
    <t>0</t>
  </si>
  <si>
    <t>2,605,542,578</t>
  </si>
  <si>
    <t>74,400,000</t>
  </si>
  <si>
    <t>سنگ آهن گل گهر</t>
  </si>
  <si>
    <t>4,800</t>
  </si>
  <si>
    <t>12,200,000</t>
  </si>
  <si>
    <t>1,230,000,000</t>
  </si>
  <si>
    <t>30,425,734</t>
  </si>
  <si>
    <t>بانک اقتصاد نوين</t>
  </si>
  <si>
    <t>14,670</t>
  </si>
  <si>
    <t>5,000,000</t>
  </si>
  <si>
    <t>1,032,466,348</t>
  </si>
  <si>
    <t>76,000,000</t>
  </si>
  <si>
    <t>پالايش نفت اصفهان</t>
  </si>
  <si>
    <t>73,472</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</si>
  <si>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</si>
  <si>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</si>
  <si>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</si>
  <si>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</si>
  <si>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</si>
  <si>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</si>
  <si>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</si>
  <si>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</si>
  <si>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</si>
  <si>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</si>
  <si>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</si>
  <si>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</si>
  <si>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</si>
  <si>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</si>
  <si>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</si>
  <si>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</si>
  <si>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</si>
  <si>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</si>
  <si>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</si>
  <si>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</si>
  <si>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</si>
  <si>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</si>
  <si>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285,856</t>
  </si>
  <si>
    <t>22,757,230</t>
  </si>
  <si>
    <t>2,500,000</t>
  </si>
  <si>
    <t>نفت پارس</t>
  </si>
  <si>
    <t>35,420</t>
  </si>
  <si>
    <t>1,288,989</t>
  </si>
  <si>
    <t>36,391,574</t>
  </si>
  <si>
    <t>3,000,000</t>
  </si>
  <si>
    <t>به پرداخت ملت</t>
  </si>
  <si>
    <t>19,980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</si>
  <si>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</si>
  <si>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</si>
  <si>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</si>
  <si>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</si>
  <si>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</si>
  <si>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</si>
  <si>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</si>
  <si>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</si>
  <si>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</si>
  <si>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</si>
  <si>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</si>
  <si>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</si>
  <si>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</si>
  <si>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</si>
  <si>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</si>
  <si>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</si>
  <si>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</si>
  <si>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</si>
  <si>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</si>
  <si>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</si>
  <si>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</si>
  <si>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</si>
  <si>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</si>
  <si>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</si>
  <si>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</si>
  <si>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</si>
  <si>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</si>
  <si>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</si>
  <si>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</si>
  <si>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</si>
  <si>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</si>
  <si>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</si>
  <si>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</si>
  <si>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</si>
  <si>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</si>
  <si>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</si>
  <si>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</si>
  <si>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</si>
  <si>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</si>
  <si>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</si>
  <si>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</si>
  <si>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</si>
  <si>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</si>
  <si>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</si>
  <si>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</si>
  <si>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</si>
  <si>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235,760,160</t>
  </si>
  <si>
    <t>500,000,000</t>
  </si>
  <si>
    <t>39,500,000</t>
  </si>
  <si>
    <t>بانک کارآفرين</t>
  </si>
  <si>
    <t>17,440</t>
  </si>
  <si>
    <t>539,762</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</si>
  <si>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</si>
  <si>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</si>
  <si>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</si>
  <si>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</si>
  <si>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</si>
  <si>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</si>
  <si>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</si>
  <si>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</si>
  <si>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</si>
  <si>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</si>
  <si>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</si>
  <si>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</si>
  <si>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</si>
  <si>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</si>
  <si>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</si>
  <si>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</si>
  <si>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</si>
  <si>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</si>
  <si>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</si>
  <si>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</si>
  <si>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</si>
  <si>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</si>
  <si>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</si>
  <si>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</si>
  <si>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</si>
  <si>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</si>
  <si>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</si>
  <si>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</si>
  <si>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</si>
  <si>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</si>
  <si>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</si>
  <si>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</si>
  <si>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</si>
  <si>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</si>
  <si>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</si>
  <si>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</si>
  <si>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</si>
  <si>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</si>
  <si>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</si>
  <si>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</si>
  <si>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</si>
  <si>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</si>
  <si>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</si>
  <si>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</si>
  <si>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</si>
  <si>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</si>
  <si>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</si>
  <si>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</si>
  <si>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</si>
  <si>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</si>
  <si>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</si>
  <si>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</si>
  <si>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</si>
  <si>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</si>
  <si>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</si>
  <si>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</si>
  <si>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</si>
  <si>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</si>
  <si>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</si>
  <si>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</si>
  <si>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</si>
  <si>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</si>
  <si>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</si>
  <si>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</si>
  <si>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</si>
  <si>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</si>
  <si>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</si>
  <si>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</si>
  <si>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</si>
  <si>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</si>
  <si>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</si>
  <si>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</si>
  <si>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</si>
  <si>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</si>
  <si>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</si>
  <si>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</si>
  <si>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</si>
  <si>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</si>
  <si>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</si>
  <si>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</si>
  <si>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</si>
  <si>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</si>
  <si>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</si>
  <si>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</si>
  <si>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</si>
  <si>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</si>
  <si>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</si>
  <si>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</si>
  <si>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</si>
  <si>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</si>
  <si>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</si>
  <si>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</si>
  <si>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</si>
  <si>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</si>
  <si>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</si>
  <si>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</si>
  <si>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</si>
  <si>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</si>
  <si>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</si>
  <si>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</si>
  <si>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</si>
  <si>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</si>
  <si>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</si>
  <si>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</si>
  <si>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</si>
  <si>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</si>
  <si>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</si>
  <si>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</si>
  <si>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</si>
  <si>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</si>
  <si>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</si>
  <si>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</si>
  <si>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</si>
  <si>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</si>
  <si>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</si>
  <si>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</si>
  <si>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</si>
  <si>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</si>
  <si>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</si>
  <si>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</si>
  <si>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</si>
  <si>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</si>
  <si>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</si>
  <si>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</si>
  <si>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</si>
  <si>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</si>
  <si>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</si>
  <si>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</si>
  <si>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</si>
  <si>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</si>
  <si>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</si>
  <si>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</si>
  <si>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</si>
  <si>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</si>
  <si>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</si>
  <si>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</si>
  <si>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</si>
  <si>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</si>
  <si>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</si>
  <si>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</si>
  <si>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</si>
  <si>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</si>
  <si>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</si>
  <si>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</si>
  <si>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</si>
  <si>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</si>
  <si>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</si>
  <si>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</si>
  <si>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</si>
  <si>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</si>
  <si>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</si>
  <si>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</si>
  <si>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</si>
  <si>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</si>
  <si>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</si>
  <si>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</si>
  <si>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</si>
  <si>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</si>
  <si>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</si>
  <si>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</si>
  <si>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</si>
  <si>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</si>
  <si>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</si>
  <si>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</si>
  <si>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</si>
  <si>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</si>
  <si>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</si>
  <si>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</si>
  <si>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</si>
  <si>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</si>
  <si>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</si>
  <si>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</si>
  <si>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</si>
  <si>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</si>
  <si>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</si>
  <si>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</si>
  <si>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</si>
  <si>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</si>
  <si>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</si>
  <si>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</si>
  <si>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</si>
  <si>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</si>
  <si>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</si>
  <si>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</si>
  <si>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</si>
  <si>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</si>
  <si>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</si>
  <si>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</si>
  <si>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</si>
  <si>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(19,636,910)</t>
  </si>
  <si>
    <t>19,639,910</t>
  </si>
  <si>
    <t>پتروشيمي خارک</t>
  </si>
  <si>
    <t>13,920</t>
  </si>
  <si>
    <t>500</t>
  </si>
  <si>
    <t>35,981</t>
  </si>
  <si>
    <t>1,800,000</t>
  </si>
  <si>
    <t>فيبر ايران</t>
  </si>
  <si>
    <t>36,760</t>
  </si>
  <si>
    <t>98</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</si>
  <si>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</si>
  <si>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</si>
  <si>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</si>
  <si>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</si>
  <si>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</si>
  <si>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</si>
  <si>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</si>
  <si>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</si>
  <si>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</si>
  <si>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</si>
  <si>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</si>
  <si>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</si>
  <si>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</si>
  <si>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</si>
  <si>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</si>
  <si>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</si>
  <si>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1399/12/26</t>
  </si>
  <si>
    <t>1399/09/30</t>
  </si>
  <si>
    <t>1399/12/20</t>
  </si>
  <si>
    <t>1399/12/25</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</si>
  <si>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</si>
  <si>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</si>
  <si>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</si>
  <si>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</si>
  <si>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</si>
  <si>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</si>
  <si>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</si>
  <si>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</si>
  <si>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</si>
  <si>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</si>
  <si>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</si>
  <si>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</si>
  <si>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</si>
  <si>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</si>
  <si>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</si>
  <si>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</si>
  <si>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</si>
  <si>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</si>
  <si>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</si>
  <si>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</si>
  <si>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</si>
  <si>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</si>
  <si>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</si>
  <si>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</si>
  <si>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</si>
  <si>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</si>
  <si>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18/2/1400</t>
  </si>
  <si>
    <t>10/2/1400</t>
  </si>
  <si>
    <t>21/2/1400</t>
  </si>
  <si>
    <t>29/2/1400</t>
  </si>
  <si>
    <t>برداشت اعتبار سارا</t>
  </si>
  <si>
    <t>واریز علی به حساب بورسی سارا</t>
  </si>
  <si>
    <t>تسفیه اعتبار سارا</t>
  </si>
  <si>
    <t>علی واریز به حساب سارا</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</si>
  <si>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</si>
  <si>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</si>
  <si>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</si>
  <si>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</si>
  <si>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</si>
  <si>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</si>
  <si>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</si>
  <si>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</si>
  <si>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</si>
  <si>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</si>
  <si>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</si>
  <si>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</si>
  <si>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</si>
  <si>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</si>
  <si>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</si>
  <si>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</si>
  <si>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</si>
  <si>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</si>
  <si>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</si>
  <si>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</si>
  <si>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</si>
  <si>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</si>
  <si>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</si>
  <si>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</si>
  <si>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</si>
  <si>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</si>
  <si>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</si>
  <si>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</si>
  <si>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</si>
  <si>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</si>
  <si>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</si>
  <si>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</si>
  <si>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</si>
  <si>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</si>
  <si>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</si>
  <si>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ومهان 6826 تا 1275</t>
  </si>
  <si>
    <t>12/4/1400</t>
  </si>
  <si>
    <t>ومهان 22240 تا 1310</t>
  </si>
  <si>
    <t>واریز نقدی به حساب بورسی مهدی</t>
  </si>
  <si>
    <t>13/4/1400</t>
  </si>
  <si>
    <t>14/4/1400</t>
  </si>
  <si>
    <t>وغدیر 101322 تا 1100</t>
  </si>
  <si>
    <t>15/4/1400</t>
  </si>
  <si>
    <t>16/4/1400</t>
  </si>
  <si>
    <t>سود سهام</t>
  </si>
  <si>
    <t>19/4/1400</t>
  </si>
  <si>
    <t>کگل</t>
  </si>
  <si>
    <t>بیمه البرز</t>
  </si>
  <si>
    <t>وبملت</t>
  </si>
  <si>
    <t>سیمان فارس و خوزستان</t>
  </si>
  <si>
    <t>شرکتهای غیر بورسی</t>
  </si>
  <si>
    <t>سود تقسیمی برای ومهان 1400</t>
  </si>
  <si>
    <t>20/4/1400</t>
  </si>
  <si>
    <t>داریوش</t>
  </si>
  <si>
    <t>علی بازپرداخت اعتبار</t>
  </si>
  <si>
    <t>تسفیه اعتبار علی</t>
  </si>
  <si>
    <t>21/4/1400</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</si>
  <si>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</si>
  <si>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</si>
  <si>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</si>
  <si>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</si>
  <si>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</si>
  <si>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</si>
  <si>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</si>
  <si>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</si>
  <si>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</si>
  <si>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</si>
  <si>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</si>
  <si>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</si>
  <si>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</si>
  <si>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</si>
  <si>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</si>
  <si>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</si>
  <si>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</si>
  <si>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</si>
  <si>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</si>
  <si>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</si>
  <si>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</si>
  <si>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</si>
  <si>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</si>
  <si>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</si>
  <si>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</si>
  <si>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</si>
  <si>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</si>
  <si>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</si>
  <si>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</si>
  <si>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</si>
  <si>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</si>
  <si>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</si>
  <si>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</si>
  <si>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</si>
  <si>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</si>
  <si>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</si>
  <si>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</si>
  <si>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</si>
  <si>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</si>
  <si>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</si>
  <si>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</si>
  <si>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</si>
  <si>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</si>
  <si>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</si>
  <si>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</si>
  <si>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</si>
  <si>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</si>
  <si>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</si>
  <si>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</si>
  <si>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</si>
  <si>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</si>
  <si>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</si>
  <si>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</si>
  <si>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</si>
  <si>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</si>
  <si>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</si>
  <si>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</si>
  <si>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</si>
  <si>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</si>
  <si>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</si>
  <si>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</si>
  <si>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</si>
  <si>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</si>
  <si>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</si>
  <si>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</si>
  <si>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</si>
  <si>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</si>
  <si>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</si>
  <si>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</si>
  <si>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</si>
  <si>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</si>
  <si>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</si>
  <si>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</si>
  <si>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</si>
  <si>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</si>
  <si>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</si>
  <si>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</si>
  <si>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</si>
  <si>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</si>
  <si>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</si>
  <si>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</si>
  <si>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</si>
  <si>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</si>
  <si>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</si>
  <si>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</si>
  <si>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</si>
  <si>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</si>
  <si>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نوسانگیری زاگرس</t>
  </si>
  <si>
    <t>استارت</t>
  </si>
  <si>
    <t>neda</t>
  </si>
  <si>
    <t>23/4/1400</t>
  </si>
  <si>
    <t>واریز به حساب ملت مهدی</t>
  </si>
  <si>
    <t>شبندر (375 هزار بشکه در روز)</t>
  </si>
  <si>
    <t>شراز (56 هزار بشکه در روز)</t>
  </si>
  <si>
    <t>شبریز (110 هزار بشکه در روز)</t>
  </si>
  <si>
    <t>26/4/1400</t>
  </si>
  <si>
    <t>26/12/1400</t>
  </si>
  <si>
    <t>27/12/1400</t>
  </si>
  <si>
    <t>نوسانگیری وغدیر</t>
  </si>
  <si>
    <t>28/4/1400</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</si>
  <si>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</si>
  <si>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</si>
  <si>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</si>
  <si>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</si>
  <si>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</si>
  <si>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</si>
  <si>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</si>
  <si>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</si>
  <si>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</si>
  <si>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تاریخ فروش</t>
  </si>
  <si>
    <t>10/5/1400</t>
  </si>
  <si>
    <t>11/5/1400</t>
  </si>
  <si>
    <t>ت 1000 تا 28/4 و 8000 تا 4/5/1400</t>
  </si>
  <si>
    <t>5/5/1400 و 6/5/1400</t>
  </si>
  <si>
    <t>1283 و 1270</t>
  </si>
  <si>
    <t>6/5/1400</t>
  </si>
  <si>
    <t>19/5/1400</t>
  </si>
  <si>
    <t>ومهان 356260 تا 1388</t>
  </si>
  <si>
    <t>20/5/1400</t>
  </si>
  <si>
    <t>سود ومهان علی و مریم</t>
  </si>
  <si>
    <t>سود ومهان سارا</t>
  </si>
  <si>
    <t>EPS</t>
  </si>
  <si>
    <t>سود نقدی وغدیر</t>
  </si>
  <si>
    <t>24/5/1400</t>
  </si>
  <si>
    <t>از مریم گرفتم برای 206</t>
  </si>
  <si>
    <t>علی بابت نیم سکه های عقد رضا داد</t>
  </si>
  <si>
    <t>قسط انصار مریم 24/5/1400</t>
  </si>
  <si>
    <t>تصفیه اعتبار 60 میلیون تومنی علی</t>
  </si>
  <si>
    <t>31/5/1400</t>
  </si>
  <si>
    <t>2/6/1400</t>
  </si>
  <si>
    <t>نوسانگیری حساب سارا برای حاج خانوم</t>
  </si>
  <si>
    <t>3/6/1400</t>
  </si>
  <si>
    <t>4/6/1400</t>
  </si>
  <si>
    <t>پرداخت به مونا از طرف مریم 24/5/1400</t>
  </si>
  <si>
    <t>بدهی وام انصار مریم 26 قسط 21/5/1400</t>
  </si>
  <si>
    <t>بدهی وام بانک ملی مریم 30 قسط 4/6/1400</t>
  </si>
  <si>
    <t>حاج خانوم (800 دندانپزشکی و 900 حاجی)</t>
  </si>
  <si>
    <t>9/6/1400</t>
  </si>
  <si>
    <t>اینجا با مهدی صاف کردم و 20000 تا وغدیر هم سود دادم</t>
  </si>
  <si>
    <t>10/6/1400</t>
  </si>
  <si>
    <t>12/6/1400</t>
  </si>
  <si>
    <t>15/6/1400</t>
  </si>
  <si>
    <t>واریز سارا به حساب بورسی (از ملت علی)</t>
  </si>
  <si>
    <t>سارا واریز به حساب علی</t>
  </si>
  <si>
    <t>-</t>
  </si>
  <si>
    <t>,</t>
  </si>
  <si>
    <t>`</t>
  </si>
  <si>
    <t>درصد تغییر</t>
  </si>
  <si>
    <t>میزان تغییر</t>
  </si>
  <si>
    <t xml:space="preserve">کمترین </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</si>
  <si>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</si>
  <si>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</si>
  <si>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</si>
  <si>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</si>
  <si>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</si>
  <si>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</si>
  <si>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</si>
  <si>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</si>
  <si>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</si>
  <si>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</si>
  <si>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</si>
  <si>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</si>
  <si>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</si>
  <si>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</si>
  <si>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</si>
  <si>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</si>
  <si>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</si>
  <si>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</si>
  <si>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</si>
  <si>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</si>
  <si>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</si>
  <si>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</si>
  <si>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</si>
  <si>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</si>
  <si>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</si>
  <si>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</si>
  <si>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</si>
  <si>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</si>
  <si>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</si>
  <si>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</si>
  <si>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</si>
  <si>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</si>
  <si>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</si>
  <si>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</si>
  <si>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</si>
  <si>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</si>
  <si>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</si>
  <si>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</si>
  <si>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</si>
  <si>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</si>
  <si>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</si>
  <si>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</si>
  <si>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</si>
  <si>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</si>
  <si>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</si>
  <si>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</si>
  <si>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</si>
  <si>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</si>
  <si>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</si>
  <si>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</si>
  <si>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</si>
  <si>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</si>
  <si>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</si>
  <si>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</si>
  <si>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</si>
  <si>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</si>
  <si>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</si>
  <si>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</si>
  <si>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</si>
  <si>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</si>
  <si>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</si>
  <si>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</si>
  <si>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</si>
  <si>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</si>
  <si>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</si>
  <si>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</si>
  <si>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</si>
  <si>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</si>
  <si>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</si>
  <si>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</si>
  <si>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</si>
  <si>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</si>
  <si>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</si>
  <si>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</si>
  <si>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</si>
  <si>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</si>
  <si>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</si>
  <si>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</si>
  <si>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</si>
  <si>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</si>
  <si>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</si>
  <si>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</si>
  <si>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</si>
  <si>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</si>
  <si>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</si>
  <si>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</si>
  <si>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</si>
  <si>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</si>
  <si>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</si>
  <si>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</si>
  <si>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</si>
  <si>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</si>
  <si>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</si>
  <si>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</si>
  <si>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</si>
  <si>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</si>
  <si>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</si>
  <si>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</si>
  <si>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</si>
  <si>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</si>
  <si>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</si>
  <si>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</si>
  <si>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</si>
  <si>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</si>
  <si>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</si>
  <si>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</si>
  <si>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</si>
  <si>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</si>
  <si>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</si>
  <si>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</si>
  <si>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</si>
  <si>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</si>
  <si>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</si>
  <si>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</si>
  <si>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</si>
  <si>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</si>
  <si>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</si>
  <si>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</si>
  <si>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</si>
  <si>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</si>
  <si>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</si>
  <si>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</si>
  <si>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</si>
  <si>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</si>
  <si>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</si>
  <si>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</si>
  <si>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</si>
  <si>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</si>
  <si>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</si>
  <si>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</si>
  <si>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</si>
  <si>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</si>
  <si>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</si>
  <si>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</si>
  <si>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</si>
  <si>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</si>
  <si>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</si>
  <si>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</si>
  <si>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</si>
  <si>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</si>
  <si>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</si>
  <si>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</si>
  <si>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</si>
  <si>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</si>
  <si>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</si>
  <si>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</si>
  <si>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</si>
  <si>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</si>
  <si>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</si>
  <si>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</si>
  <si>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</si>
  <si>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</si>
  <si>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</si>
  <si>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</si>
  <si>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</si>
  <si>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</si>
  <si>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</si>
  <si>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</si>
  <si>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</si>
  <si>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</si>
  <si>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</si>
  <si>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</si>
  <si>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</si>
  <si>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</si>
  <si>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</si>
  <si>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</si>
  <si>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</si>
  <si>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</si>
  <si>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</si>
  <si>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</si>
  <si>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</si>
  <si>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</si>
  <si>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</si>
  <si>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</si>
  <si>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</si>
  <si>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</si>
  <si>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</si>
  <si>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</si>
  <si>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</si>
  <si>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</si>
  <si>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</si>
  <si>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</si>
  <si>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</si>
  <si>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</si>
  <si>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</si>
  <si>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</si>
  <si>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</si>
  <si>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</si>
  <si>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</si>
  <si>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</si>
  <si>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</si>
  <si>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</si>
  <si>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</si>
  <si>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</si>
  <si>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</si>
  <si>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</si>
  <si>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</si>
  <si>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</si>
  <si>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</si>
  <si>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</si>
  <si>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</si>
  <si>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</si>
  <si>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</si>
  <si>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</si>
  <si>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</si>
  <si>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</si>
  <si>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</si>
  <si>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</si>
  <si>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</si>
  <si>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</si>
  <si>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</si>
  <si>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</si>
  <si>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</si>
  <si>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</si>
  <si>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</si>
  <si>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</si>
  <si>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</si>
  <si>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</si>
  <si>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</si>
  <si>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</si>
  <si>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</si>
  <si>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</si>
  <si>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</si>
  <si>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</si>
  <si>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</si>
  <si>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</si>
  <si>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</si>
  <si>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</si>
  <si>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</si>
  <si>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</si>
  <si>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</si>
  <si>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</si>
  <si>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</si>
  <si>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</si>
  <si>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</si>
  <si>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</si>
  <si>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</si>
  <si>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</si>
  <si>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</si>
  <si>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</si>
  <si>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</si>
  <si>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</si>
  <si>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</si>
  <si>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</si>
  <si>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</si>
  <si>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</si>
  <si>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</si>
  <si>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</si>
  <si>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</si>
  <si>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</si>
  <si>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</si>
  <si>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</si>
  <si>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</si>
  <si>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</si>
  <si>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</si>
  <si>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</si>
  <si>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</si>
  <si>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</si>
  <si>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</si>
  <si>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</si>
  <si>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</si>
  <si>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</si>
  <si>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</si>
  <si>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</si>
  <si>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</si>
  <si>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</si>
  <si>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</si>
  <si>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</si>
  <si>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</si>
  <si>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</si>
  <si>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</si>
  <si>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</si>
  <si>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</si>
  <si>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ومهان 1001 تا 1702</t>
  </si>
  <si>
    <t>واریز به ملت مریم بابت قسط ملت</t>
  </si>
  <si>
    <t>بابت کابینت و جاکفشی</t>
  </si>
  <si>
    <t>21/6/1400</t>
  </si>
  <si>
    <t>23/6/1400</t>
  </si>
  <si>
    <t>30/6/1400</t>
  </si>
  <si>
    <t>بابت قسط ملت و انصار</t>
  </si>
  <si>
    <t>طلب از مریم دستی</t>
  </si>
  <si>
    <t>4/7/1400</t>
  </si>
  <si>
    <t>واریز 50 و بقیه نوسانگیری</t>
  </si>
  <si>
    <t>6/7/1400</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</si>
  <si>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</si>
  <si>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</si>
  <si>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</si>
  <si>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</si>
  <si>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</si>
  <si>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</si>
  <si>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</si>
  <si>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</si>
  <si>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</si>
  <si>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</si>
  <si>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مجتمع لاستیک یزد</t>
  </si>
  <si>
    <t>سایر بورسی ها</t>
  </si>
  <si>
    <t>ستاره نفت خلیج فارس</t>
  </si>
  <si>
    <t>پتروشیمی ایلام</t>
  </si>
  <si>
    <t>شپترو</t>
  </si>
  <si>
    <t>وپترو</t>
  </si>
  <si>
    <t>سود تقسیمی برای تاپیکو 1400</t>
  </si>
  <si>
    <t>پکرمان</t>
  </si>
  <si>
    <t>شپاس</t>
  </si>
  <si>
    <t>8/7/1400</t>
  </si>
  <si>
    <t>وغدیر 27349 تا 1500</t>
  </si>
  <si>
    <t>11/7/1400</t>
  </si>
  <si>
    <t>12/7/1400</t>
  </si>
  <si>
    <t>17/7/1400</t>
  </si>
  <si>
    <t>وغدیر 45255 تا 1580</t>
  </si>
  <si>
    <t>18/7/1400</t>
  </si>
  <si>
    <t>وغدیر 48918 تا 1560</t>
  </si>
  <si>
    <t>21/7/1400</t>
  </si>
  <si>
    <t>27/7/1400</t>
  </si>
  <si>
    <t>1/8/1400</t>
  </si>
  <si>
    <t>3/8/1400</t>
  </si>
  <si>
    <t>unknown</t>
  </si>
  <si>
    <t>10/7/1400</t>
  </si>
  <si>
    <t>mobina</t>
  </si>
  <si>
    <t>gg</t>
  </si>
  <si>
    <t>فولاد</t>
  </si>
  <si>
    <t>مدیریت سرمایه گذاری امید</t>
  </si>
  <si>
    <t>سیمان داراب</t>
  </si>
  <si>
    <t>مبین</t>
  </si>
  <si>
    <t>ح مدیدریت سرمایه گذاری امید</t>
  </si>
  <si>
    <t>غبشهر</t>
  </si>
  <si>
    <t>5/8/1400</t>
  </si>
  <si>
    <t>8/8/1400</t>
  </si>
  <si>
    <t xml:space="preserve">ومهان </t>
  </si>
  <si>
    <t>9/8/1400</t>
  </si>
  <si>
    <t>بیمه 206 سفید 10/8/1400</t>
  </si>
  <si>
    <t>12/8/1400</t>
  </si>
  <si>
    <t>1400/08/17</t>
  </si>
  <si>
    <t>1400/08/16</t>
  </si>
  <si>
    <t>1400/08/15</t>
  </si>
  <si>
    <t>1400/08/13</t>
  </si>
  <si>
    <t>1400/08/12</t>
  </si>
  <si>
    <t>1400/08/11</t>
  </si>
  <si>
    <t>1400/08/10</t>
  </si>
  <si>
    <t>1400/08/9</t>
  </si>
  <si>
    <t>1400/08/8</t>
  </si>
  <si>
    <t>1400/08/6</t>
  </si>
  <si>
    <t>1400/08/5</t>
  </si>
  <si>
    <t>1400/08/4</t>
  </si>
  <si>
    <t>1400/08/3</t>
  </si>
  <si>
    <t>1400/08/1</t>
  </si>
  <si>
    <t>1400/07/29</t>
  </si>
  <si>
    <t>1400/07/28</t>
  </si>
  <si>
    <t>1400/07/27</t>
  </si>
  <si>
    <t>1400/07/26</t>
  </si>
  <si>
    <t>1400/07/25</t>
  </si>
  <si>
    <t>1400/07/24</t>
  </si>
  <si>
    <t>1400/07/22</t>
  </si>
  <si>
    <t>1400/07/21</t>
  </si>
  <si>
    <t>1400/07/20</t>
  </si>
  <si>
    <t>1400/07/19</t>
  </si>
  <si>
    <t>1400/07/18</t>
  </si>
  <si>
    <t>1400/07/17</t>
  </si>
  <si>
    <t>1400/07/14</t>
  </si>
  <si>
    <t>1400/07/12</t>
  </si>
  <si>
    <t>1400/07/11</t>
  </si>
  <si>
    <t>1400/07/1</t>
  </si>
  <si>
    <t>1400/07/10</t>
  </si>
  <si>
    <t>1400/07/8</t>
  </si>
  <si>
    <t>1400/07/7</t>
  </si>
  <si>
    <t>1400/07/6</t>
  </si>
  <si>
    <t>1400/07/4</t>
  </si>
  <si>
    <t>1400/07/3</t>
  </si>
  <si>
    <t>1400/06/31</t>
  </si>
  <si>
    <t>1400/06/30</t>
  </si>
  <si>
    <t>1400/06/29</t>
  </si>
  <si>
    <t>1400/06/28</t>
  </si>
  <si>
    <t>1400/06/27</t>
  </si>
  <si>
    <t>1400/06/25</t>
  </si>
  <si>
    <t>1400/06/24</t>
  </si>
  <si>
    <t>1400/06/23</t>
  </si>
  <si>
    <t>1400/06/22</t>
  </si>
  <si>
    <t>1400/06/21</t>
  </si>
  <si>
    <t>1400/06/20</t>
  </si>
  <si>
    <t>1400/06/18</t>
  </si>
  <si>
    <t>1400/06/17</t>
  </si>
  <si>
    <t>1400/06/16</t>
  </si>
  <si>
    <t>1400/08/20</t>
  </si>
  <si>
    <t>1400/08/19</t>
  </si>
  <si>
    <t>1400/08/18</t>
  </si>
  <si>
    <t>23/8/1400</t>
  </si>
  <si>
    <t>سارا برای ترکیه</t>
  </si>
  <si>
    <t>فروش 26653 تا وغدیر</t>
  </si>
  <si>
    <t>25/8/1400</t>
  </si>
  <si>
    <t>برلیانس 330</t>
  </si>
  <si>
    <t>byd s6</t>
  </si>
  <si>
    <t>tiggo 5</t>
  </si>
  <si>
    <t>tiggo 7</t>
  </si>
  <si>
    <t>Arizo 5</t>
  </si>
  <si>
    <t>H30 cross</t>
  </si>
  <si>
    <t>Bestturn b30</t>
  </si>
  <si>
    <t>Foto Savana</t>
  </si>
  <si>
    <t>haima s7</t>
  </si>
  <si>
    <t>hava h2</t>
  </si>
  <si>
    <t>jac s5</t>
  </si>
  <si>
    <t>fidelity</t>
  </si>
  <si>
    <t>zooty z300</t>
  </si>
  <si>
    <t>سود تلفیقی 1400</t>
  </si>
  <si>
    <t>2/9/1400</t>
  </si>
  <si>
    <t>3/9/1400</t>
  </si>
  <si>
    <t>6/9/1400</t>
  </si>
  <si>
    <t>1/6/1400</t>
  </si>
  <si>
    <t>8/9/1400</t>
  </si>
  <si>
    <t>9/9/1400</t>
  </si>
  <si>
    <t>13/9/1400</t>
  </si>
  <si>
    <t>واریز به حساب بورسی</t>
  </si>
  <si>
    <t>سارا واریز به حساب</t>
  </si>
  <si>
    <t>ومهان 2217 تا 436.6</t>
  </si>
  <si>
    <t>17/9/1400</t>
  </si>
  <si>
    <t>29/9/1400</t>
  </si>
  <si>
    <t>با فزایش سرمایه پترول 23 تا 28 درصد قیمت وغدیر</t>
  </si>
  <si>
    <t>پول نقد ایلیا</t>
  </si>
  <si>
    <t>وغدیر حساب ایلیا</t>
  </si>
  <si>
    <t>ومهان حساب ایلیا</t>
  </si>
  <si>
    <t>5/10/1400</t>
  </si>
  <si>
    <t>تا الان 5000 تا فروختم 1529 و سکه خریدم 12.8</t>
  </si>
  <si>
    <t>6/10/1400</t>
  </si>
  <si>
    <t>مازاد سکه</t>
  </si>
  <si>
    <t>7/10/1400</t>
  </si>
  <si>
    <t>تعداد کل سهام</t>
  </si>
  <si>
    <t>دارایی شپدیس به صورت تلفیقی</t>
  </si>
  <si>
    <t>ارزش بازار تلفیقی</t>
  </si>
  <si>
    <t>ارزش دارایی به ازا هر سهم</t>
  </si>
  <si>
    <t>سود تلفیقی سال 1400 با 2134 تومن سود شپدیس</t>
  </si>
  <si>
    <t>سود 1400</t>
  </si>
  <si>
    <t>سود 1401</t>
  </si>
  <si>
    <t>سود تلفیقی سال 1401 با 4000 تومن سود شپدیس</t>
  </si>
  <si>
    <t>12/10/1400</t>
  </si>
  <si>
    <t>(--user-data-dir</t>
  </si>
  <si>
    <t>16/10/1400</t>
  </si>
  <si>
    <t>28/10/1400</t>
  </si>
  <si>
    <t>اعتبار 200 میلیون تومن</t>
  </si>
  <si>
    <t>3/11/1400</t>
  </si>
  <si>
    <t xml:space="preserve">علی اعتبار 200 میلیونی 158768 تا وغدیر </t>
  </si>
  <si>
    <t>5/11/1400</t>
  </si>
  <si>
    <t>بدهی 43 میلیون معادل 40375 تا وغدیر یا 3.96 تا سکه، حداقل سود بانکی یا تعداد سکه بعلاوه نصف سود بیشتر از وغدیر</t>
  </si>
  <si>
    <t>8/11/1400</t>
  </si>
  <si>
    <t>11/11/1400</t>
  </si>
  <si>
    <t>علی نوسنگیری طی دی ماه و بخشی از سکه</t>
  </si>
  <si>
    <t>18/11/1400</t>
  </si>
  <si>
    <t>24/11/1400</t>
  </si>
  <si>
    <t>https://player.arvancloud.com/index.html?config=https://classiran.arvanlive.com/vasepah/origin_config.json</t>
  </si>
  <si>
    <t>سود تقسیمی برای وسپه 1400</t>
  </si>
  <si>
    <t>17/12/1400</t>
  </si>
  <si>
    <t>علی از حاج خانوم طلب داشت</t>
  </si>
  <si>
    <t>حاج خانوم پول وکیل</t>
  </si>
  <si>
    <t>پول وکیل</t>
  </si>
  <si>
    <t>18/12/1400</t>
  </si>
  <si>
    <t>1400 eps</t>
  </si>
  <si>
    <t>1400 dps</t>
  </si>
  <si>
    <t>1401 eps</t>
  </si>
  <si>
    <t>بخشی از دارایی های وکغدیر</t>
  </si>
  <si>
    <t>فولاژ</t>
  </si>
  <si>
    <t>فولاد غدیر نیریز</t>
  </si>
  <si>
    <t>وکغدیر</t>
  </si>
  <si>
    <t>موتوژن</t>
  </si>
  <si>
    <t>توسعه آهن و فولاد گلگهر</t>
  </si>
  <si>
    <t>بموتو</t>
  </si>
  <si>
    <t>قیمت سهم در زمان پرداخت سود</t>
  </si>
  <si>
    <t xml:space="preserve">مریم </t>
  </si>
  <si>
    <t>سود وغدیر به قیمت</t>
  </si>
  <si>
    <t xml:space="preserve">افزایش سرمایه پارس بعلاوه 1 </t>
  </si>
  <si>
    <t>28/12/1400</t>
  </si>
  <si>
    <t>6/1/1401</t>
  </si>
  <si>
    <t>وغدیر 72827 تا 1496</t>
  </si>
  <si>
    <t>9/1/1401</t>
  </si>
  <si>
    <t>وامید</t>
  </si>
  <si>
    <t>10/1/1401</t>
  </si>
  <si>
    <t>14/1/1401</t>
  </si>
  <si>
    <t>15/1/1401</t>
  </si>
  <si>
    <t>a48899660-aN357315420*</t>
  </si>
  <si>
    <t>بخشی از دارایی پارسان</t>
  </si>
  <si>
    <t>سایر</t>
  </si>
  <si>
    <t>انباشته</t>
  </si>
  <si>
    <t xml:space="preserve">تاثیر بر nav </t>
  </si>
  <si>
    <t>ومهان 229715 تا 518</t>
  </si>
  <si>
    <t>EPS 1400</t>
  </si>
  <si>
    <t>سهم پارسان از eps</t>
  </si>
  <si>
    <t>DPS 1400</t>
  </si>
  <si>
    <t>سهم پارسان از dps</t>
  </si>
  <si>
    <t>EPS 1401</t>
  </si>
  <si>
    <t>سهم وغدیر از سود تلفیقی 1400</t>
  </si>
  <si>
    <t>سود تلفیقی زیر مجموعه 1400</t>
  </si>
  <si>
    <t>DPS شرکت زیر مجموعه 1400</t>
  </si>
  <si>
    <t>سهم وغدیر 1400</t>
  </si>
  <si>
    <t>برآورد سود تلفیقی شرکت زیر مجموعه 1401</t>
  </si>
  <si>
    <t>سهم وغدیر از سود تلفیقی 1401</t>
  </si>
  <si>
    <t>برآورد eps اسفند 1401 وغدیر</t>
  </si>
  <si>
    <t>سهم وکغدیر از eps</t>
  </si>
  <si>
    <t>سهم وکغدیر از dps</t>
  </si>
  <si>
    <t>22/1/1401</t>
  </si>
  <si>
    <t>ومهان 152444 تا 531</t>
  </si>
  <si>
    <t>23/1/1401</t>
  </si>
  <si>
    <t>ومهان 2700529 تا 508</t>
  </si>
  <si>
    <t>29/1/1401</t>
  </si>
  <si>
    <t>سارا تصفیه اعتبار 20 میلیونی</t>
  </si>
  <si>
    <t>سود وغدیر و تصفیه اعتبار 20 میلیونی</t>
  </si>
  <si>
    <t>دریافت طلب 20 میلیونی از سارا</t>
  </si>
  <si>
    <t>سارا پرداخت بدهی بابت تصفیه اعتبار</t>
  </si>
  <si>
    <t>29/1/401</t>
  </si>
  <si>
    <t>علی دریافت طلب از سارا</t>
  </si>
  <si>
    <t>علی سود سهام وغدیر</t>
  </si>
  <si>
    <t>30/1/1401</t>
  </si>
  <si>
    <t>مریم واریز به بورس خودش</t>
  </si>
  <si>
    <t>پول نقد فرنیا</t>
  </si>
  <si>
    <t>وغدیر حساب فرنیا</t>
  </si>
  <si>
    <t>ومهان حساب فرنیا</t>
  </si>
  <si>
    <t>علی واریز به کارگزاری</t>
  </si>
  <si>
    <t>ضغدر3009 قیمت تصفیه 707</t>
  </si>
  <si>
    <t>31/1/1401</t>
  </si>
  <si>
    <t>1/2/1401</t>
  </si>
  <si>
    <t>2/2/1401</t>
  </si>
  <si>
    <t>3/2/1401</t>
  </si>
  <si>
    <t>m16705934-mH53752848*</t>
  </si>
  <si>
    <t>4/2/1401</t>
  </si>
  <si>
    <t>علی واریز به بورس خودش</t>
  </si>
  <si>
    <t>5/2/1401</t>
  </si>
  <si>
    <t>حاج خانوم مایکروفر و مخلوط کن</t>
  </si>
  <si>
    <t>مریم پرداخت هزینه کالای حاج خانوم</t>
  </si>
  <si>
    <t>مریم واریز به حساب بورسی</t>
  </si>
  <si>
    <t>6/2/1401</t>
  </si>
  <si>
    <t>خرید مایکروویو و همزن</t>
  </si>
  <si>
    <t>بدهی وام بانک ملی 26 قسط 3/2/1401</t>
  </si>
  <si>
    <t>18/2/1401</t>
  </si>
  <si>
    <t>ومهان 85807 تا 523</t>
  </si>
  <si>
    <t>علی سکه قدیمی که به وغدیر تبدیل شد</t>
  </si>
  <si>
    <t>19/2/1401</t>
  </si>
  <si>
    <t>21/2/1401</t>
  </si>
  <si>
    <t>ومهان 505422 تا 543</t>
  </si>
  <si>
    <t>وغدیر 359786 تا 1322</t>
  </si>
  <si>
    <t>وغدیر 85137 تا 1302</t>
  </si>
  <si>
    <t>پول نقد بورس مریم</t>
  </si>
  <si>
    <t>26/2/1401</t>
  </si>
  <si>
    <t>وغدیر 48177 تا 1526</t>
  </si>
  <si>
    <t>27/2/1401</t>
  </si>
  <si>
    <t>ومهان 74758 تا 450</t>
  </si>
  <si>
    <t>ومهان 33018 تا 447</t>
  </si>
  <si>
    <t>تعدا دارایی خانواده بر حسب وغدیر</t>
  </si>
  <si>
    <t>تعداد دارایی خانواده بر حسب ومهان</t>
  </si>
  <si>
    <t>29/2/1401</t>
  </si>
  <si>
    <t>28/2/1401</t>
  </si>
  <si>
    <t>طلب نصف 41 قسط وام 50 میلیونی 24/2/1401</t>
  </si>
  <si>
    <t>31/2/1401</t>
  </si>
  <si>
    <t>سارا دریافت وجه</t>
  </si>
  <si>
    <t>1/3/1401</t>
  </si>
  <si>
    <t>2/3/1401</t>
  </si>
  <si>
    <t>3/3/1401</t>
  </si>
  <si>
    <t>طلب از مداحی 5/3/1401</t>
  </si>
  <si>
    <t>7/3/1401</t>
  </si>
  <si>
    <t>طلب علی نوسانگیری 7/3/1401</t>
  </si>
  <si>
    <t>فغدیر</t>
  </si>
  <si>
    <t>ارزش برآوردی شرکت (هزار میلیارد تومن)</t>
  </si>
  <si>
    <t>DPS 1401</t>
  </si>
  <si>
    <t>وغدیر 31180 تا 1171</t>
  </si>
  <si>
    <t>11/3/1401</t>
  </si>
  <si>
    <t>16/3/1401</t>
  </si>
  <si>
    <t>16/2/1401</t>
  </si>
  <si>
    <t>ومهان 432257 تا 536</t>
  </si>
  <si>
    <t>وغدیر 784149 تا 1552</t>
  </si>
  <si>
    <t>dps 1401</t>
  </si>
  <si>
    <t>dps تاپیکو 1401</t>
  </si>
  <si>
    <t>21/3/1401</t>
  </si>
  <si>
    <t>22/3/1401</t>
  </si>
  <si>
    <t>ومهان 573381 تا 553</t>
  </si>
  <si>
    <t>23/3/1401</t>
  </si>
  <si>
    <t>طلب علی از صندوق</t>
  </si>
  <si>
    <t>بدهی علی به صندوق 17667 تا ومهان (موجود در حساب ایلیا)</t>
  </si>
  <si>
    <t>24/3/1401</t>
  </si>
  <si>
    <t>ومهان 102010 تا 565</t>
  </si>
  <si>
    <t>وغدیر 2334 تا 1515</t>
  </si>
  <si>
    <t>فرنیا</t>
  </si>
  <si>
    <t>25/3/1401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</si>
</sst>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ت\و\م\ا\ن\ #,##0\ "/>
    <numFmt numFmtId="165" formatCode="[$-3000401]0"/>
  </numFmts>
  <fonts count="3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
      <b/>
      <sz val="18"/>
      <color theme="1"/>
      <name val="Calibri"/>
      <family val="2"/>
      <scheme val="minor"/>
    </font>
    <font>
      <sz val="9"/>
      <color rgb="FF333333"/>
      <name val="Iranyekan"/>
    </font>
    <font>
      <sz val="9"/>
      <color rgb="FF1AA500"/>
      <name val="Iranyekan"/>
    </font>
    <font>
      <sz val="8"/>
      <name val="Calibri"/>
      <family val="2"/>
      <scheme val="minor"/>
    </font>
    <font>
      <b/>
      <sz val="13"/>
      <color theme="3"/>
      <name val="Calibri"/>
      <family val="2"/>
      <scheme val="minor"/>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rgb="FFFFFFFF"/>
        <bgColor indexed="64"/>
      </patternFill>
    </fill>
    <fill>
      <patternFill patternType="solid">
        <fgColor rgb="FFFFFF66"/>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top/>
      <bottom style="medium">
        <color rgb="FFE6E6E6"/>
      </bottom>
      <diagonal/>
    </border>
    <border>
      <left/>
      <right/>
      <top/>
      <bottom style="medium">
        <color rgb="FF03B5A3"/>
      </bottom>
      <diagonal/>
    </border>
    <border>
      <left/>
      <right/>
      <top style="medium">
        <color rgb="FFCCCCCC"/>
      </top>
      <bottom style="medium">
        <color rgb="FFE6E6E6"/>
      </bottom>
      <diagonal/>
    </border>
    <border>
      <left/>
      <right/>
      <top/>
      <bottom style="thick">
        <color theme="4" tint="0.499984740745262"/>
      </bottom>
      <diagonal/>
    </border>
    <border>
      <left style="thin">
        <color indexed="64"/>
      </left>
      <right style="thin">
        <color indexed="64"/>
      </right>
      <top style="thin">
        <color indexed="64"/>
      </top>
      <bottom/>
      <diagonal/>
    </border>
  </borders>
  <cellStyleXfs count="5">
    <xf numFmtId="0" fontId="0" fillId="0" borderId="0"/>
    <xf numFmtId="0" fontId="4" fillId="0" borderId="0" applyNumberFormat="0" applyFill="0" applyBorder="0" applyAlignment="0" applyProtection="0"/>
    <xf numFmtId="0" fontId="6" fillId="0" borderId="0"/>
    <xf numFmtId="0" fontId="5" fillId="0" borderId="0"/>
    <xf numFmtId="0" fontId="29" fillId="0" borderId="12" applyNumberFormat="0" applyFill="0" applyAlignment="0" applyProtection="0"/>
  </cellStyleXfs>
  <cellXfs count="495">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1"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2"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3"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4"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5" fillId="6" borderId="0" xfId="0" applyFont="1" applyFill="1" applyBorder="1"/>
    <xf numFmtId="0" fontId="0" fillId="35" borderId="1" xfId="0" applyFill="1" applyBorder="1"/>
    <xf numFmtId="0" fontId="16"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7" fillId="25" borderId="1" xfId="0" applyFont="1" applyFill="1" applyBorder="1" applyAlignment="1">
      <alignment horizontal="center"/>
    </xf>
    <xf numFmtId="164" fontId="17" fillId="25" borderId="1" xfId="0" applyNumberFormat="1" applyFont="1" applyFill="1" applyBorder="1" applyAlignment="1">
      <alignment horizontal="center"/>
    </xf>
    <xf numFmtId="164" fontId="17"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18"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164" fontId="15" fillId="27"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19" fillId="8" borderId="0" xfId="0" applyFont="1" applyFill="1"/>
    <xf numFmtId="0" fontId="21" fillId="0" borderId="0" xfId="0" applyFont="1"/>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0" fontId="0" fillId="40" borderId="1" xfId="0" applyFill="1" applyBorder="1"/>
    <xf numFmtId="164" fontId="15" fillId="8" borderId="1" xfId="0" applyNumberFormat="1" applyFont="1" applyFill="1" applyBorder="1" applyAlignment="1">
      <alignment horizontal="center"/>
    </xf>
    <xf numFmtId="0" fontId="0" fillId="20" borderId="1" xfId="0" applyFill="1" applyBorder="1" applyAlignment="1">
      <alignment wrapText="1"/>
    </xf>
    <xf numFmtId="164" fontId="0" fillId="38" borderId="1" xfId="0" applyNumberFormat="1" applyFill="1" applyBorder="1" applyAlignment="1">
      <alignment horizontal="center" vertic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5" fillId="36" borderId="1" xfId="0" applyNumberFormat="1" applyFont="1" applyFill="1" applyBorder="1" applyAlignment="1">
      <alignment horizontal="center"/>
    </xf>
    <xf numFmtId="164" fontId="0" fillId="0" borderId="1" xfId="0" applyNumberFormat="1" applyFont="1" applyBorder="1" applyAlignment="1">
      <alignment horizontal="center"/>
    </xf>
    <xf numFmtId="0" fontId="22"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2"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164" fontId="15" fillId="16" borderId="1" xfId="0" applyNumberFormat="1" applyFont="1" applyFill="1" applyBorder="1" applyAlignment="1">
      <alignment horizontal="center"/>
    </xf>
    <xf numFmtId="164" fontId="15" fillId="10" borderId="1" xfId="0" applyNumberFormat="1" applyFont="1" applyFill="1" applyBorder="1" applyAlignment="1">
      <alignment horizontal="center"/>
    </xf>
    <xf numFmtId="0" fontId="0" fillId="10" borderId="1" xfId="0" applyFill="1" applyBorder="1"/>
    <xf numFmtId="0" fontId="0" fillId="0" borderId="0" xfId="0"/>
    <xf numFmtId="0" fontId="0" fillId="0" borderId="0" xfId="0"/>
    <xf numFmtId="0" fontId="0" fillId="0" borderId="0" xfId="0"/>
    <xf numFmtId="0" fontId="0" fillId="0" borderId="0" xfId="0"/>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0" borderId="0" xfId="0"/>
    <xf numFmtId="0" fontId="0" fillId="0" borderId="0" xfId="0"/>
    <xf numFmtId="0" fontId="0" fillId="0" borderId="0" xfId="0" applyAlignment="1">
      <alignment readingOrder="2"/>
    </xf>
    <xf numFmtId="0" fontId="0" fillId="21" borderId="1" xfId="0" applyFill="1" applyBorder="1" applyAlignment="1">
      <alignment horizontal="center"/>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5" xfId="0" applyFill="1" applyBorder="1" applyAlignment="1">
      <alignment horizontal="center" vertical="center"/>
    </xf>
    <xf numFmtId="164" fontId="0" fillId="39" borderId="1" xfId="0" applyNumberFormat="1" applyFill="1" applyBorder="1" applyAlignment="1">
      <alignment horizontal="center" vertical="center"/>
    </xf>
    <xf numFmtId="0" fontId="20" fillId="39" borderId="1" xfId="0" applyFont="1" applyFill="1" applyBorder="1" applyAlignment="1">
      <alignment horizontal="center" vertical="center"/>
    </xf>
    <xf numFmtId="0" fontId="0" fillId="39" borderId="5" xfId="0" applyFill="1" applyBorder="1" applyAlignment="1">
      <alignment horizontal="center" vertical="center"/>
    </xf>
    <xf numFmtId="0" fontId="0" fillId="39" borderId="1" xfId="0" applyFill="1" applyBorder="1" applyAlignment="1">
      <alignment horizontal="center" vertical="center"/>
    </xf>
    <xf numFmtId="164" fontId="0" fillId="40" borderId="1" xfId="0" applyNumberFormat="1" applyFill="1" applyBorder="1" applyAlignment="1">
      <alignment horizontal="center" vertical="center"/>
    </xf>
    <xf numFmtId="0" fontId="0" fillId="40" borderId="1" xfId="0" applyFill="1" applyBorder="1" applyAlignment="1">
      <alignment horizontal="center" vertical="center"/>
    </xf>
    <xf numFmtId="0" fontId="0" fillId="40" borderId="5" xfId="0" applyFill="1" applyBorder="1" applyAlignment="1">
      <alignment horizontal="center" vertical="center"/>
    </xf>
    <xf numFmtId="164" fontId="0" fillId="26" borderId="1" xfId="0" applyNumberFormat="1" applyFill="1" applyBorder="1" applyAlignment="1">
      <alignment horizontal="center" vertical="center"/>
    </xf>
    <xf numFmtId="0" fontId="0" fillId="38" borderId="1" xfId="0" applyFill="1" applyBorder="1" applyAlignment="1">
      <alignment horizontal="center" vertical="center"/>
    </xf>
    <xf numFmtId="0" fontId="0" fillId="5" borderId="1" xfId="0" applyFill="1" applyBorder="1" applyAlignment="1">
      <alignment horizontal="center" vertical="center"/>
    </xf>
    <xf numFmtId="4" fontId="0" fillId="39" borderId="1" xfId="0" applyNumberFormat="1" applyFill="1" applyBorder="1" applyAlignment="1">
      <alignment horizontal="center" vertical="center"/>
    </xf>
    <xf numFmtId="0" fontId="19" fillId="0" borderId="1" xfId="0" applyFont="1" applyBorder="1" applyAlignment="1">
      <alignment horizontal="center" vertical="center"/>
    </xf>
    <xf numFmtId="16" fontId="0" fillId="8" borderId="1" xfId="0" applyNumberFormat="1" applyFill="1" applyBorder="1" applyAlignment="1">
      <alignment horizontal="center" vertical="center"/>
    </xf>
    <xf numFmtId="16" fontId="0" fillId="39" borderId="1" xfId="0" applyNumberFormat="1" applyFill="1" applyBorder="1" applyAlignment="1">
      <alignment horizontal="center" vertical="center"/>
    </xf>
    <xf numFmtId="164" fontId="0" fillId="0" borderId="0" xfId="0" applyNumberFormat="1" applyAlignment="1">
      <alignment horizontal="center" vertical="center"/>
    </xf>
    <xf numFmtId="0" fontId="15" fillId="0" borderId="1" xfId="0" applyFont="1" applyBorder="1" applyAlignment="1">
      <alignment horizontal="center" vertical="center"/>
    </xf>
    <xf numFmtId="0" fontId="0" fillId="26" borderId="1" xfId="0" applyFill="1" applyBorder="1" applyAlignment="1">
      <alignment horizontal="center" vertical="center"/>
    </xf>
    <xf numFmtId="0" fontId="0" fillId="16" borderId="1" xfId="0" applyFill="1" applyBorder="1" applyAlignment="1">
      <alignment horizontal="center" vertical="center"/>
    </xf>
    <xf numFmtId="0" fontId="0" fillId="0" borderId="0" xfId="0"/>
    <xf numFmtId="0" fontId="24" fillId="0" borderId="0" xfId="0" applyFont="1" applyBorder="1" applyAlignment="1">
      <alignment horizontal="center" vertical="center"/>
    </xf>
    <xf numFmtId="164" fontId="24" fillId="0" borderId="0" xfId="0" applyNumberFormat="1" applyFont="1" applyFill="1" applyBorder="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6" borderId="1" xfId="0" applyFill="1" applyBorder="1" applyAlignment="1">
      <alignment horizontal="center"/>
    </xf>
    <xf numFmtId="0" fontId="0" fillId="0" borderId="0" xfId="0"/>
    <xf numFmtId="0" fontId="19" fillId="40" borderId="1" xfId="0" applyFont="1" applyFill="1" applyBorder="1" applyAlignment="1">
      <alignment horizontal="center" vertical="center"/>
    </xf>
    <xf numFmtId="0" fontId="0" fillId="0" borderId="0" xfId="0"/>
    <xf numFmtId="3" fontId="8" fillId="36" borderId="1" xfId="0" applyNumberFormat="1" applyFont="1" applyFill="1" applyBorder="1" applyAlignment="1">
      <alignment horizontal="center" vertical="center"/>
    </xf>
    <xf numFmtId="0" fontId="8" fillId="0" borderId="0" xfId="0" applyFont="1" applyFill="1" applyBorder="1" applyAlignment="1">
      <alignment horizontal="center" vertical="center"/>
    </xf>
    <xf numFmtId="0" fontId="0" fillId="0" borderId="0" xfId="0"/>
    <xf numFmtId="0" fontId="8" fillId="32"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41" borderId="1" xfId="0" applyFont="1" applyFill="1" applyBorder="1" applyAlignment="1">
      <alignment horizontal="center" vertical="center"/>
    </xf>
    <xf numFmtId="3" fontId="8" fillId="41"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0" fontId="23" fillId="36" borderId="1" xfId="0" applyFont="1" applyFill="1" applyBorder="1" applyAlignment="1">
      <alignment horizontal="center" vertical="center"/>
    </xf>
    <xf numFmtId="0" fontId="3" fillId="41" borderId="1" xfId="0" applyFont="1" applyFill="1" applyBorder="1" applyAlignment="1">
      <alignment horizontal="center" vertical="center"/>
    </xf>
    <xf numFmtId="0" fontId="23" fillId="41" borderId="1" xfId="0" applyFont="1" applyFill="1" applyBorder="1" applyAlignment="1">
      <alignment horizontal="center" vertical="center"/>
    </xf>
    <xf numFmtId="0" fontId="3" fillId="32" borderId="1" xfId="0" applyFont="1" applyFill="1" applyBorder="1" applyAlignment="1">
      <alignment horizontal="center" vertical="center"/>
    </xf>
    <xf numFmtId="0" fontId="8" fillId="0" borderId="1" xfId="0" applyFont="1" applyBorder="1" applyAlignment="1">
      <alignment horizontal="center" vertical="center" readingOrder="2"/>
    </xf>
    <xf numFmtId="0" fontId="23" fillId="32" borderId="1" xfId="0" applyFont="1" applyFill="1" applyBorder="1" applyAlignment="1">
      <alignment horizontal="center" vertical="center"/>
    </xf>
    <xf numFmtId="0" fontId="0" fillId="0" borderId="0" xfId="0"/>
    <xf numFmtId="0" fontId="0" fillId="0" borderId="0" xfId="0"/>
    <xf numFmtId="0" fontId="0" fillId="0" borderId="0" xfId="0"/>
    <xf numFmtId="0" fontId="25" fillId="32" borderId="1" xfId="0" applyFont="1" applyFill="1" applyBorder="1" applyAlignment="1">
      <alignment horizontal="center" vertical="center"/>
    </xf>
    <xf numFmtId="0" fontId="0" fillId="0" borderId="0" xfId="0"/>
    <xf numFmtId="0" fontId="0" fillId="42" borderId="1" xfId="0" applyFill="1" applyBorder="1" applyAlignment="1">
      <alignment horizontal="center" vertical="center"/>
    </xf>
    <xf numFmtId="164" fontId="15" fillId="42" borderId="1" xfId="0" applyNumberFormat="1" applyFont="1" applyFill="1" applyBorder="1" applyAlignment="1">
      <alignment horizontal="center"/>
    </xf>
    <xf numFmtId="0" fontId="19" fillId="41" borderId="1" xfId="0" applyFont="1" applyFill="1" applyBorder="1" applyAlignment="1">
      <alignment horizontal="center" vertical="center"/>
    </xf>
    <xf numFmtId="0" fontId="0" fillId="0" borderId="0" xfId="0"/>
    <xf numFmtId="3" fontId="26" fillId="43" borderId="9" xfId="0" applyNumberFormat="1" applyFont="1" applyFill="1" applyBorder="1" applyAlignment="1">
      <alignment horizontal="center" vertical="center"/>
    </xf>
    <xf numFmtId="3" fontId="26" fillId="43" borderId="9" xfId="0" applyNumberFormat="1" applyFont="1" applyFill="1" applyBorder="1" applyAlignment="1">
      <alignment vertical="center"/>
    </xf>
    <xf numFmtId="0" fontId="27" fillId="43" borderId="9" xfId="0" applyFont="1" applyFill="1" applyBorder="1" applyAlignment="1">
      <alignment vertical="center"/>
    </xf>
    <xf numFmtId="10" fontId="27" fillId="43" borderId="9" xfId="0" applyNumberFormat="1" applyFont="1" applyFill="1" applyBorder="1" applyAlignment="1">
      <alignment vertical="center"/>
    </xf>
    <xf numFmtId="14" fontId="26" fillId="43" borderId="9" xfId="0" applyNumberFormat="1" applyFont="1" applyFill="1" applyBorder="1" applyAlignment="1">
      <alignment vertical="center"/>
    </xf>
    <xf numFmtId="0" fontId="26" fillId="43" borderId="9" xfId="0" applyFont="1" applyFill="1" applyBorder="1" applyAlignment="1">
      <alignment vertical="center"/>
    </xf>
    <xf numFmtId="3" fontId="26" fillId="24" borderId="10" xfId="0" applyNumberFormat="1" applyFont="1" applyFill="1" applyBorder="1" applyAlignment="1">
      <alignment horizontal="center" vertical="center"/>
    </xf>
    <xf numFmtId="3" fontId="26" fillId="24" borderId="10" xfId="0" applyNumberFormat="1" applyFont="1" applyFill="1" applyBorder="1" applyAlignment="1">
      <alignment vertical="center"/>
    </xf>
    <xf numFmtId="0" fontId="27" fillId="24" borderId="10" xfId="0" applyFont="1" applyFill="1" applyBorder="1" applyAlignment="1">
      <alignment vertical="center"/>
    </xf>
    <xf numFmtId="10" fontId="27" fillId="24" borderId="10" xfId="0" applyNumberFormat="1" applyFont="1" applyFill="1" applyBorder="1" applyAlignment="1">
      <alignment vertical="center"/>
    </xf>
    <xf numFmtId="14" fontId="26" fillId="24" borderId="10" xfId="0" applyNumberFormat="1" applyFont="1" applyFill="1" applyBorder="1" applyAlignment="1">
      <alignment vertical="center"/>
    </xf>
    <xf numFmtId="0" fontId="26" fillId="24" borderId="10" xfId="0" applyFont="1" applyFill="1" applyBorder="1" applyAlignment="1">
      <alignment vertical="center"/>
    </xf>
    <xf numFmtId="3" fontId="26" fillId="43" borderId="11" xfId="0" applyNumberFormat="1" applyFont="1" applyFill="1" applyBorder="1" applyAlignment="1">
      <alignment horizontal="center" vertical="center"/>
    </xf>
    <xf numFmtId="3" fontId="26" fillId="43" borderId="11" xfId="0" applyNumberFormat="1" applyFont="1" applyFill="1" applyBorder="1" applyAlignment="1">
      <alignment vertical="center"/>
    </xf>
    <xf numFmtId="0" fontId="27" fillId="43" borderId="11" xfId="0" applyFont="1" applyFill="1" applyBorder="1" applyAlignment="1">
      <alignment vertical="center"/>
    </xf>
    <xf numFmtId="10" fontId="27" fillId="43" borderId="11" xfId="0" applyNumberFormat="1" applyFont="1" applyFill="1" applyBorder="1" applyAlignment="1">
      <alignment vertical="center"/>
    </xf>
    <xf numFmtId="14" fontId="26" fillId="43" borderId="11" xfId="0" applyNumberFormat="1" applyFont="1" applyFill="1" applyBorder="1" applyAlignment="1">
      <alignment vertical="center"/>
    </xf>
    <xf numFmtId="0" fontId="26" fillId="43" borderId="11" xfId="0" applyFont="1" applyFill="1" applyBorder="1" applyAlignment="1">
      <alignment vertical="center"/>
    </xf>
    <xf numFmtId="0" fontId="0" fillId="0" borderId="0" xfId="0"/>
    <xf numFmtId="0" fontId="0" fillId="0" borderId="0" xfId="0"/>
    <xf numFmtId="16" fontId="0" fillId="10" borderId="1" xfId="0" applyNumberFormat="1" applyFill="1" applyBorder="1"/>
    <xf numFmtId="0" fontId="0" fillId="39" borderId="1" xfId="0" applyFill="1" applyBorder="1" applyAlignment="1">
      <alignment horizontal="center"/>
    </xf>
    <xf numFmtId="0" fontId="0" fillId="39" borderId="5" xfId="0"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1" xfId="0" applyBorder="1" applyAlignment="1">
      <alignment horizontal="center" vertical="top"/>
    </xf>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3" fontId="8" fillId="41" borderId="1" xfId="0" applyNumberFormat="1" applyFont="1" applyFill="1" applyBorder="1" applyAlignment="1">
      <alignment horizontal="center" vertical="top"/>
    </xf>
    <xf numFmtId="0" fontId="0" fillId="0" borderId="1" xfId="0" applyFill="1" applyBorder="1" applyAlignment="1">
      <alignment vertical="top" wrapText="1"/>
    </xf>
    <xf numFmtId="0" fontId="0" fillId="0" borderId="0" xfId="0"/>
    <xf numFmtId="0" fontId="0" fillId="38" borderId="1" xfId="0" applyFill="1" applyBorder="1" applyAlignment="1"/>
    <xf numFmtId="0" fontId="0" fillId="5" borderId="1" xfId="0" applyFill="1" applyBorder="1" applyAlignment="1"/>
    <xf numFmtId="4" fontId="0" fillId="10" borderId="1" xfId="0" applyNumberFormat="1" applyFill="1" applyBorder="1" applyAlignment="1">
      <alignment horizontal="center" vertical="center"/>
    </xf>
    <xf numFmtId="164" fontId="0" fillId="20" borderId="1" xfId="0" applyNumberFormat="1" applyFill="1" applyBorder="1" applyAlignment="1">
      <alignment horizontal="center" vertical="center"/>
    </xf>
    <xf numFmtId="0" fontId="0" fillId="0" borderId="0" xfId="0"/>
    <xf numFmtId="16" fontId="0" fillId="0" borderId="1" xfId="0" applyNumberFormat="1" applyBorder="1" applyAlignment="1">
      <alignment horizontal="center"/>
    </xf>
    <xf numFmtId="0" fontId="0" fillId="0" borderId="3" xfId="0" applyFill="1" applyBorder="1" applyAlignment="1">
      <alignment horizontal="center" vertical="center"/>
    </xf>
    <xf numFmtId="0" fontId="0" fillId="0" borderId="0" xfId="0"/>
    <xf numFmtId="0" fontId="0" fillId="0" borderId="0" xfId="0"/>
    <xf numFmtId="0" fontId="0" fillId="0" borderId="1" xfId="0" applyBorder="1" applyAlignment="1">
      <alignment horizontal="center" vertic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0" fontId="0" fillId="0" borderId="0" xfId="0"/>
    <xf numFmtId="16" fontId="0" fillId="40" borderId="1" xfId="0" applyNumberFormat="1" applyFill="1" applyBorder="1" applyAlignment="1">
      <alignment horizontal="center" vertical="center"/>
    </xf>
    <xf numFmtId="0" fontId="19" fillId="39" borderId="1" xfId="0" applyFont="1" applyFill="1" applyBorder="1" applyAlignment="1">
      <alignment horizontal="center" vertical="center"/>
    </xf>
    <xf numFmtId="0" fontId="0" fillId="0" borderId="0" xfId="0"/>
    <xf numFmtId="16" fontId="0" fillId="0" borderId="0" xfId="0" applyNumberFormat="1" applyFill="1" applyBorder="1"/>
    <xf numFmtId="0" fontId="0" fillId="0" borderId="0" xfId="0" applyFill="1" applyBorder="1" applyAlignment="1">
      <alignment horizontal="center"/>
    </xf>
    <xf numFmtId="0" fontId="0" fillId="0" borderId="0" xfId="0" applyFill="1"/>
    <xf numFmtId="16" fontId="0" fillId="0" borderId="1" xfId="0" applyNumberFormat="1" applyFill="1" applyBorder="1"/>
    <xf numFmtId="0" fontId="0" fillId="0" borderId="0" xfId="0"/>
    <xf numFmtId="0" fontId="8" fillId="41" borderId="1" xfId="0" applyFont="1" applyFill="1" applyBorder="1" applyAlignment="1">
      <alignment horizontal="center" vertical="center" readingOrder="2"/>
    </xf>
    <xf numFmtId="0" fontId="0" fillId="36" borderId="6" xfId="0" applyFill="1" applyBorder="1" applyAlignment="1">
      <alignment horizontal="center"/>
    </xf>
    <xf numFmtId="3" fontId="0" fillId="36" borderId="6" xfId="0" applyNumberFormat="1" applyFill="1" applyBorder="1" applyAlignment="1">
      <alignment horizontal="center"/>
    </xf>
    <xf numFmtId="164" fontId="0" fillId="36" borderId="6" xfId="0" applyNumberFormat="1" applyFill="1" applyBorder="1" applyAlignment="1">
      <alignment horizontal="center" vertical="center"/>
    </xf>
    <xf numFmtId="0" fontId="29" fillId="36" borderId="1" xfId="4" applyFill="1" applyBorder="1" applyAlignment="1">
      <alignment horizontal="center"/>
    </xf>
    <xf numFmtId="3" fontId="29" fillId="36" borderId="1" xfId="4" applyNumberFormat="1" applyFill="1" applyBorder="1" applyAlignment="1">
      <alignment horizontal="center"/>
    </xf>
    <xf numFmtId="164" fontId="29" fillId="36" borderId="1" xfId="4" applyNumberFormat="1" applyFill="1" applyBorder="1" applyAlignment="1">
      <alignment horizontal="center" vertical="center"/>
    </xf>
    <xf numFmtId="0" fontId="29" fillId="4" borderId="1" xfId="4" applyFill="1" applyBorder="1" applyAlignment="1">
      <alignment horizontal="center"/>
    </xf>
    <xf numFmtId="3" fontId="29" fillId="4" borderId="1" xfId="4" applyNumberFormat="1" applyFill="1" applyBorder="1" applyAlignment="1">
      <alignment horizontal="center"/>
    </xf>
    <xf numFmtId="164" fontId="29" fillId="4" borderId="1" xfId="4" applyNumberFormat="1" applyFill="1" applyBorder="1" applyAlignment="1">
      <alignment horizontal="center" vertical="center"/>
    </xf>
    <xf numFmtId="0" fontId="29" fillId="4" borderId="1" xfId="4" applyFill="1" applyBorder="1" applyAlignment="1">
      <alignment horizontal="center" wrapText="1"/>
    </xf>
    <xf numFmtId="164" fontId="29" fillId="4" borderId="1" xfId="4" applyNumberFormat="1" applyFill="1" applyBorder="1" applyAlignment="1">
      <alignment horizontal="center"/>
    </xf>
    <xf numFmtId="3" fontId="0" fillId="36" borderId="7" xfId="0" applyNumberFormat="1" applyFill="1" applyBorder="1" applyAlignment="1">
      <alignment horizontal="center"/>
    </xf>
    <xf numFmtId="0" fontId="29" fillId="21" borderId="1" xfId="4" applyFill="1" applyBorder="1" applyAlignment="1">
      <alignment horizontal="center"/>
    </xf>
    <xf numFmtId="3" fontId="29" fillId="21" borderId="1" xfId="4" applyNumberFormat="1" applyFill="1" applyBorder="1" applyAlignment="1">
      <alignment horizontal="center"/>
    </xf>
    <xf numFmtId="164" fontId="29" fillId="21" borderId="1" xfId="4" applyNumberFormat="1" applyFill="1" applyBorder="1" applyAlignment="1">
      <alignment horizontal="center" vertical="center"/>
    </xf>
    <xf numFmtId="164" fontId="29" fillId="21" borderId="1" xfId="4" applyNumberFormat="1" applyFill="1" applyBorder="1" applyAlignment="1">
      <alignment horizontal="center"/>
    </xf>
    <xf numFmtId="0" fontId="0" fillId="0" borderId="0" xfId="0"/>
    <xf numFmtId="3" fontId="8" fillId="40" borderId="1" xfId="0" applyNumberFormat="1" applyFont="1" applyFill="1" applyBorder="1" applyAlignment="1">
      <alignment horizontal="center" vertical="center"/>
    </xf>
    <xf numFmtId="0" fontId="0" fillId="25" borderId="1" xfId="0" applyFill="1" applyBorder="1" applyAlignment="1"/>
    <xf numFmtId="0" fontId="0" fillId="25" borderId="0" xfId="0" applyFill="1"/>
    <xf numFmtId="0" fontId="0" fillId="25" borderId="0" xfId="0" applyFill="1" applyBorder="1"/>
    <xf numFmtId="164" fontId="0" fillId="25" borderId="0" xfId="0" applyNumberFormat="1" applyFill="1"/>
    <xf numFmtId="0" fontId="0" fillId="0" borderId="0" xfId="0"/>
    <xf numFmtId="0" fontId="0" fillId="0" borderId="13" xfId="0" applyBorder="1" applyAlignment="1">
      <alignment horizontal="center"/>
    </xf>
    <xf numFmtId="164" fontId="0" fillId="0" borderId="13" xfId="0" applyNumberFormat="1" applyBorder="1" applyAlignment="1">
      <alignment horizontal="center"/>
    </xf>
    <xf numFmtId="0" fontId="0" fillId="2" borderId="0" xfId="0" applyFill="1" applyAlignment="1">
      <alignment horizontal="center" vertical="center"/>
    </xf>
    <xf numFmtId="164" fontId="0" fillId="2" borderId="0" xfId="0" applyNumberFormat="1" applyFill="1"/>
    <xf numFmtId="0" fontId="0" fillId="0" borderId="0" xfId="0"/>
    <xf numFmtId="3" fontId="8" fillId="39" borderId="1" xfId="0" applyNumberFormat="1" applyFon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44" borderId="1" xfId="0"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15" fillId="0" borderId="1" xfId="0" applyFont="1" applyFill="1" applyBorder="1"/>
    <xf numFmtId="0" fontId="15" fillId="0" borderId="1" xfId="0" applyFont="1" applyBorder="1"/>
    <xf numFmtId="0" fontId="15" fillId="39" borderId="1" xfId="0" applyFont="1" applyFill="1" applyBorder="1" applyAlignment="1">
      <alignment horizontal="center" vertical="center"/>
    </xf>
    <xf numFmtId="0" fontId="15" fillId="40" borderId="1" xfId="0" applyFont="1" applyFill="1" applyBorder="1" applyAlignment="1">
      <alignment horizontal="center" vertical="center"/>
    </xf>
    <xf numFmtId="0" fontId="29" fillId="21" borderId="1" xfId="4" applyFill="1" applyBorder="1" applyAlignment="1">
      <alignment horizontal="center" wrapText="1"/>
    </xf>
    <xf numFmtId="0" fontId="0" fillId="0" borderId="0" xfId="0"/>
    <xf numFmtId="16" fontId="0" fillId="39" borderId="1" xfId="0" applyNumberFormat="1" applyFill="1" applyBorder="1"/>
    <xf numFmtId="0" fontId="0" fillId="0" borderId="0" xfId="0"/>
    <xf numFmtId="0" fontId="0" fillId="0" borderId="3" xfId="0"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0" borderId="0" xfId="0"/>
    <xf numFmtId="0" fontId="0" fillId="0" borderId="5" xfId="0" applyBorder="1" applyAlignment="1">
      <alignment horizontal="center" vertical="center"/>
    </xf>
    <xf numFmtId="0" fontId="0" fillId="0" borderId="7" xfId="0" applyBorder="1" applyAlignment="1">
      <alignment horizontal="center" vertic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xf numFmtId="0" fontId="0" fillId="0" borderId="0" xfId="0"/>
  </cellXfs>
  <cellStyles count="5">
    <cellStyle name="Heading 2" xfId="4" builtinId="17"/>
    <cellStyle name="Hyperlink" xfId="1" builtinId="8"/>
    <cellStyle name="Normal" xfId="0" builtinId="0"/>
    <cellStyle name="Normal 2" xfId="3" xr:uid="{00000000-0005-0000-0000-000003000000}"/>
    <cellStyle name="Normal 3" xfId="2" xr:uid="{00000000-0005-0000-0000-00000400000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1.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6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83"/>
  <sheetViews>
    <sheetView topLeftCell="A322" workbookViewId="0">
      <selection activeCell="M342" sqref="M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45.28515625" bestFit="1" customWidth="1"/>
    <col min="14" max="14" width="22.5703125" customWidth="1"/>
    <col min="15" max="15" width="7.5703125" customWidth="1"/>
    <col min="24" max="24" width="12.85546875" customWidth="1"/>
  </cols>
  <sheetData>
    <row r="1" spans="1:15">
      <c r="A1" s="40" t="s">
        <v>1327</v>
      </c>
      <c r="B1" s="40" t="s">
        <v>6417</v>
      </c>
      <c r="C1" s="40" t="s">
        <v>1329</v>
      </c>
      <c r="D1" s="40" t="s">
        <v>1330</v>
      </c>
      <c r="E1" s="40" t="s">
        <v>6416</v>
      </c>
      <c r="F1" s="40" t="s">
        <v>6415</v>
      </c>
      <c r="G1" s="40" t="s">
        <v>1331</v>
      </c>
      <c r="H1" s="40" t="s">
        <v>1332</v>
      </c>
      <c r="I1" s="40"/>
      <c r="J1" s="345"/>
      <c r="K1" s="345"/>
      <c r="L1" s="349"/>
    </row>
    <row r="2" spans="1:15">
      <c r="A2" s="40"/>
      <c r="B2" s="40"/>
      <c r="C2" s="40"/>
      <c r="D2" s="40"/>
      <c r="E2" s="40"/>
      <c r="F2" s="40"/>
      <c r="G2" s="40"/>
      <c r="H2" s="40"/>
      <c r="I2" s="40"/>
      <c r="J2" s="377"/>
      <c r="K2" s="377"/>
      <c r="L2" s="349"/>
    </row>
    <row r="3" spans="1:15">
      <c r="A3" s="40"/>
      <c r="B3" s="40"/>
      <c r="C3" s="40"/>
      <c r="D3" s="40"/>
      <c r="E3" s="40"/>
      <c r="F3" s="40"/>
      <c r="G3" s="40"/>
      <c r="H3" s="40"/>
      <c r="I3" s="40"/>
      <c r="J3" s="377"/>
      <c r="K3" s="377"/>
      <c r="L3" s="349"/>
    </row>
    <row r="4" spans="1:15">
      <c r="A4" s="348">
        <v>271110</v>
      </c>
      <c r="B4" s="348">
        <v>269660</v>
      </c>
      <c r="C4" s="40"/>
      <c r="D4" s="40"/>
      <c r="E4" s="40"/>
      <c r="F4" s="40"/>
      <c r="G4" s="40"/>
      <c r="H4" s="40"/>
      <c r="I4" s="40"/>
      <c r="J4" s="345"/>
      <c r="K4" s="345"/>
      <c r="L4" s="349"/>
    </row>
    <row r="5" spans="1:15">
      <c r="A5" s="348">
        <v>271110</v>
      </c>
      <c r="B5" s="348">
        <v>270550</v>
      </c>
      <c r="C5" s="268">
        <v>281380</v>
      </c>
      <c r="D5" s="268">
        <v>280240</v>
      </c>
      <c r="E5">
        <v>330</v>
      </c>
      <c r="F5" s="137">
        <v>1.1999999999999999E-3</v>
      </c>
      <c r="G5" s="202">
        <v>44508</v>
      </c>
      <c r="H5" t="s">
        <v>6749</v>
      </c>
      <c r="I5" s="40" t="s">
        <v>6413</v>
      </c>
      <c r="L5" s="40" t="str">
        <f t="shared" ref="L5:L36" si="0">CONCATENATE("USD",I5,TEXT(G5,"yyyymmdd"),I5,A334,I5,C5,I5,B334,I5,D5,I5,"1,1,1")</f>
        <v>USD,20211108,279840,281380,279700,280240,1,1,1</v>
      </c>
      <c r="N5" s="322"/>
    </row>
    <row r="6" spans="1:15">
      <c r="A6" s="348">
        <v>272810</v>
      </c>
      <c r="B6" s="348">
        <v>270050</v>
      </c>
      <c r="C6" s="268">
        <v>280080</v>
      </c>
      <c r="D6" s="268">
        <v>279910</v>
      </c>
      <c r="E6">
        <v>1670</v>
      </c>
      <c r="F6" s="137">
        <v>6.0000000000000001E-3</v>
      </c>
      <c r="G6" s="202">
        <v>44507</v>
      </c>
      <c r="H6" t="s">
        <v>6750</v>
      </c>
      <c r="I6" s="40" t="s">
        <v>6413</v>
      </c>
      <c r="L6" s="40" t="str">
        <f t="shared" si="0"/>
        <v>USD,20211107,278010,280080,277200,279910,1,1,1</v>
      </c>
    </row>
    <row r="7" spans="1:15">
      <c r="A7" s="348">
        <v>270860</v>
      </c>
      <c r="B7" s="348">
        <v>270850</v>
      </c>
      <c r="C7" s="268">
        <v>279580</v>
      </c>
      <c r="D7" s="268">
        <v>278240</v>
      </c>
      <c r="E7">
        <v>1730</v>
      </c>
      <c r="F7" s="137">
        <v>6.3E-3</v>
      </c>
      <c r="G7" s="202">
        <v>44506</v>
      </c>
      <c r="H7" t="s">
        <v>6751</v>
      </c>
      <c r="I7" s="40" t="s">
        <v>6413</v>
      </c>
      <c r="L7" s="40" t="str">
        <f t="shared" si="0"/>
        <v>USD,20211106,283180,279580,283100,278240,1,1,1</v>
      </c>
    </row>
    <row r="8" spans="1:15">
      <c r="A8" s="348">
        <v>273310</v>
      </c>
      <c r="B8" s="348">
        <v>270050</v>
      </c>
      <c r="C8" s="268">
        <v>277280</v>
      </c>
      <c r="D8" s="268">
        <v>276510</v>
      </c>
      <c r="E8">
        <v>2460</v>
      </c>
      <c r="F8" s="137">
        <v>8.8999999999999999E-3</v>
      </c>
      <c r="G8" s="202">
        <v>44504</v>
      </c>
      <c r="H8" t="s">
        <v>6752</v>
      </c>
      <c r="I8" s="40" t="s">
        <v>6413</v>
      </c>
      <c r="L8" s="40" t="str">
        <f t="shared" si="0"/>
        <v>USD,20211104,281760,277280,281400,276510,1,1,1</v>
      </c>
    </row>
    <row r="9" spans="1:15">
      <c r="A9" s="348">
        <v>273870</v>
      </c>
      <c r="B9" s="348">
        <v>272250</v>
      </c>
      <c r="C9" s="268">
        <v>279280</v>
      </c>
      <c r="D9" s="268">
        <v>278970</v>
      </c>
      <c r="E9">
        <v>2960</v>
      </c>
      <c r="F9" s="137">
        <v>1.0699999999999999E-2</v>
      </c>
      <c r="G9" s="202">
        <v>44503</v>
      </c>
      <c r="H9" t="s">
        <v>6753</v>
      </c>
      <c r="I9" s="40" t="s">
        <v>6413</v>
      </c>
      <c r="L9" s="40" t="str">
        <f t="shared" si="0"/>
        <v>USD,20211103,280230,279280,280200,278970,1,1,1</v>
      </c>
    </row>
    <row r="10" spans="1:15">
      <c r="A10" s="348">
        <v>273850</v>
      </c>
      <c r="B10" s="348">
        <v>269350</v>
      </c>
      <c r="C10" s="268">
        <v>276080</v>
      </c>
      <c r="D10" s="268">
        <v>276010</v>
      </c>
      <c r="E10">
        <v>940</v>
      </c>
      <c r="F10" s="137">
        <v>3.3999999999999998E-3</v>
      </c>
      <c r="G10" s="202">
        <v>44502</v>
      </c>
      <c r="H10" t="s">
        <v>6754</v>
      </c>
      <c r="I10" s="40" t="s">
        <v>6413</v>
      </c>
      <c r="L10" s="40" t="str">
        <f t="shared" si="0"/>
        <v>USD,20211102,,276080,,276010,1,1,1</v>
      </c>
      <c r="O10" t="s">
        <v>6414</v>
      </c>
    </row>
    <row r="11" spans="1:15">
      <c r="A11" s="348">
        <v>281890</v>
      </c>
      <c r="B11" s="348">
        <v>275490</v>
      </c>
      <c r="C11" s="268">
        <v>276380</v>
      </c>
      <c r="D11" s="268">
        <v>275070</v>
      </c>
      <c r="E11">
        <v>680</v>
      </c>
      <c r="F11" s="137">
        <v>2.5000000000000001E-3</v>
      </c>
      <c r="G11" s="202">
        <v>44501</v>
      </c>
      <c r="H11" t="s">
        <v>6755</v>
      </c>
      <c r="I11" s="40" t="s">
        <v>6413</v>
      </c>
      <c r="L11" s="40" t="str">
        <f t="shared" si="0"/>
        <v>USD,20211101,,276380,,275070,1,1,1</v>
      </c>
    </row>
    <row r="12" spans="1:15">
      <c r="A12" s="348">
        <v>282460</v>
      </c>
      <c r="B12" s="348">
        <v>281190</v>
      </c>
      <c r="C12" s="268">
        <v>276080</v>
      </c>
      <c r="D12" s="268">
        <v>275750</v>
      </c>
      <c r="E12">
        <v>390</v>
      </c>
      <c r="F12" s="137">
        <v>1.4E-3</v>
      </c>
      <c r="G12" s="202">
        <v>44500</v>
      </c>
      <c r="H12" t="s">
        <v>6756</v>
      </c>
      <c r="I12" s="40" t="s">
        <v>6413</v>
      </c>
      <c r="L12" s="40" t="str">
        <f t="shared" si="0"/>
        <v>USD,20211031,,276080,,275750,1,1,1</v>
      </c>
    </row>
    <row r="13" spans="1:15">
      <c r="A13" s="348">
        <v>279490</v>
      </c>
      <c r="B13" s="348">
        <v>277890</v>
      </c>
      <c r="C13" s="268">
        <v>276680</v>
      </c>
      <c r="D13" s="268">
        <v>276140</v>
      </c>
      <c r="E13">
        <v>430</v>
      </c>
      <c r="F13" s="137">
        <v>1.6000000000000001E-3</v>
      </c>
      <c r="G13" s="202">
        <v>44499</v>
      </c>
      <c r="H13" t="s">
        <v>6757</v>
      </c>
      <c r="I13" s="40" t="s">
        <v>6413</v>
      </c>
      <c r="L13" s="40" t="str">
        <f t="shared" si="0"/>
        <v>USD,20211030,,276680,,276140,1,1,1</v>
      </c>
    </row>
    <row r="14" spans="1:15">
      <c r="A14" s="348">
        <v>277530</v>
      </c>
      <c r="B14" s="348">
        <v>276790</v>
      </c>
      <c r="C14" s="268">
        <v>277080</v>
      </c>
      <c r="D14" s="268">
        <v>276570</v>
      </c>
      <c r="E14">
        <v>210</v>
      </c>
      <c r="F14" s="137">
        <v>8.0000000000000004E-4</v>
      </c>
      <c r="G14" s="202">
        <v>44497</v>
      </c>
      <c r="H14" t="s">
        <v>6758</v>
      </c>
      <c r="I14" s="40" t="s">
        <v>6413</v>
      </c>
      <c r="L14" s="40" t="str">
        <f t="shared" si="0"/>
        <v>USD,20211028,,277080,,276570,1,1,1</v>
      </c>
      <c r="N14" t="s">
        <v>25</v>
      </c>
    </row>
    <row r="15" spans="1:15">
      <c r="A15" s="348">
        <v>277190</v>
      </c>
      <c r="B15" s="348">
        <v>275690</v>
      </c>
      <c r="C15" s="268">
        <v>278080</v>
      </c>
      <c r="D15" s="268">
        <v>276780</v>
      </c>
      <c r="E15">
        <v>1010</v>
      </c>
      <c r="F15" s="137">
        <v>3.7000000000000002E-3</v>
      </c>
      <c r="G15" s="202">
        <v>44496</v>
      </c>
      <c r="H15" t="s">
        <v>6759</v>
      </c>
      <c r="I15" s="40" t="s">
        <v>6413</v>
      </c>
      <c r="L15" s="40" t="str">
        <f t="shared" si="0"/>
        <v>USD,20211027,,278080,,276780,1,1,1</v>
      </c>
    </row>
    <row r="16" spans="1:15">
      <c r="A16" s="348">
        <v>274390</v>
      </c>
      <c r="B16" s="348">
        <v>273690</v>
      </c>
      <c r="C16" s="268">
        <v>275780</v>
      </c>
      <c r="D16" s="268">
        <v>275770</v>
      </c>
      <c r="E16">
        <v>150</v>
      </c>
      <c r="F16" s="137">
        <v>5.0000000000000001E-4</v>
      </c>
      <c r="G16" s="202">
        <v>44495</v>
      </c>
      <c r="H16" t="s">
        <v>6760</v>
      </c>
      <c r="I16" s="40" t="s">
        <v>6413</v>
      </c>
      <c r="L16" s="40" t="str">
        <f t="shared" si="0"/>
        <v>USD,20211026,,275780,,275770,1,1,1</v>
      </c>
    </row>
    <row r="17" spans="1:12">
      <c r="A17" s="348">
        <v>274500</v>
      </c>
      <c r="B17" s="348">
        <v>273490</v>
      </c>
      <c r="C17" s="268">
        <v>276780</v>
      </c>
      <c r="D17" s="268">
        <v>275620</v>
      </c>
      <c r="E17">
        <v>410</v>
      </c>
      <c r="F17" s="137">
        <v>1.5E-3</v>
      </c>
      <c r="G17" s="202">
        <v>44494</v>
      </c>
      <c r="H17" t="s">
        <v>6761</v>
      </c>
      <c r="I17" s="40" t="s">
        <v>6413</v>
      </c>
      <c r="L17" s="40" t="str">
        <f t="shared" si="0"/>
        <v>USD,20211025,,276780,,275620,1,1,1</v>
      </c>
    </row>
    <row r="18" spans="1:12">
      <c r="A18" s="348">
        <v>269030</v>
      </c>
      <c r="B18" s="348">
        <v>268990</v>
      </c>
      <c r="C18" s="268">
        <v>276080</v>
      </c>
      <c r="D18" s="268">
        <v>276030</v>
      </c>
      <c r="E18">
        <v>1880</v>
      </c>
      <c r="F18" s="137">
        <v>6.8999999999999999E-3</v>
      </c>
      <c r="G18" s="202">
        <v>44492</v>
      </c>
      <c r="H18" t="s">
        <v>6762</v>
      </c>
      <c r="I18" s="40" t="s">
        <v>6413</v>
      </c>
      <c r="L18" s="40" t="str">
        <f t="shared" si="0"/>
        <v>USD,20211023,,276080,,276030,1,1,1</v>
      </c>
    </row>
    <row r="19" spans="1:12">
      <c r="A19" s="348">
        <v>269080</v>
      </c>
      <c r="B19" s="348">
        <v>268990</v>
      </c>
      <c r="C19" s="268">
        <v>274680</v>
      </c>
      <c r="D19" s="268">
        <v>274150</v>
      </c>
      <c r="E19">
        <v>1070</v>
      </c>
      <c r="F19" s="137">
        <v>3.8999999999999998E-3</v>
      </c>
      <c r="G19" s="202">
        <v>44490</v>
      </c>
      <c r="H19" t="s">
        <v>6763</v>
      </c>
      <c r="I19" s="40" t="s">
        <v>6413</v>
      </c>
      <c r="L19" s="40" t="str">
        <f t="shared" si="0"/>
        <v>USD,20211021,,274680,,274150,1,1,1</v>
      </c>
    </row>
    <row r="20" spans="1:12">
      <c r="A20" s="348">
        <v>269110</v>
      </c>
      <c r="B20" s="348">
        <v>268990</v>
      </c>
      <c r="C20" s="268">
        <v>274180</v>
      </c>
      <c r="D20" s="268">
        <v>273080</v>
      </c>
      <c r="E20">
        <v>1750</v>
      </c>
      <c r="F20" s="137">
        <v>6.4000000000000003E-3</v>
      </c>
      <c r="G20" s="202">
        <v>44489</v>
      </c>
      <c r="H20" t="s">
        <v>6764</v>
      </c>
      <c r="I20" s="40" t="s">
        <v>6413</v>
      </c>
      <c r="L20" s="40" t="str">
        <f t="shared" si="0"/>
        <v>USD,20211020,,274180,,273080,1,1,1</v>
      </c>
    </row>
    <row r="21" spans="1:12">
      <c r="A21" s="348">
        <v>263490</v>
      </c>
      <c r="B21" s="348">
        <v>263490</v>
      </c>
      <c r="C21" s="268">
        <v>275380</v>
      </c>
      <c r="D21" s="268">
        <v>274830</v>
      </c>
      <c r="E21">
        <v>2190</v>
      </c>
      <c r="F21" s="137">
        <v>8.0000000000000002E-3</v>
      </c>
      <c r="G21" s="202">
        <v>44488</v>
      </c>
      <c r="H21" t="s">
        <v>6765</v>
      </c>
      <c r="I21" s="40" t="s">
        <v>6413</v>
      </c>
      <c r="L21" s="40" t="str">
        <f t="shared" si="0"/>
        <v>USD,20211019,,275380,,274830,1,1,1</v>
      </c>
    </row>
    <row r="22" spans="1:12">
      <c r="A22" s="348">
        <v>263110</v>
      </c>
      <c r="B22" s="348">
        <v>262590</v>
      </c>
      <c r="C22" s="268">
        <v>273180</v>
      </c>
      <c r="D22" s="268">
        <v>272640</v>
      </c>
      <c r="E22">
        <v>820</v>
      </c>
      <c r="F22" s="137">
        <v>3.0000000000000001E-3</v>
      </c>
      <c r="G22" s="202">
        <v>44487</v>
      </c>
      <c r="H22" t="s">
        <v>6766</v>
      </c>
      <c r="I22" s="40" t="s">
        <v>6413</v>
      </c>
      <c r="L22" s="40" t="str">
        <f t="shared" si="0"/>
        <v>USD,20211018,,273180,,272640,1,1,1</v>
      </c>
    </row>
    <row r="23" spans="1:12">
      <c r="A23" s="348">
        <v>265890</v>
      </c>
      <c r="B23" s="348">
        <v>262890</v>
      </c>
      <c r="C23" s="268">
        <v>272980</v>
      </c>
      <c r="D23" s="268">
        <v>271820</v>
      </c>
      <c r="E23">
        <v>1030</v>
      </c>
      <c r="F23" s="137">
        <v>3.8E-3</v>
      </c>
      <c r="G23" s="202">
        <v>44486</v>
      </c>
      <c r="H23" t="s">
        <v>6767</v>
      </c>
      <c r="I23" s="40" t="s">
        <v>6413</v>
      </c>
      <c r="L23" s="40" t="str">
        <f t="shared" si="0"/>
        <v>USD,20211017,,272980,,271820,1,1,1</v>
      </c>
    </row>
    <row r="24" spans="1:12">
      <c r="A24" s="348">
        <v>264690</v>
      </c>
      <c r="B24" s="348">
        <v>263790</v>
      </c>
      <c r="C24" s="268">
        <v>273280</v>
      </c>
      <c r="D24" s="268">
        <v>272850</v>
      </c>
      <c r="E24">
        <v>1980</v>
      </c>
      <c r="F24" s="137">
        <v>7.3000000000000001E-3</v>
      </c>
      <c r="G24" s="202">
        <v>44485</v>
      </c>
      <c r="H24" t="s">
        <v>6768</v>
      </c>
      <c r="I24" s="40" t="s">
        <v>6413</v>
      </c>
      <c r="L24" s="40" t="str">
        <f t="shared" si="0"/>
        <v>USD,20211016,,273280,,272850,1,1,1</v>
      </c>
    </row>
    <row r="25" spans="1:12">
      <c r="A25" s="348">
        <v>258990</v>
      </c>
      <c r="B25" s="348">
        <v>258990</v>
      </c>
      <c r="C25" s="268">
        <v>272480</v>
      </c>
      <c r="D25" s="268">
        <v>270870</v>
      </c>
      <c r="E25">
        <v>690</v>
      </c>
      <c r="F25" s="137">
        <v>2.5000000000000001E-3</v>
      </c>
      <c r="G25" s="202">
        <v>44483</v>
      </c>
      <c r="H25" t="s">
        <v>6769</v>
      </c>
      <c r="I25" s="40" t="s">
        <v>6413</v>
      </c>
      <c r="L25" s="40" t="str">
        <f t="shared" si="0"/>
        <v>USD,20211014,,272480,,270870,1,1,1</v>
      </c>
    </row>
    <row r="26" spans="1:12">
      <c r="A26" s="348">
        <v>256340</v>
      </c>
      <c r="B26" s="348">
        <v>256190</v>
      </c>
      <c r="C26" s="268">
        <v>272780</v>
      </c>
      <c r="D26" s="268">
        <v>271560</v>
      </c>
      <c r="E26">
        <v>830</v>
      </c>
      <c r="F26" s="137">
        <v>3.0999999999999999E-3</v>
      </c>
      <c r="G26" s="202">
        <v>44482</v>
      </c>
      <c r="H26" t="s">
        <v>6770</v>
      </c>
      <c r="I26" s="40" t="s">
        <v>6413</v>
      </c>
      <c r="L26" s="40" t="str">
        <f t="shared" si="0"/>
        <v>USD,20211013,,272780,,271560,1,1,1</v>
      </c>
    </row>
    <row r="27" spans="1:12">
      <c r="A27" s="348">
        <v>256290</v>
      </c>
      <c r="B27" s="348">
        <v>252390</v>
      </c>
      <c r="C27" s="268">
        <v>273680</v>
      </c>
      <c r="D27" s="268">
        <v>270730</v>
      </c>
      <c r="E27">
        <v>2600</v>
      </c>
      <c r="F27" s="137">
        <v>9.5999999999999992E-3</v>
      </c>
      <c r="G27" s="202">
        <v>44481</v>
      </c>
      <c r="H27" t="s">
        <v>6771</v>
      </c>
      <c r="I27" s="40" t="s">
        <v>6413</v>
      </c>
      <c r="L27" s="40" t="str">
        <f t="shared" si="0"/>
        <v>USD,20211012,,273680,,270730,1,1,1</v>
      </c>
    </row>
    <row r="28" spans="1:12">
      <c r="A28" s="348">
        <v>254190</v>
      </c>
      <c r="B28" s="348">
        <v>253990</v>
      </c>
      <c r="C28" s="268">
        <v>276080</v>
      </c>
      <c r="D28" s="268">
        <v>273330</v>
      </c>
      <c r="E28">
        <v>2480</v>
      </c>
      <c r="F28" s="137">
        <v>9.1000000000000004E-3</v>
      </c>
      <c r="G28" s="202">
        <v>44480</v>
      </c>
      <c r="H28" t="s">
        <v>6772</v>
      </c>
      <c r="I28" s="40" t="s">
        <v>6413</v>
      </c>
      <c r="L28" s="40" t="str">
        <f t="shared" si="0"/>
        <v>USD,20211011,,276080,,273330,1,1,1</v>
      </c>
    </row>
    <row r="29" spans="1:12">
      <c r="A29" s="348">
        <v>256490</v>
      </c>
      <c r="B29" s="348">
        <v>255790</v>
      </c>
      <c r="C29" s="268">
        <v>276280</v>
      </c>
      <c r="D29" s="268">
        <v>275810</v>
      </c>
      <c r="E29">
        <v>210</v>
      </c>
      <c r="F29" s="137">
        <v>8.0000000000000004E-4</v>
      </c>
      <c r="G29" s="202">
        <v>44479</v>
      </c>
      <c r="H29" t="s">
        <v>6773</v>
      </c>
      <c r="I29" s="40" t="s">
        <v>6413</v>
      </c>
      <c r="L29" s="40" t="str">
        <f t="shared" si="0"/>
        <v>USD,20211010,,276280,,275810,1,1,1</v>
      </c>
    </row>
    <row r="30" spans="1:12">
      <c r="A30" s="348">
        <v>257250</v>
      </c>
      <c r="B30" s="348">
        <v>254690</v>
      </c>
      <c r="C30" s="268">
        <v>279380</v>
      </c>
      <c r="D30" s="268">
        <v>275600</v>
      </c>
      <c r="E30">
        <v>3720</v>
      </c>
      <c r="F30" s="137">
        <v>1.35E-2</v>
      </c>
      <c r="G30" s="202">
        <v>44478</v>
      </c>
      <c r="H30" t="s">
        <v>6774</v>
      </c>
      <c r="I30" s="40" t="s">
        <v>6413</v>
      </c>
      <c r="L30" s="40" t="str">
        <f t="shared" si="0"/>
        <v>USD,20211009,,279380,,275600,1,1,1</v>
      </c>
    </row>
    <row r="31" spans="1:12">
      <c r="A31" s="348">
        <v>255790</v>
      </c>
      <c r="B31" s="348">
        <v>255690</v>
      </c>
      <c r="C31" s="268">
        <v>281680</v>
      </c>
      <c r="D31" s="268">
        <v>279320</v>
      </c>
      <c r="E31">
        <v>2040</v>
      </c>
      <c r="F31" s="137">
        <v>7.3000000000000001E-3</v>
      </c>
      <c r="G31" s="202">
        <v>44475</v>
      </c>
      <c r="H31" t="s">
        <v>6775</v>
      </c>
      <c r="I31" s="40" t="s">
        <v>6413</v>
      </c>
      <c r="L31" s="40" t="str">
        <f t="shared" si="0"/>
        <v>USD,20211006,,281680,,279320,1,1,1</v>
      </c>
    </row>
    <row r="32" spans="1:12">
      <c r="A32" s="348">
        <v>255690</v>
      </c>
      <c r="B32" s="348">
        <v>254590</v>
      </c>
      <c r="C32" s="268">
        <v>281680</v>
      </c>
      <c r="D32" s="268">
        <v>281360</v>
      </c>
      <c r="E32" t="s">
        <v>6412</v>
      </c>
      <c r="F32" t="s">
        <v>6412</v>
      </c>
      <c r="G32" s="202">
        <v>44473</v>
      </c>
      <c r="H32" t="s">
        <v>6776</v>
      </c>
      <c r="I32" s="40" t="s">
        <v>6413</v>
      </c>
      <c r="L32" s="40" t="str">
        <f t="shared" si="0"/>
        <v>USD,20211004,,281680,,281360,1,1,1</v>
      </c>
    </row>
    <row r="33" spans="1:12">
      <c r="A33" s="348">
        <v>257190</v>
      </c>
      <c r="B33" s="348">
        <v>254290</v>
      </c>
      <c r="C33" s="268">
        <v>281610</v>
      </c>
      <c r="D33" s="268">
        <v>280410</v>
      </c>
      <c r="E33">
        <v>1600</v>
      </c>
      <c r="F33" s="137">
        <v>5.7000000000000002E-3</v>
      </c>
      <c r="G33" s="202">
        <v>44472</v>
      </c>
      <c r="H33" t="s">
        <v>6777</v>
      </c>
      <c r="I33" s="40" t="s">
        <v>6413</v>
      </c>
      <c r="L33" s="40" t="str">
        <f t="shared" si="0"/>
        <v>USD,20211003,,281610,,280410,1,1,1</v>
      </c>
    </row>
    <row r="34" spans="1:12">
      <c r="A34" s="348">
        <v>260270</v>
      </c>
      <c r="B34" s="348">
        <v>256990</v>
      </c>
      <c r="C34" s="268">
        <v>283510</v>
      </c>
      <c r="D34" s="268">
        <v>282010</v>
      </c>
      <c r="E34">
        <v>2700</v>
      </c>
      <c r="F34" s="137">
        <v>9.5999999999999992E-3</v>
      </c>
      <c r="G34" s="202">
        <v>44471</v>
      </c>
      <c r="H34" t="s">
        <v>6779</v>
      </c>
      <c r="I34" s="40" t="s">
        <v>6413</v>
      </c>
      <c r="L34" s="40" t="str">
        <f t="shared" si="0"/>
        <v>USD,20211002,,283510,,282010,1,1,1</v>
      </c>
    </row>
    <row r="35" spans="1:12">
      <c r="A35" s="268">
        <v>251800</v>
      </c>
      <c r="B35" s="268">
        <v>251690</v>
      </c>
      <c r="C35" s="268">
        <v>284710</v>
      </c>
      <c r="D35" s="268">
        <v>284710</v>
      </c>
      <c r="E35">
        <v>2200</v>
      </c>
      <c r="F35" s="137">
        <v>7.7999999999999996E-3</v>
      </c>
      <c r="G35" s="202">
        <v>44469</v>
      </c>
      <c r="H35" t="s">
        <v>6780</v>
      </c>
      <c r="I35" s="40" t="s">
        <v>6413</v>
      </c>
      <c r="L35" s="40" t="str">
        <f t="shared" si="0"/>
        <v>USD,20210930,,284710,,284710,1,1,1</v>
      </c>
    </row>
    <row r="36" spans="1:12">
      <c r="A36" s="268">
        <v>250780</v>
      </c>
      <c r="B36" s="268">
        <v>250690</v>
      </c>
      <c r="C36" s="268">
        <v>283210</v>
      </c>
      <c r="D36" s="268">
        <v>282510</v>
      </c>
      <c r="E36">
        <v>1800</v>
      </c>
      <c r="F36" s="137">
        <v>6.4000000000000003E-3</v>
      </c>
      <c r="G36" s="202">
        <v>44468</v>
      </c>
      <c r="H36" t="s">
        <v>6781</v>
      </c>
      <c r="I36" s="40" t="s">
        <v>6413</v>
      </c>
      <c r="L36" s="40" t="str">
        <f t="shared" si="0"/>
        <v>USD,20210929,,283210,,282510,1,1,1</v>
      </c>
    </row>
    <row r="37" spans="1:12">
      <c r="A37" s="268">
        <v>248130</v>
      </c>
      <c r="B37" s="268">
        <v>247890</v>
      </c>
      <c r="C37" s="268">
        <v>280710</v>
      </c>
      <c r="D37" s="268">
        <v>280710</v>
      </c>
      <c r="E37">
        <v>3900</v>
      </c>
      <c r="F37" s="137">
        <v>1.41E-2</v>
      </c>
      <c r="G37" s="202">
        <v>44467</v>
      </c>
      <c r="H37" t="s">
        <v>6782</v>
      </c>
      <c r="I37" s="40" t="s">
        <v>6413</v>
      </c>
      <c r="L37" s="40" t="str">
        <f t="shared" ref="L37:L54" si="1">CONCATENATE("USD",I37,TEXT(G37,"yyyymmdd"),I37,A366,I37,C37,I37,B366,I37,D37,I37,"1,1,1")</f>
        <v>USD,20210928,,280710,,280710,1,1,1</v>
      </c>
    </row>
    <row r="38" spans="1:12">
      <c r="A38" s="268">
        <v>247490</v>
      </c>
      <c r="B38" s="268">
        <v>247490</v>
      </c>
      <c r="C38" s="268">
        <v>276910</v>
      </c>
      <c r="D38" s="268">
        <v>276810</v>
      </c>
      <c r="E38">
        <v>1200</v>
      </c>
      <c r="F38" s="137">
        <v>4.4000000000000003E-3</v>
      </c>
      <c r="G38" s="202">
        <v>44465</v>
      </c>
      <c r="H38" t="s">
        <v>6783</v>
      </c>
      <c r="I38" s="40" t="s">
        <v>6413</v>
      </c>
      <c r="L38" s="40" t="str">
        <f t="shared" si="1"/>
        <v>USD,20210926,,276910,,276810,1,1,1</v>
      </c>
    </row>
    <row r="39" spans="1:12">
      <c r="A39" s="268">
        <v>246190</v>
      </c>
      <c r="B39" s="268">
        <v>246190</v>
      </c>
      <c r="C39" s="268">
        <v>276810</v>
      </c>
      <c r="D39" s="268">
        <v>275610</v>
      </c>
      <c r="E39">
        <v>1200</v>
      </c>
      <c r="F39" s="137">
        <v>4.4000000000000003E-3</v>
      </c>
      <c r="G39" s="202">
        <v>44464</v>
      </c>
      <c r="H39" t="s">
        <v>6784</v>
      </c>
      <c r="I39" s="40" t="s">
        <v>6413</v>
      </c>
      <c r="L39" s="40" t="str">
        <f t="shared" si="1"/>
        <v>USD,20210925,,276810,,275610,1,1,1</v>
      </c>
    </row>
    <row r="40" spans="1:12">
      <c r="A40" s="268">
        <v>246240</v>
      </c>
      <c r="B40" s="268">
        <v>246190</v>
      </c>
      <c r="C40" s="268">
        <v>276810</v>
      </c>
      <c r="D40" s="268">
        <v>276810</v>
      </c>
      <c r="E40">
        <v>1600</v>
      </c>
      <c r="F40" s="137">
        <v>5.7999999999999996E-3</v>
      </c>
      <c r="G40" s="202">
        <v>44462</v>
      </c>
      <c r="H40" t="s">
        <v>6778</v>
      </c>
      <c r="I40" s="40" t="s">
        <v>6413</v>
      </c>
      <c r="L40" s="40" t="str">
        <f t="shared" si="1"/>
        <v>USD,20210923,,276810,,276810,1,1,1</v>
      </c>
    </row>
    <row r="41" spans="1:12">
      <c r="A41" s="268">
        <v>244820</v>
      </c>
      <c r="B41" s="268">
        <v>244790</v>
      </c>
      <c r="C41" s="268">
        <v>276110</v>
      </c>
      <c r="D41" s="268">
        <v>275210</v>
      </c>
      <c r="E41">
        <v>1180</v>
      </c>
      <c r="F41" s="137">
        <v>4.3E-3</v>
      </c>
      <c r="G41" s="202">
        <v>44461</v>
      </c>
      <c r="H41" t="s">
        <v>6785</v>
      </c>
      <c r="I41" s="40" t="s">
        <v>6413</v>
      </c>
      <c r="L41" s="40" t="str">
        <f t="shared" si="1"/>
        <v>USD,20210922,,276110,,275210,1,1,1</v>
      </c>
    </row>
    <row r="42" spans="1:12">
      <c r="A42" s="268">
        <v>245600</v>
      </c>
      <c r="B42" s="268">
        <v>244090</v>
      </c>
      <c r="C42" s="268">
        <v>276310</v>
      </c>
      <c r="D42" s="268">
        <v>274030</v>
      </c>
      <c r="E42" t="s">
        <v>6412</v>
      </c>
      <c r="F42" t="s">
        <v>6412</v>
      </c>
      <c r="G42" s="202">
        <v>44460</v>
      </c>
      <c r="H42" t="s">
        <v>6786</v>
      </c>
      <c r="I42" s="40" t="s">
        <v>6413</v>
      </c>
      <c r="L42" s="40" t="str">
        <f t="shared" si="1"/>
        <v>USD,20210921,,276310,,274030,1,1,1</v>
      </c>
    </row>
    <row r="43" spans="1:12">
      <c r="A43" s="268">
        <v>246890</v>
      </c>
      <c r="B43" s="268">
        <v>245190</v>
      </c>
      <c r="C43" s="268">
        <v>274510</v>
      </c>
      <c r="D43" s="268">
        <v>274430</v>
      </c>
      <c r="E43">
        <v>220</v>
      </c>
      <c r="F43" s="137">
        <v>8.0000000000000004E-4</v>
      </c>
      <c r="G43" s="202">
        <v>44459</v>
      </c>
      <c r="H43" t="s">
        <v>6787</v>
      </c>
      <c r="I43" s="40" t="s">
        <v>6413</v>
      </c>
      <c r="L43" s="40" t="str">
        <f t="shared" si="1"/>
        <v>USD,20210920,,274510,,274430,1,1,1</v>
      </c>
    </row>
    <row r="44" spans="1:12">
      <c r="A44" s="268">
        <v>247610</v>
      </c>
      <c r="B44" s="268">
        <v>247190</v>
      </c>
      <c r="C44" s="268">
        <v>275010</v>
      </c>
      <c r="D44" s="268">
        <v>274650</v>
      </c>
      <c r="E44">
        <v>940</v>
      </c>
      <c r="F44" s="137">
        <v>3.3999999999999998E-3</v>
      </c>
      <c r="G44" s="202">
        <v>44458</v>
      </c>
      <c r="H44" t="s">
        <v>6788</v>
      </c>
      <c r="I44" s="40" t="s">
        <v>6413</v>
      </c>
      <c r="L44" s="40" t="str">
        <f t="shared" si="1"/>
        <v>USD,20210919,,275010,,274650,1,1,1</v>
      </c>
    </row>
    <row r="45" spans="1:12">
      <c r="A45" s="268">
        <v>246190</v>
      </c>
      <c r="B45" s="268">
        <v>246190</v>
      </c>
      <c r="C45" s="268">
        <v>276410</v>
      </c>
      <c r="D45" s="268">
        <v>273710</v>
      </c>
      <c r="E45">
        <v>750</v>
      </c>
      <c r="F45" s="137">
        <v>2.7000000000000001E-3</v>
      </c>
      <c r="G45" s="202">
        <v>44457</v>
      </c>
      <c r="H45" t="s">
        <v>6789</v>
      </c>
      <c r="I45" s="40" t="s">
        <v>6413</v>
      </c>
      <c r="L45" s="40" t="str">
        <f t="shared" si="1"/>
        <v>USD,20210918,,276410,,273710,1,1,1</v>
      </c>
    </row>
    <row r="46" spans="1:12">
      <c r="A46" s="268">
        <v>247610</v>
      </c>
      <c r="B46" s="268">
        <v>244990</v>
      </c>
      <c r="C46" s="268">
        <v>274510</v>
      </c>
      <c r="D46" s="268">
        <v>274460</v>
      </c>
      <c r="E46">
        <v>1250</v>
      </c>
      <c r="F46" s="137">
        <v>4.5999999999999999E-3</v>
      </c>
      <c r="G46" s="202">
        <v>44455</v>
      </c>
      <c r="H46" t="s">
        <v>6790</v>
      </c>
      <c r="I46" s="40" t="s">
        <v>6413</v>
      </c>
      <c r="L46" s="40" t="str">
        <f t="shared" si="1"/>
        <v>USD,20210916,,274510,,274460,1,1,1</v>
      </c>
    </row>
    <row r="47" spans="1:12">
      <c r="A47" s="268">
        <v>249740</v>
      </c>
      <c r="B47" s="268">
        <v>247090</v>
      </c>
      <c r="C47" s="268">
        <v>274210</v>
      </c>
      <c r="D47" s="268">
        <v>273210</v>
      </c>
      <c r="E47">
        <v>3260</v>
      </c>
      <c r="F47" s="137">
        <v>1.1900000000000001E-2</v>
      </c>
      <c r="G47" s="202">
        <v>44454</v>
      </c>
      <c r="H47" t="s">
        <v>6791</v>
      </c>
      <c r="I47" s="40" t="s">
        <v>6413</v>
      </c>
      <c r="L47" s="40" t="str">
        <f t="shared" si="1"/>
        <v>USD,20210915,,274210,,273210,1,1,1</v>
      </c>
    </row>
    <row r="48" spans="1:12">
      <c r="A48" s="268">
        <v>250040</v>
      </c>
      <c r="B48" s="268">
        <v>249290</v>
      </c>
      <c r="C48" s="268">
        <v>277310</v>
      </c>
      <c r="D48" s="268">
        <v>276470</v>
      </c>
      <c r="E48">
        <v>3360</v>
      </c>
      <c r="F48" s="137">
        <v>1.23E-2</v>
      </c>
      <c r="G48" s="202">
        <v>44453</v>
      </c>
      <c r="H48" t="s">
        <v>6792</v>
      </c>
      <c r="I48" s="40" t="s">
        <v>6413</v>
      </c>
      <c r="L48" s="40" t="str">
        <f t="shared" si="1"/>
        <v>USD,20210914,,277310,,276470,1,1,1</v>
      </c>
    </row>
    <row r="49" spans="1:12">
      <c r="A49" s="268">
        <v>249210</v>
      </c>
      <c r="B49" s="268">
        <v>248790</v>
      </c>
      <c r="C49" s="268">
        <v>273210</v>
      </c>
      <c r="D49" s="268">
        <v>273110</v>
      </c>
      <c r="E49">
        <v>600</v>
      </c>
      <c r="F49" s="137">
        <v>2.2000000000000001E-3</v>
      </c>
      <c r="G49" s="202">
        <v>44452</v>
      </c>
      <c r="H49" t="s">
        <v>6793</v>
      </c>
      <c r="I49" s="40" t="s">
        <v>6413</v>
      </c>
      <c r="L49" s="40" t="str">
        <f t="shared" si="1"/>
        <v>USD,20210913,,273210,,273110,1,1,1</v>
      </c>
    </row>
    <row r="50" spans="1:12">
      <c r="A50" s="268">
        <v>250340</v>
      </c>
      <c r="B50" s="268">
        <v>248190</v>
      </c>
      <c r="C50" s="268">
        <v>277210</v>
      </c>
      <c r="D50" s="268">
        <v>272510</v>
      </c>
      <c r="E50">
        <v>4800</v>
      </c>
      <c r="F50" s="137">
        <v>1.7600000000000001E-2</v>
      </c>
      <c r="G50" s="202">
        <v>44451</v>
      </c>
      <c r="H50" t="s">
        <v>6794</v>
      </c>
      <c r="I50" s="40" t="s">
        <v>6413</v>
      </c>
      <c r="L50" s="40" t="str">
        <f t="shared" si="1"/>
        <v>USD,20210912,,277210,,272510,1,1,1</v>
      </c>
    </row>
    <row r="51" spans="1:12">
      <c r="A51" s="268">
        <v>251070</v>
      </c>
      <c r="B51" s="268">
        <v>249490</v>
      </c>
      <c r="C51" s="268">
        <v>278810</v>
      </c>
      <c r="D51" s="268">
        <v>277310</v>
      </c>
      <c r="E51">
        <v>960</v>
      </c>
      <c r="F51" s="137">
        <v>3.5000000000000001E-3</v>
      </c>
      <c r="G51" s="202">
        <v>44450</v>
      </c>
      <c r="H51" t="s">
        <v>6795</v>
      </c>
      <c r="I51" s="40" t="s">
        <v>6413</v>
      </c>
      <c r="L51" s="40" t="str">
        <f t="shared" si="1"/>
        <v>USD,20210911,,278810,,277310,1,1,1</v>
      </c>
    </row>
    <row r="52" spans="1:12">
      <c r="A52" s="268">
        <v>250490</v>
      </c>
      <c r="B52" s="268">
        <v>250010</v>
      </c>
      <c r="C52" s="268">
        <v>279010</v>
      </c>
      <c r="D52" s="268">
        <v>278270</v>
      </c>
      <c r="E52">
        <v>1460</v>
      </c>
      <c r="F52" s="137">
        <v>5.3E-3</v>
      </c>
      <c r="G52" s="202">
        <v>44448</v>
      </c>
      <c r="H52" t="s">
        <v>6796</v>
      </c>
      <c r="I52" s="40" t="s">
        <v>6413</v>
      </c>
      <c r="L52" s="40" t="str">
        <f t="shared" si="1"/>
        <v>USD,20210909,,279010,,278270,1,1,1</v>
      </c>
    </row>
    <row r="53" spans="1:12">
      <c r="A53" s="268">
        <v>250990</v>
      </c>
      <c r="B53" s="268">
        <v>250590</v>
      </c>
      <c r="C53" s="268">
        <v>277310</v>
      </c>
      <c r="D53" s="268">
        <v>276810</v>
      </c>
      <c r="E53">
        <v>3000</v>
      </c>
      <c r="F53" s="137">
        <v>1.0999999999999999E-2</v>
      </c>
      <c r="G53" s="202">
        <v>44447</v>
      </c>
      <c r="H53" t="s">
        <v>6797</v>
      </c>
      <c r="I53" s="40" t="s">
        <v>6413</v>
      </c>
      <c r="L53" s="40" t="str">
        <f t="shared" si="1"/>
        <v>USD,20210908,,277310,,276810,1,1,1</v>
      </c>
    </row>
    <row r="54" spans="1:12">
      <c r="A54" s="268">
        <v>251220</v>
      </c>
      <c r="B54" s="268">
        <v>249490</v>
      </c>
      <c r="C54" s="268">
        <v>274010</v>
      </c>
      <c r="D54" s="268">
        <v>273810</v>
      </c>
      <c r="E54">
        <v>2600</v>
      </c>
      <c r="F54" s="137">
        <v>9.5999999999999992E-3</v>
      </c>
      <c r="G54" s="202">
        <v>44446</v>
      </c>
      <c r="H54" t="s">
        <v>6798</v>
      </c>
      <c r="I54" s="40" t="s">
        <v>6413</v>
      </c>
      <c r="L54" s="40" t="str">
        <f t="shared" si="1"/>
        <v>USD,20210907,,274010,,273810,1,1,1</v>
      </c>
    </row>
    <row r="55" spans="1:12">
      <c r="A55" s="268">
        <v>254490</v>
      </c>
      <c r="B55" s="268">
        <v>251090</v>
      </c>
      <c r="C55" s="268">
        <v>251640</v>
      </c>
      <c r="D55" s="268">
        <v>251090</v>
      </c>
      <c r="E55">
        <v>1370</v>
      </c>
      <c r="F55" s="137">
        <v>5.4999999999999997E-3</v>
      </c>
      <c r="G55" s="202">
        <v>44383</v>
      </c>
      <c r="H55" t="s">
        <v>6418</v>
      </c>
      <c r="I55" s="40" t="s">
        <v>6413</v>
      </c>
      <c r="L55" s="40" t="str">
        <f t="shared" ref="L55:L118" si="2">CONCATENATE("USD",I55,TEXT(G55,"yyyymmdd"),I55,A53,I55,C55,I55,B53,I55,D55,I55,"1,1,1")</f>
        <v>USD,20210706,250990,251640,250590,251090,1,1,1</v>
      </c>
    </row>
    <row r="56" spans="1:12">
      <c r="A56" s="268">
        <v>251600</v>
      </c>
      <c r="B56" s="268">
        <v>251390</v>
      </c>
      <c r="C56" s="268">
        <v>251340</v>
      </c>
      <c r="D56" s="268">
        <v>249720</v>
      </c>
      <c r="E56">
        <v>1790</v>
      </c>
      <c r="F56" s="137">
        <v>7.1999999999999998E-3</v>
      </c>
      <c r="G56" s="202">
        <v>44382</v>
      </c>
      <c r="H56" t="s">
        <v>6419</v>
      </c>
      <c r="I56" s="40" t="s">
        <v>6413</v>
      </c>
      <c r="L56" s="40" t="str">
        <f t="shared" si="2"/>
        <v>USD,20210705,251220,251340,249490,249720,1,1,1</v>
      </c>
    </row>
    <row r="57" spans="1:12">
      <c r="A57" s="268">
        <v>253290</v>
      </c>
      <c r="B57" s="268">
        <v>250690</v>
      </c>
      <c r="C57" s="268">
        <v>254640</v>
      </c>
      <c r="D57" s="268">
        <v>251510</v>
      </c>
      <c r="E57">
        <v>850</v>
      </c>
      <c r="F57" s="137">
        <v>3.3999999999999998E-3</v>
      </c>
      <c r="G57" s="202">
        <v>44381</v>
      </c>
      <c r="H57" t="s">
        <v>6291</v>
      </c>
      <c r="I57" s="40" t="s">
        <v>6413</v>
      </c>
      <c r="L57" s="40" t="str">
        <f t="shared" si="2"/>
        <v>USD,20210704,254490,254640,251090,251510,1,1,1</v>
      </c>
    </row>
    <row r="58" spans="1:12">
      <c r="A58" s="268">
        <v>250020</v>
      </c>
      <c r="B58" s="268">
        <v>249990</v>
      </c>
      <c r="C58" s="268">
        <v>253840</v>
      </c>
      <c r="D58" s="268">
        <v>252360</v>
      </c>
      <c r="E58">
        <v>850</v>
      </c>
      <c r="F58" s="137">
        <v>3.3999999999999998E-3</v>
      </c>
      <c r="G58" s="202">
        <v>44380</v>
      </c>
      <c r="H58" t="s">
        <v>6420</v>
      </c>
      <c r="I58" s="40" t="s">
        <v>6413</v>
      </c>
      <c r="L58" s="40" t="str">
        <f t="shared" si="2"/>
        <v>USD,20210703,251600,253840,251390,252360,1,1,1</v>
      </c>
    </row>
    <row r="59" spans="1:12">
      <c r="A59" s="268">
        <v>249000</v>
      </c>
      <c r="B59" s="268">
        <v>248890</v>
      </c>
      <c r="C59" s="268">
        <v>253440</v>
      </c>
      <c r="D59" s="268">
        <v>251510</v>
      </c>
      <c r="E59">
        <v>2490</v>
      </c>
      <c r="F59" s="137">
        <v>9.9000000000000008E-3</v>
      </c>
      <c r="G59" s="202">
        <v>44378</v>
      </c>
      <c r="H59" t="s">
        <v>6421</v>
      </c>
      <c r="I59" s="40" t="s">
        <v>6413</v>
      </c>
      <c r="L59" s="40" t="str">
        <f t="shared" si="2"/>
        <v>USD,20210701,253290,253440,250690,251510,1,1,1</v>
      </c>
    </row>
    <row r="60" spans="1:12">
      <c r="A60" s="268">
        <v>246360</v>
      </c>
      <c r="B60" s="268">
        <v>246290</v>
      </c>
      <c r="C60" s="268">
        <v>254130</v>
      </c>
      <c r="D60" s="268">
        <v>254000</v>
      </c>
      <c r="E60">
        <v>4350</v>
      </c>
      <c r="F60" s="137">
        <v>1.7399999999999999E-2</v>
      </c>
      <c r="G60" s="202">
        <v>44377</v>
      </c>
      <c r="H60" t="s">
        <v>6422</v>
      </c>
      <c r="I60" s="40" t="s">
        <v>6413</v>
      </c>
      <c r="L60" s="40" t="str">
        <f t="shared" si="2"/>
        <v>USD,20210630,250020,254130,249990,254000,1,1,1</v>
      </c>
    </row>
    <row r="61" spans="1:12">
      <c r="A61" s="268">
        <v>243490</v>
      </c>
      <c r="B61" s="268">
        <v>243490</v>
      </c>
      <c r="C61" s="268">
        <v>252040</v>
      </c>
      <c r="D61" s="268">
        <v>249650</v>
      </c>
      <c r="E61">
        <v>2530</v>
      </c>
      <c r="F61" s="137">
        <v>1.0200000000000001E-2</v>
      </c>
      <c r="G61" s="202">
        <v>44376</v>
      </c>
      <c r="H61" t="s">
        <v>6423</v>
      </c>
      <c r="I61" s="40" t="s">
        <v>6413</v>
      </c>
      <c r="L61" s="40" t="str">
        <f t="shared" si="2"/>
        <v>USD,20210629,249000,252040,248890,249650,1,1,1</v>
      </c>
    </row>
    <row r="62" spans="1:12">
      <c r="A62" s="268">
        <v>244500</v>
      </c>
      <c r="B62" s="268">
        <v>242290</v>
      </c>
      <c r="C62" s="268">
        <v>248640</v>
      </c>
      <c r="D62" s="268">
        <v>247120</v>
      </c>
      <c r="E62">
        <v>350</v>
      </c>
      <c r="F62" s="137">
        <v>1.4E-3</v>
      </c>
      <c r="G62" s="202">
        <v>44375</v>
      </c>
      <c r="H62" t="s">
        <v>6424</v>
      </c>
      <c r="I62" s="40" t="s">
        <v>6413</v>
      </c>
      <c r="L62" s="40" t="str">
        <f t="shared" si="2"/>
        <v>USD,20210628,246360,248640,246290,247120,1,1,1</v>
      </c>
    </row>
    <row r="63" spans="1:12">
      <c r="A63" s="268">
        <v>241690</v>
      </c>
      <c r="B63" s="268">
        <v>241190</v>
      </c>
      <c r="C63" s="268">
        <v>246940</v>
      </c>
      <c r="D63" s="268">
        <v>246770</v>
      </c>
      <c r="E63">
        <v>2230</v>
      </c>
      <c r="F63" s="137">
        <v>9.1000000000000004E-3</v>
      </c>
      <c r="G63" s="202">
        <v>44374</v>
      </c>
      <c r="H63" t="s">
        <v>6425</v>
      </c>
      <c r="I63" s="40" t="s">
        <v>6413</v>
      </c>
      <c r="L63" s="40" t="str">
        <f t="shared" si="2"/>
        <v>USD,20210627,243490,246940,243490,246770,1,1,1</v>
      </c>
    </row>
    <row r="64" spans="1:12">
      <c r="A64" s="268">
        <v>243310</v>
      </c>
      <c r="B64" s="268">
        <v>240790</v>
      </c>
      <c r="C64" s="268">
        <v>245940</v>
      </c>
      <c r="D64" s="268">
        <v>244540</v>
      </c>
      <c r="E64">
        <v>2650</v>
      </c>
      <c r="F64" s="137">
        <v>1.0999999999999999E-2</v>
      </c>
      <c r="G64" s="202">
        <v>44373</v>
      </c>
      <c r="H64" t="s">
        <v>6426</v>
      </c>
      <c r="I64" s="40" t="s">
        <v>6413</v>
      </c>
      <c r="L64" s="40" t="str">
        <f t="shared" si="2"/>
        <v>USD,20210626,244500,245940,242290,244540,1,1,1</v>
      </c>
    </row>
    <row r="65" spans="1:12">
      <c r="A65" s="268">
        <v>241190</v>
      </c>
      <c r="B65" s="268">
        <v>241190</v>
      </c>
      <c r="C65" s="268">
        <v>242440</v>
      </c>
      <c r="D65" s="268">
        <v>241890</v>
      </c>
      <c r="E65">
        <v>100</v>
      </c>
      <c r="F65" s="137">
        <v>4.0000000000000002E-4</v>
      </c>
      <c r="G65" s="202">
        <v>44371</v>
      </c>
      <c r="H65" t="s">
        <v>6427</v>
      </c>
      <c r="I65" s="40" t="s">
        <v>6413</v>
      </c>
      <c r="L65" s="40" t="str">
        <f t="shared" si="2"/>
        <v>USD,20210624,241690,242440,241190,241890,1,1,1</v>
      </c>
    </row>
    <row r="66" spans="1:12">
      <c r="A66" s="268">
        <v>239940</v>
      </c>
      <c r="B66" s="268">
        <v>239190</v>
      </c>
      <c r="C66" s="268">
        <v>243340</v>
      </c>
      <c r="D66" s="268">
        <v>241790</v>
      </c>
      <c r="E66">
        <v>880</v>
      </c>
      <c r="F66" s="137">
        <v>3.5999999999999999E-3</v>
      </c>
      <c r="G66" s="202">
        <v>44370</v>
      </c>
      <c r="H66" t="s">
        <v>6428</v>
      </c>
      <c r="I66" s="40" t="s">
        <v>6413</v>
      </c>
      <c r="L66" s="40" t="str">
        <f t="shared" si="2"/>
        <v>USD,20210623,243310,243340,240790,241790,1,1,1</v>
      </c>
    </row>
    <row r="67" spans="1:12">
      <c r="A67" s="268">
        <v>234810</v>
      </c>
      <c r="B67" s="268">
        <v>234690</v>
      </c>
      <c r="C67" s="268">
        <v>243140</v>
      </c>
      <c r="D67" s="268">
        <v>242670</v>
      </c>
      <c r="E67">
        <v>1680</v>
      </c>
      <c r="F67" s="137">
        <v>7.0000000000000001E-3</v>
      </c>
      <c r="G67" s="202">
        <v>44369</v>
      </c>
      <c r="H67" t="s">
        <v>6429</v>
      </c>
      <c r="I67" s="40" t="s">
        <v>6413</v>
      </c>
      <c r="L67" s="40" t="str">
        <f t="shared" si="2"/>
        <v>USD,20210622,241190,243140,241190,242670,1,1,1</v>
      </c>
    </row>
    <row r="68" spans="1:12">
      <c r="A68" s="268">
        <v>244490</v>
      </c>
      <c r="B68" s="268">
        <v>234690</v>
      </c>
      <c r="C68" s="268">
        <v>241440</v>
      </c>
      <c r="D68" s="268">
        <v>240990</v>
      </c>
      <c r="E68">
        <v>1390</v>
      </c>
      <c r="F68" s="137">
        <v>5.7999999999999996E-3</v>
      </c>
      <c r="G68" s="202">
        <v>44368</v>
      </c>
      <c r="H68" t="s">
        <v>6430</v>
      </c>
      <c r="I68" s="40" t="s">
        <v>6413</v>
      </c>
      <c r="L68" s="40" t="str">
        <f t="shared" si="2"/>
        <v>USD,20210621,239940,241440,239190,240990,1,1,1</v>
      </c>
    </row>
    <row r="69" spans="1:12">
      <c r="A69" s="268">
        <v>242010</v>
      </c>
      <c r="B69" s="268">
        <v>241950</v>
      </c>
      <c r="C69" s="268">
        <v>240440</v>
      </c>
      <c r="D69" s="268">
        <v>239600</v>
      </c>
      <c r="E69">
        <v>4710</v>
      </c>
      <c r="F69" s="137">
        <v>2.01E-2</v>
      </c>
      <c r="G69" s="202">
        <v>44367</v>
      </c>
      <c r="H69" t="s">
        <v>6431</v>
      </c>
      <c r="I69" s="40" t="s">
        <v>6413</v>
      </c>
      <c r="L69" s="40" t="str">
        <f t="shared" si="2"/>
        <v>USD,20210620,234810,240440,234690,239600,1,1,1</v>
      </c>
    </row>
    <row r="70" spans="1:12">
      <c r="A70" s="268">
        <v>240470</v>
      </c>
      <c r="B70" s="268">
        <v>239450</v>
      </c>
      <c r="C70" s="268">
        <v>244640</v>
      </c>
      <c r="D70" s="268">
        <v>234890</v>
      </c>
      <c r="E70">
        <v>9400</v>
      </c>
      <c r="F70" s="350">
        <v>0.04</v>
      </c>
      <c r="G70" s="202">
        <v>44366</v>
      </c>
      <c r="H70" t="s">
        <v>6432</v>
      </c>
      <c r="I70" s="40" t="s">
        <v>6413</v>
      </c>
      <c r="L70" s="40" t="str">
        <f t="shared" si="2"/>
        <v>USD,20210619,244490,244640,234690,234890,1,1,1</v>
      </c>
    </row>
    <row r="71" spans="1:12">
      <c r="A71" s="268">
        <v>239970</v>
      </c>
      <c r="B71" s="268">
        <v>239950</v>
      </c>
      <c r="C71" s="268">
        <v>244640</v>
      </c>
      <c r="D71" s="268">
        <v>244290</v>
      </c>
      <c r="E71">
        <v>2540</v>
      </c>
      <c r="F71" s="137">
        <v>1.0500000000000001E-2</v>
      </c>
      <c r="G71" s="202">
        <v>44364</v>
      </c>
      <c r="H71" t="s">
        <v>6433</v>
      </c>
      <c r="I71" s="40" t="s">
        <v>6413</v>
      </c>
      <c r="L71" s="40" t="str">
        <f t="shared" si="2"/>
        <v>USD,20210617,242010,244640,241950,244290,1,1,1</v>
      </c>
    </row>
    <row r="72" spans="1:12">
      <c r="A72" s="268">
        <v>240970</v>
      </c>
      <c r="B72" s="268">
        <v>238550</v>
      </c>
      <c r="C72" s="268">
        <v>242250</v>
      </c>
      <c r="D72" s="268">
        <v>241750</v>
      </c>
      <c r="E72">
        <v>1260</v>
      </c>
      <c r="F72" s="137">
        <v>5.1999999999999998E-3</v>
      </c>
      <c r="G72" s="202">
        <v>44363</v>
      </c>
      <c r="H72" t="s">
        <v>6434</v>
      </c>
      <c r="I72" s="40" t="s">
        <v>6413</v>
      </c>
      <c r="L72" s="40" t="str">
        <f t="shared" si="2"/>
        <v>USD,20210616,240470,242250,239450,241750,1,1,1</v>
      </c>
    </row>
    <row r="73" spans="1:12">
      <c r="A73" s="268">
        <v>238970</v>
      </c>
      <c r="B73" s="268">
        <v>238940</v>
      </c>
      <c r="C73" s="268">
        <v>240050</v>
      </c>
      <c r="D73" s="268">
        <v>240490</v>
      </c>
      <c r="E73">
        <v>770</v>
      </c>
      <c r="F73" s="137">
        <v>3.2000000000000002E-3</v>
      </c>
      <c r="G73" s="202">
        <v>44362</v>
      </c>
      <c r="H73" t="s">
        <v>6435</v>
      </c>
      <c r="I73" s="40" t="s">
        <v>6413</v>
      </c>
      <c r="L73" s="40" t="str">
        <f t="shared" si="2"/>
        <v>USD,20210615,239970,240050,239950,240490,1,1,1</v>
      </c>
    </row>
    <row r="74" spans="1:12">
      <c r="A74" s="268">
        <v>236830</v>
      </c>
      <c r="B74" s="268">
        <v>236140</v>
      </c>
      <c r="C74" s="268">
        <v>241050</v>
      </c>
      <c r="D74" s="268">
        <v>239720</v>
      </c>
      <c r="E74">
        <v>1310</v>
      </c>
      <c r="F74" s="137">
        <v>5.4999999999999997E-3</v>
      </c>
      <c r="G74" s="202">
        <v>44361</v>
      </c>
      <c r="H74" t="s">
        <v>6436</v>
      </c>
      <c r="I74" s="40" t="s">
        <v>6413</v>
      </c>
      <c r="L74" s="40" t="str">
        <f t="shared" si="2"/>
        <v>USD,20210614,240970,241050,238550,239720,1,1,1</v>
      </c>
    </row>
    <row r="75" spans="1:12">
      <c r="A75" s="268">
        <v>240010</v>
      </c>
      <c r="B75" s="268">
        <v>239140</v>
      </c>
      <c r="C75" s="268">
        <v>241250</v>
      </c>
      <c r="D75" s="268">
        <v>241030</v>
      </c>
      <c r="E75">
        <v>3280</v>
      </c>
      <c r="F75" s="137">
        <v>1.38E-2</v>
      </c>
      <c r="G75" s="202">
        <v>44360</v>
      </c>
      <c r="H75" t="s">
        <v>6437</v>
      </c>
      <c r="I75" s="40" t="s">
        <v>6413</v>
      </c>
      <c r="L75" s="40" t="str">
        <f t="shared" si="2"/>
        <v>USD,20210613,238970,241250,238940,241030,1,1,1</v>
      </c>
    </row>
    <row r="76" spans="1:12">
      <c r="A76" s="268">
        <v>235480</v>
      </c>
      <c r="B76" s="268">
        <v>235440</v>
      </c>
      <c r="C76" s="268">
        <v>238350</v>
      </c>
      <c r="D76" s="268">
        <v>237750</v>
      </c>
      <c r="E76">
        <v>1480</v>
      </c>
      <c r="F76" s="137">
        <v>6.1999999999999998E-3</v>
      </c>
      <c r="G76" s="202">
        <v>44359</v>
      </c>
      <c r="H76" t="s">
        <v>6438</v>
      </c>
      <c r="I76" s="40" t="s">
        <v>6413</v>
      </c>
      <c r="L76" s="40" t="str">
        <f t="shared" si="2"/>
        <v>USD,20210612,236830,238350,236140,237750,1,1,1</v>
      </c>
    </row>
    <row r="77" spans="1:12">
      <c r="A77" s="268">
        <v>235890</v>
      </c>
      <c r="B77" s="268">
        <v>234820</v>
      </c>
      <c r="C77" s="268">
        <v>240450</v>
      </c>
      <c r="D77" s="268">
        <v>239230</v>
      </c>
      <c r="E77">
        <v>2210</v>
      </c>
      <c r="F77" s="137">
        <v>9.1999999999999998E-3</v>
      </c>
      <c r="G77" s="202">
        <v>44357</v>
      </c>
      <c r="H77" t="s">
        <v>6439</v>
      </c>
      <c r="I77" s="40" t="s">
        <v>6413</v>
      </c>
      <c r="L77" s="40" t="str">
        <f t="shared" si="2"/>
        <v>USD,20210610,240010,240450,239140,239230,1,1,1</v>
      </c>
    </row>
    <row r="78" spans="1:12">
      <c r="A78" s="268">
        <v>234340</v>
      </c>
      <c r="B78" s="268">
        <v>234240</v>
      </c>
      <c r="C78" s="268">
        <v>241550</v>
      </c>
      <c r="D78" s="268">
        <v>241440</v>
      </c>
      <c r="E78">
        <v>5950</v>
      </c>
      <c r="F78" s="137">
        <v>2.53E-2</v>
      </c>
      <c r="G78" s="202">
        <v>44356</v>
      </c>
      <c r="H78" t="s">
        <v>6440</v>
      </c>
      <c r="I78" s="40" t="s">
        <v>6413</v>
      </c>
      <c r="L78" s="40" t="str">
        <f t="shared" si="2"/>
        <v>USD,20210609,235480,241550,235440,241440,1,1,1</v>
      </c>
    </row>
    <row r="79" spans="1:12">
      <c r="A79" s="268">
        <v>234330</v>
      </c>
      <c r="B79" s="268">
        <v>233900</v>
      </c>
      <c r="C79" s="268">
        <v>235960</v>
      </c>
      <c r="D79" s="268">
        <v>235490</v>
      </c>
      <c r="E79">
        <v>460</v>
      </c>
      <c r="F79" s="137">
        <v>2E-3</v>
      </c>
      <c r="G79" s="202">
        <v>44355</v>
      </c>
      <c r="H79" t="s">
        <v>6441</v>
      </c>
      <c r="I79" s="40" t="s">
        <v>6413</v>
      </c>
      <c r="L79" s="40" t="str">
        <f t="shared" si="2"/>
        <v>USD,20210608,235890,235960,234820,235490,1,1,1</v>
      </c>
    </row>
    <row r="80" spans="1:12">
      <c r="A80" s="268">
        <v>234060</v>
      </c>
      <c r="B80" s="268">
        <v>228150</v>
      </c>
      <c r="C80" s="268">
        <v>235960</v>
      </c>
      <c r="D80" s="268">
        <v>235950</v>
      </c>
      <c r="E80">
        <v>1620</v>
      </c>
      <c r="F80" s="137">
        <v>6.8999999999999999E-3</v>
      </c>
      <c r="G80" s="202">
        <v>44354</v>
      </c>
      <c r="H80" t="s">
        <v>6442</v>
      </c>
      <c r="I80" s="40" t="s">
        <v>6413</v>
      </c>
      <c r="L80" s="40" t="str">
        <f t="shared" si="2"/>
        <v>USD,20210607,234340,235960,234240,235950,1,1,1</v>
      </c>
    </row>
    <row r="81" spans="1:12">
      <c r="A81" s="268">
        <v>234000</v>
      </c>
      <c r="B81" s="268">
        <v>233970</v>
      </c>
      <c r="C81" s="268">
        <v>234350</v>
      </c>
      <c r="D81" s="268">
        <v>234330</v>
      </c>
      <c r="E81">
        <v>90</v>
      </c>
      <c r="F81" s="137">
        <v>4.0000000000000002E-4</v>
      </c>
      <c r="G81" s="202">
        <v>44350</v>
      </c>
      <c r="H81" t="s">
        <v>6443</v>
      </c>
      <c r="I81" s="40" t="s">
        <v>6413</v>
      </c>
      <c r="L81" s="40" t="str">
        <f t="shared" si="2"/>
        <v>USD,20210603,234330,234350,233900,234330,1,1,1</v>
      </c>
    </row>
    <row r="82" spans="1:12">
      <c r="A82" s="268">
        <v>238590</v>
      </c>
      <c r="B82" s="268">
        <v>232950</v>
      </c>
      <c r="C82" s="268">
        <v>234360</v>
      </c>
      <c r="D82" s="268">
        <v>234240</v>
      </c>
      <c r="E82">
        <v>80</v>
      </c>
      <c r="F82" s="137">
        <v>2.9999999999999997E-4</v>
      </c>
      <c r="G82" s="202">
        <v>44349</v>
      </c>
      <c r="H82" t="s">
        <v>6444</v>
      </c>
      <c r="I82" s="40" t="s">
        <v>6413</v>
      </c>
      <c r="L82" s="40" t="str">
        <f t="shared" si="2"/>
        <v>USD,20210602,234060,234360,228150,234240,1,1,1</v>
      </c>
    </row>
    <row r="83" spans="1:12">
      <c r="A83" s="268">
        <v>234640</v>
      </c>
      <c r="B83" s="268">
        <v>234550</v>
      </c>
      <c r="C83" s="268">
        <v>238660</v>
      </c>
      <c r="D83" s="268">
        <v>234160</v>
      </c>
      <c r="E83">
        <v>100</v>
      </c>
      <c r="F83" s="137">
        <v>4.0000000000000002E-4</v>
      </c>
      <c r="G83" s="202">
        <v>44348</v>
      </c>
      <c r="H83" t="s">
        <v>6445</v>
      </c>
      <c r="I83" s="40" t="s">
        <v>6413</v>
      </c>
      <c r="L83" s="40" t="str">
        <f t="shared" si="2"/>
        <v>USD,20210601,234000,238660,233970,234160,1,1,1</v>
      </c>
    </row>
    <row r="84" spans="1:12">
      <c r="A84" s="268">
        <v>226560</v>
      </c>
      <c r="B84" s="268">
        <v>226460</v>
      </c>
      <c r="C84" s="268">
        <v>238660</v>
      </c>
      <c r="D84" s="268">
        <v>234060</v>
      </c>
      <c r="E84">
        <v>4510</v>
      </c>
      <c r="F84" s="137">
        <v>1.9300000000000001E-2</v>
      </c>
      <c r="G84" s="202">
        <v>44347</v>
      </c>
      <c r="H84" t="s">
        <v>6446</v>
      </c>
      <c r="I84" s="40" t="s">
        <v>6413</v>
      </c>
      <c r="L84" s="40" t="str">
        <f t="shared" si="2"/>
        <v>USD,20210531,238590,238660,232950,234060,1,1,1</v>
      </c>
    </row>
    <row r="85" spans="1:12">
      <c r="A85" s="268">
        <v>225260</v>
      </c>
      <c r="B85" s="268">
        <v>225170</v>
      </c>
      <c r="C85" s="268">
        <v>238660</v>
      </c>
      <c r="D85" s="268">
        <v>238570</v>
      </c>
      <c r="E85">
        <v>3910</v>
      </c>
      <c r="F85" s="137">
        <v>1.67E-2</v>
      </c>
      <c r="G85" s="202">
        <v>44346</v>
      </c>
      <c r="H85" t="s">
        <v>6447</v>
      </c>
      <c r="I85" s="40" t="s">
        <v>6413</v>
      </c>
      <c r="L85" s="40" t="str">
        <f t="shared" si="2"/>
        <v>USD,20210530,234640,238660,234550,238570,1,1,1</v>
      </c>
    </row>
    <row r="86" spans="1:12">
      <c r="A86" s="268">
        <v>224190</v>
      </c>
      <c r="B86" s="268">
        <v>224100</v>
      </c>
      <c r="C86" s="268">
        <v>234660</v>
      </c>
      <c r="D86" s="268">
        <v>234660</v>
      </c>
      <c r="E86" t="s">
        <v>6412</v>
      </c>
      <c r="F86" t="s">
        <v>6412</v>
      </c>
      <c r="G86" s="202">
        <v>44345</v>
      </c>
      <c r="H86" t="s">
        <v>6448</v>
      </c>
      <c r="I86" s="40" t="s">
        <v>6413</v>
      </c>
      <c r="L86" s="40" t="str">
        <f t="shared" si="2"/>
        <v>USD,20210529,226560,234660,226460,234660,1,1,1</v>
      </c>
    </row>
    <row r="87" spans="1:12">
      <c r="A87" s="268">
        <v>224120</v>
      </c>
      <c r="B87" s="268">
        <v>223150</v>
      </c>
      <c r="C87" s="268">
        <v>231470</v>
      </c>
      <c r="D87" s="268">
        <v>231470</v>
      </c>
      <c r="E87">
        <v>6310</v>
      </c>
      <c r="F87" s="137">
        <v>2.8000000000000001E-2</v>
      </c>
      <c r="G87" s="202">
        <v>44343</v>
      </c>
      <c r="H87" t="s">
        <v>6449</v>
      </c>
      <c r="I87" s="40" t="s">
        <v>6413</v>
      </c>
      <c r="L87" s="40" t="str">
        <f t="shared" si="2"/>
        <v>USD,20210527,225260,231470,225170,231470,1,1,1</v>
      </c>
    </row>
    <row r="88" spans="1:12">
      <c r="A88" s="268">
        <v>223590</v>
      </c>
      <c r="B88" s="268">
        <v>223490</v>
      </c>
      <c r="C88" s="268">
        <v>225270</v>
      </c>
      <c r="D88" s="268">
        <v>225160</v>
      </c>
      <c r="E88">
        <v>1060</v>
      </c>
      <c r="F88" s="137">
        <v>4.7000000000000002E-3</v>
      </c>
      <c r="G88" s="202">
        <v>44342</v>
      </c>
      <c r="H88" t="s">
        <v>6450</v>
      </c>
      <c r="I88" s="40" t="s">
        <v>6413</v>
      </c>
      <c r="L88" s="40" t="str">
        <f t="shared" si="2"/>
        <v>USD,20210526,224190,225270,224100,225160,1,1,1</v>
      </c>
    </row>
    <row r="89" spans="1:12">
      <c r="A89" s="268">
        <v>223440</v>
      </c>
      <c r="B89" s="268">
        <v>223390</v>
      </c>
      <c r="C89" s="268">
        <v>224430</v>
      </c>
      <c r="D89" s="268">
        <v>224100</v>
      </c>
      <c r="E89">
        <v>10</v>
      </c>
      <c r="F89" t="s">
        <v>6412</v>
      </c>
      <c r="G89" s="202">
        <v>44341</v>
      </c>
      <c r="H89" t="s">
        <v>6451</v>
      </c>
      <c r="I89" s="40" t="s">
        <v>6413</v>
      </c>
      <c r="L89" s="40" t="str">
        <f t="shared" si="2"/>
        <v>USD,20210525,224120,224430,223150,224100,1,1,1</v>
      </c>
    </row>
    <row r="90" spans="1:12">
      <c r="A90" s="268">
        <v>222980</v>
      </c>
      <c r="B90" s="268">
        <v>222930</v>
      </c>
      <c r="C90" s="268">
        <v>225110</v>
      </c>
      <c r="D90" s="268">
        <v>224110</v>
      </c>
      <c r="E90">
        <v>600</v>
      </c>
      <c r="F90" s="137">
        <v>2.7000000000000001E-3</v>
      </c>
      <c r="G90" s="202">
        <v>44340</v>
      </c>
      <c r="H90" t="s">
        <v>6452</v>
      </c>
      <c r="I90" s="40" t="s">
        <v>6413</v>
      </c>
      <c r="L90" s="40" t="str">
        <f t="shared" si="2"/>
        <v>USD,20210524,223590,225110,223490,224110,1,1,1</v>
      </c>
    </row>
    <row r="91" spans="1:12">
      <c r="A91" s="268">
        <v>223990</v>
      </c>
      <c r="B91" s="268">
        <v>222930</v>
      </c>
      <c r="C91" s="268">
        <v>223990</v>
      </c>
      <c r="D91" s="268">
        <v>223510</v>
      </c>
      <c r="E91">
        <v>20</v>
      </c>
      <c r="F91" s="137">
        <v>1E-4</v>
      </c>
      <c r="G91" s="202">
        <v>44339</v>
      </c>
      <c r="H91" t="s">
        <v>6453</v>
      </c>
      <c r="I91" s="40" t="s">
        <v>6413</v>
      </c>
      <c r="L91" s="40" t="str">
        <f t="shared" si="2"/>
        <v>USD,20210523,223440,223990,223390,223510,1,1,1</v>
      </c>
    </row>
    <row r="92" spans="1:12">
      <c r="A92" s="268">
        <v>225270</v>
      </c>
      <c r="B92" s="268">
        <v>221720</v>
      </c>
      <c r="C92" s="268">
        <v>223550</v>
      </c>
      <c r="D92" s="268">
        <v>223490</v>
      </c>
      <c r="E92">
        <v>490</v>
      </c>
      <c r="F92" s="137">
        <v>2.2000000000000001E-3</v>
      </c>
      <c r="G92" s="202">
        <v>44338</v>
      </c>
      <c r="H92" t="s">
        <v>6454</v>
      </c>
      <c r="I92" s="40" t="s">
        <v>6413</v>
      </c>
      <c r="L92" s="40" t="str">
        <f t="shared" si="2"/>
        <v>USD,20210522,222980,223550,222930,223490,1,1,1</v>
      </c>
    </row>
    <row r="93" spans="1:12">
      <c r="A93" s="268">
        <v>222240</v>
      </c>
      <c r="B93" s="268">
        <v>222140</v>
      </c>
      <c r="C93" s="268">
        <v>224020</v>
      </c>
      <c r="D93" s="268">
        <v>223000</v>
      </c>
      <c r="E93">
        <v>1210</v>
      </c>
      <c r="F93" s="137">
        <v>5.4999999999999997E-3</v>
      </c>
      <c r="G93" s="202">
        <v>44336</v>
      </c>
      <c r="H93" t="s">
        <v>6455</v>
      </c>
      <c r="I93" s="40" t="s">
        <v>6413</v>
      </c>
      <c r="L93" s="40" t="str">
        <f t="shared" si="2"/>
        <v>USD,20210520,223990,224020,222930,223000,1,1,1</v>
      </c>
    </row>
    <row r="94" spans="1:12">
      <c r="A94" s="268">
        <v>224160</v>
      </c>
      <c r="B94" s="268">
        <v>222140</v>
      </c>
      <c r="C94" s="268">
        <v>225380</v>
      </c>
      <c r="D94" s="268">
        <v>221790</v>
      </c>
      <c r="E94">
        <v>3550</v>
      </c>
      <c r="F94" s="137">
        <v>1.6E-2</v>
      </c>
      <c r="G94" s="202">
        <v>44335</v>
      </c>
      <c r="H94" t="s">
        <v>6456</v>
      </c>
      <c r="I94" s="40" t="s">
        <v>6413</v>
      </c>
      <c r="L94" s="40" t="str">
        <f t="shared" si="2"/>
        <v>USD,20210519,225270,225380,221720,221790,1,1,1</v>
      </c>
    </row>
    <row r="95" spans="1:12">
      <c r="A95" s="268">
        <v>220520</v>
      </c>
      <c r="B95" s="268">
        <v>220410</v>
      </c>
      <c r="C95" s="268">
        <v>225380</v>
      </c>
      <c r="D95" s="268">
        <v>225340</v>
      </c>
      <c r="E95">
        <v>3150</v>
      </c>
      <c r="F95" s="137">
        <v>1.4200000000000001E-2</v>
      </c>
      <c r="G95" s="202">
        <v>44334</v>
      </c>
      <c r="H95" t="s">
        <v>6458</v>
      </c>
      <c r="I95" s="40" t="s">
        <v>6413</v>
      </c>
      <c r="L95" s="40" t="str">
        <f t="shared" si="2"/>
        <v>USD,20210518,222240,225380,222140,225340,1,1,1</v>
      </c>
    </row>
    <row r="96" spans="1:12">
      <c r="A96" s="268">
        <v>220760</v>
      </c>
      <c r="B96" s="268">
        <v>220410</v>
      </c>
      <c r="C96" s="268">
        <v>225270</v>
      </c>
      <c r="D96" s="268">
        <v>222190</v>
      </c>
      <c r="E96">
        <v>1950</v>
      </c>
      <c r="F96" s="137">
        <v>8.8000000000000005E-3</v>
      </c>
      <c r="G96" s="202">
        <v>44333</v>
      </c>
      <c r="H96" t="s">
        <v>6459</v>
      </c>
      <c r="I96" s="40" t="s">
        <v>6413</v>
      </c>
      <c r="L96" s="40" t="str">
        <f t="shared" si="2"/>
        <v>USD,20210517,224160,225270,222140,222190,1,1,1</v>
      </c>
    </row>
    <row r="97" spans="1:12">
      <c r="A97" s="268">
        <v>219790</v>
      </c>
      <c r="B97" s="268">
        <v>216130</v>
      </c>
      <c r="C97" s="268">
        <v>224160</v>
      </c>
      <c r="D97" s="268">
        <v>224140</v>
      </c>
      <c r="E97">
        <v>3640</v>
      </c>
      <c r="F97" s="137">
        <v>1.6500000000000001E-2</v>
      </c>
      <c r="G97" s="202">
        <v>44332</v>
      </c>
      <c r="H97" t="s">
        <v>6460</v>
      </c>
      <c r="I97" s="40" t="s">
        <v>6413</v>
      </c>
      <c r="L97" s="40" t="str">
        <f t="shared" si="2"/>
        <v>USD,20210516,220520,224160,220410,224140,1,1,1</v>
      </c>
    </row>
    <row r="98" spans="1:12">
      <c r="A98" s="268">
        <v>221860</v>
      </c>
      <c r="B98" s="268">
        <v>219750</v>
      </c>
      <c r="C98" s="268">
        <v>221880</v>
      </c>
      <c r="D98" s="268">
        <v>220500</v>
      </c>
      <c r="E98">
        <v>4370</v>
      </c>
      <c r="F98" s="137">
        <v>2.0199999999999999E-2</v>
      </c>
      <c r="G98" s="202">
        <v>44331</v>
      </c>
      <c r="H98" t="s">
        <v>6461</v>
      </c>
      <c r="I98" s="40" t="s">
        <v>6413</v>
      </c>
      <c r="L98" s="40" t="str">
        <f t="shared" si="2"/>
        <v>USD,20210515,220760,221880,220410,220500,1,1,1</v>
      </c>
    </row>
    <row r="99" spans="1:12">
      <c r="A99" s="268">
        <v>216080</v>
      </c>
      <c r="B99" s="268">
        <v>216080</v>
      </c>
      <c r="C99" s="268">
        <v>219860</v>
      </c>
      <c r="D99" s="268">
        <v>216130</v>
      </c>
      <c r="E99">
        <v>3620</v>
      </c>
      <c r="F99" s="137">
        <v>1.67E-2</v>
      </c>
      <c r="G99" s="202">
        <v>44329</v>
      </c>
      <c r="H99" t="s">
        <v>6462</v>
      </c>
      <c r="I99" s="40" t="s">
        <v>6413</v>
      </c>
      <c r="L99" s="40" t="str">
        <f t="shared" si="2"/>
        <v>USD,20210513,219790,219860,216130,216130,1,1,1</v>
      </c>
    </row>
    <row r="100" spans="1:12">
      <c r="A100" s="268">
        <v>207240</v>
      </c>
      <c r="B100" s="268">
        <v>207190</v>
      </c>
      <c r="C100" s="268">
        <v>221950</v>
      </c>
      <c r="D100" s="268">
        <v>219750</v>
      </c>
      <c r="E100">
        <v>2100</v>
      </c>
      <c r="F100" s="137">
        <v>9.5999999999999992E-3</v>
      </c>
      <c r="G100" s="202">
        <v>44328</v>
      </c>
      <c r="H100" t="s">
        <v>6463</v>
      </c>
      <c r="I100" s="40" t="s">
        <v>6413</v>
      </c>
      <c r="L100" s="40" t="str">
        <f t="shared" si="2"/>
        <v>USD,20210512,221860,221950,219750,219750,1,1,1</v>
      </c>
    </row>
    <row r="101" spans="1:12">
      <c r="A101" s="268">
        <v>206450</v>
      </c>
      <c r="B101" s="268">
        <v>206370</v>
      </c>
      <c r="C101" s="268">
        <v>223410</v>
      </c>
      <c r="D101" s="268">
        <v>221850</v>
      </c>
      <c r="E101">
        <v>5720</v>
      </c>
      <c r="F101" s="137">
        <v>2.6499999999999999E-2</v>
      </c>
      <c r="G101" s="202">
        <v>44327</v>
      </c>
      <c r="H101" t="s">
        <v>6464</v>
      </c>
      <c r="I101" s="40" t="s">
        <v>6413</v>
      </c>
      <c r="L101" s="40" t="str">
        <f t="shared" si="2"/>
        <v>USD,20210511,216080,223410,216080,221850,1,1,1</v>
      </c>
    </row>
    <row r="102" spans="1:12">
      <c r="A102" s="268">
        <v>206390</v>
      </c>
      <c r="B102" s="268">
        <v>206370</v>
      </c>
      <c r="C102" s="268">
        <v>217040</v>
      </c>
      <c r="D102" s="268">
        <v>216130</v>
      </c>
      <c r="E102">
        <v>8870</v>
      </c>
      <c r="F102" s="137">
        <v>4.2799999999999998E-2</v>
      </c>
      <c r="G102" s="202">
        <v>44326</v>
      </c>
      <c r="H102" t="s">
        <v>6465</v>
      </c>
      <c r="I102" s="40" t="s">
        <v>6413</v>
      </c>
      <c r="L102" s="40" t="str">
        <f t="shared" si="2"/>
        <v>USD,20210510,207240,217040,207190,216130,1,1,1</v>
      </c>
    </row>
    <row r="103" spans="1:12">
      <c r="A103" s="268">
        <v>206440</v>
      </c>
      <c r="B103" s="268">
        <v>206370</v>
      </c>
      <c r="C103" s="268">
        <v>207300</v>
      </c>
      <c r="D103" s="268">
        <v>207260</v>
      </c>
      <c r="E103">
        <v>890</v>
      </c>
      <c r="F103" s="137">
        <v>4.3E-3</v>
      </c>
      <c r="G103" s="202">
        <v>44325</v>
      </c>
      <c r="H103" t="s">
        <v>6466</v>
      </c>
      <c r="I103" s="40" t="s">
        <v>6413</v>
      </c>
      <c r="L103" s="40" t="str">
        <f t="shared" si="2"/>
        <v>USD,20210509,206450,207300,206370,207260,1,1,1</v>
      </c>
    </row>
    <row r="104" spans="1:12">
      <c r="A104" s="268">
        <v>214080</v>
      </c>
      <c r="B104" s="268">
        <v>206210</v>
      </c>
      <c r="C104" s="268">
        <v>206480</v>
      </c>
      <c r="D104" s="268">
        <v>206370</v>
      </c>
      <c r="E104">
        <v>110</v>
      </c>
      <c r="F104" s="137">
        <v>5.0000000000000001E-4</v>
      </c>
      <c r="G104" s="202">
        <v>44324</v>
      </c>
      <c r="H104" t="s">
        <v>6467</v>
      </c>
      <c r="I104" s="40" t="s">
        <v>6413</v>
      </c>
      <c r="L104" s="40" t="str">
        <f t="shared" si="2"/>
        <v>USD,20210508,206390,206480,206370,206370,1,1,1</v>
      </c>
    </row>
    <row r="105" spans="1:12">
      <c r="A105" s="268">
        <v>218430</v>
      </c>
      <c r="B105" s="268">
        <v>217260</v>
      </c>
      <c r="C105" s="268">
        <v>206480</v>
      </c>
      <c r="D105" s="268">
        <v>206480</v>
      </c>
      <c r="E105">
        <v>2970</v>
      </c>
      <c r="F105" s="137">
        <v>1.44E-2</v>
      </c>
      <c r="G105" s="202">
        <v>44322</v>
      </c>
      <c r="H105" t="s">
        <v>6468</v>
      </c>
      <c r="I105" s="40" t="s">
        <v>6413</v>
      </c>
      <c r="L105" s="40" t="str">
        <f t="shared" si="2"/>
        <v>USD,20210506,206440,206480,206370,206480,1,1,1</v>
      </c>
    </row>
    <row r="106" spans="1:12">
      <c r="A106" s="268">
        <v>229110</v>
      </c>
      <c r="B106" s="268">
        <v>218380</v>
      </c>
      <c r="C106" s="268">
        <v>214080</v>
      </c>
      <c r="D106" s="268">
        <v>209450</v>
      </c>
      <c r="E106">
        <v>7860</v>
      </c>
      <c r="F106" s="137">
        <v>3.7499999999999999E-2</v>
      </c>
      <c r="G106" s="202">
        <v>44321</v>
      </c>
      <c r="H106" t="s">
        <v>6469</v>
      </c>
      <c r="I106" s="40" t="s">
        <v>6413</v>
      </c>
      <c r="L106" s="40" t="str">
        <f t="shared" si="2"/>
        <v>USD,20210505,214080,214080,206210,209450,1,1,1</v>
      </c>
    </row>
    <row r="107" spans="1:12">
      <c r="A107" s="268">
        <v>232340</v>
      </c>
      <c r="B107" s="268">
        <v>229020</v>
      </c>
      <c r="C107" s="268">
        <v>218490</v>
      </c>
      <c r="D107" s="268">
        <v>217310</v>
      </c>
      <c r="E107">
        <v>1070</v>
      </c>
      <c r="F107" s="137">
        <v>4.8999999999999998E-3</v>
      </c>
      <c r="G107" s="202">
        <v>44319</v>
      </c>
      <c r="H107" t="s">
        <v>6470</v>
      </c>
      <c r="I107" s="40" t="s">
        <v>6413</v>
      </c>
      <c r="L107" s="40" t="str">
        <f t="shared" si="2"/>
        <v>USD,20210503,218430,218490,217260,217310,1,1,1</v>
      </c>
    </row>
    <row r="108" spans="1:12">
      <c r="A108" s="268">
        <v>232410</v>
      </c>
      <c r="B108" s="268">
        <v>232310</v>
      </c>
      <c r="C108" s="268">
        <v>229130</v>
      </c>
      <c r="D108" s="268">
        <v>218380</v>
      </c>
      <c r="E108">
        <v>10720</v>
      </c>
      <c r="F108" s="137">
        <v>4.9099999999999998E-2</v>
      </c>
      <c r="G108" s="202">
        <v>44318</v>
      </c>
      <c r="H108" t="s">
        <v>6471</v>
      </c>
      <c r="I108" s="40" t="s">
        <v>6413</v>
      </c>
      <c r="L108" s="40" t="str">
        <f t="shared" si="2"/>
        <v>USD,20210502,229110,229130,218380,218380,1,1,1</v>
      </c>
    </row>
    <row r="109" spans="1:12">
      <c r="A109" s="268">
        <v>232640</v>
      </c>
      <c r="B109" s="268">
        <v>232310</v>
      </c>
      <c r="C109" s="268">
        <v>232420</v>
      </c>
      <c r="D109" s="268">
        <v>229100</v>
      </c>
      <c r="E109">
        <v>3210</v>
      </c>
      <c r="F109" s="137">
        <v>1.4E-2</v>
      </c>
      <c r="G109" s="202">
        <v>44317</v>
      </c>
      <c r="H109" t="s">
        <v>6472</v>
      </c>
      <c r="I109" s="40" t="s">
        <v>6413</v>
      </c>
      <c r="L109" s="40" t="str">
        <f t="shared" si="2"/>
        <v>USD,20210501,232340,232420,229020,229100,1,1,1</v>
      </c>
    </row>
    <row r="110" spans="1:12">
      <c r="A110" s="268">
        <v>232770</v>
      </c>
      <c r="B110" s="268">
        <v>232540</v>
      </c>
      <c r="C110" s="268">
        <v>232420</v>
      </c>
      <c r="D110" s="268">
        <v>232310</v>
      </c>
      <c r="E110">
        <v>20</v>
      </c>
      <c r="F110" s="137">
        <v>1E-4</v>
      </c>
      <c r="G110" s="202">
        <v>44315</v>
      </c>
      <c r="H110" t="s">
        <v>6473</v>
      </c>
      <c r="I110" s="40" t="s">
        <v>6413</v>
      </c>
      <c r="L110" s="40" t="str">
        <f t="shared" si="2"/>
        <v>USD,20210429,232410,232420,232310,232310,1,1,1</v>
      </c>
    </row>
    <row r="111" spans="1:12">
      <c r="A111" s="268">
        <v>233380</v>
      </c>
      <c r="B111" s="268">
        <v>232750</v>
      </c>
      <c r="C111" s="268">
        <v>232650</v>
      </c>
      <c r="D111" s="268">
        <v>232330</v>
      </c>
      <c r="E111">
        <v>280</v>
      </c>
      <c r="F111" s="137">
        <v>1.1999999999999999E-3</v>
      </c>
      <c r="G111" s="202">
        <v>44314</v>
      </c>
      <c r="H111" t="s">
        <v>6474</v>
      </c>
      <c r="I111" s="40" t="s">
        <v>6413</v>
      </c>
      <c r="L111" s="40" t="str">
        <f t="shared" si="2"/>
        <v>USD,20210428,232640,232650,232310,232330,1,1,1</v>
      </c>
    </row>
    <row r="112" spans="1:12">
      <c r="A112" s="268">
        <v>233280</v>
      </c>
      <c r="B112" s="268">
        <v>233280</v>
      </c>
      <c r="C112" s="268">
        <v>234090</v>
      </c>
      <c r="D112" s="268">
        <v>232610</v>
      </c>
      <c r="E112">
        <v>150</v>
      </c>
      <c r="F112" s="137">
        <v>5.9999999999999995E-4</v>
      </c>
      <c r="G112" s="202">
        <v>44313</v>
      </c>
      <c r="H112" t="s">
        <v>6475</v>
      </c>
      <c r="I112" s="40" t="s">
        <v>6413</v>
      </c>
      <c r="L112" s="40" t="str">
        <f t="shared" si="2"/>
        <v>USD,20210427,232770,234090,232540,232610,1,1,1</v>
      </c>
    </row>
    <row r="113" spans="1:12">
      <c r="A113" s="268">
        <v>233350</v>
      </c>
      <c r="B113" s="268">
        <v>233280</v>
      </c>
      <c r="C113" s="268">
        <v>233390</v>
      </c>
      <c r="D113" s="268">
        <v>232760</v>
      </c>
      <c r="E113">
        <v>630</v>
      </c>
      <c r="F113" s="137">
        <v>2.7000000000000001E-3</v>
      </c>
      <c r="G113" s="202">
        <v>44312</v>
      </c>
      <c r="H113" t="s">
        <v>6476</v>
      </c>
      <c r="I113" s="40" t="s">
        <v>6413</v>
      </c>
      <c r="L113" s="40" t="str">
        <f t="shared" si="2"/>
        <v>USD,20210426,233380,233390,232750,232760,1,1,1</v>
      </c>
    </row>
    <row r="114" spans="1:12">
      <c r="A114" s="268">
        <v>233750</v>
      </c>
      <c r="B114" s="268">
        <v>233280</v>
      </c>
      <c r="C114" s="268">
        <v>233390</v>
      </c>
      <c r="D114" s="268">
        <v>233390</v>
      </c>
      <c r="E114">
        <v>20</v>
      </c>
      <c r="F114" s="137">
        <v>1E-4</v>
      </c>
      <c r="G114" s="202">
        <v>44311</v>
      </c>
      <c r="H114" t="s">
        <v>6477</v>
      </c>
      <c r="I114" s="40" t="s">
        <v>6413</v>
      </c>
      <c r="L114" s="40" t="str">
        <f t="shared" si="2"/>
        <v>USD,20210425,233280,233390,233280,233390,1,1,1</v>
      </c>
    </row>
    <row r="115" spans="1:12">
      <c r="A115" s="268">
        <v>233650</v>
      </c>
      <c r="B115" s="268">
        <v>233640</v>
      </c>
      <c r="C115" s="268">
        <v>233390</v>
      </c>
      <c r="D115" s="268">
        <v>233370</v>
      </c>
      <c r="E115">
        <v>70</v>
      </c>
      <c r="F115" s="137">
        <v>2.9999999999999997E-4</v>
      </c>
      <c r="G115" s="202">
        <v>44310</v>
      </c>
      <c r="H115" t="s">
        <v>6478</v>
      </c>
      <c r="I115" s="40" t="s">
        <v>6413</v>
      </c>
      <c r="L115" s="40" t="str">
        <f t="shared" si="2"/>
        <v>USD,20210424,233350,233390,233280,233370,1,1,1</v>
      </c>
    </row>
    <row r="116" spans="1:12">
      <c r="A116" s="268">
        <v>238190</v>
      </c>
      <c r="B116" s="268">
        <v>233640</v>
      </c>
      <c r="C116" s="268">
        <v>233750</v>
      </c>
      <c r="D116" s="268">
        <v>233300</v>
      </c>
      <c r="E116">
        <v>390</v>
      </c>
      <c r="F116" s="137">
        <v>1.6999999999999999E-3</v>
      </c>
      <c r="G116" s="202">
        <v>44308</v>
      </c>
      <c r="H116" t="s">
        <v>6457</v>
      </c>
      <c r="I116" s="40" t="s">
        <v>6413</v>
      </c>
      <c r="L116" s="40" t="str">
        <f t="shared" si="2"/>
        <v>USD,20210422,233750,233750,233280,233300,1,1,1</v>
      </c>
    </row>
    <row r="117" spans="1:12">
      <c r="A117" s="268">
        <v>238830</v>
      </c>
      <c r="B117" s="268">
        <v>238170</v>
      </c>
      <c r="C117" s="268">
        <v>233750</v>
      </c>
      <c r="D117" s="268">
        <v>233690</v>
      </c>
      <c r="E117">
        <v>50</v>
      </c>
      <c r="F117" s="137">
        <v>2.0000000000000001E-4</v>
      </c>
      <c r="G117" s="202">
        <v>44307</v>
      </c>
      <c r="H117" t="s">
        <v>6479</v>
      </c>
      <c r="I117" s="40" t="s">
        <v>6413</v>
      </c>
      <c r="L117" s="40" t="str">
        <f t="shared" si="2"/>
        <v>USD,20210421,233650,233750,233640,233690,1,1,1</v>
      </c>
    </row>
    <row r="118" spans="1:12">
      <c r="A118" s="268">
        <v>239900</v>
      </c>
      <c r="B118" s="268">
        <v>238750</v>
      </c>
      <c r="C118" s="268">
        <v>238280</v>
      </c>
      <c r="D118" s="268">
        <v>233740</v>
      </c>
      <c r="E118">
        <v>4430</v>
      </c>
      <c r="F118" s="137">
        <v>1.9E-2</v>
      </c>
      <c r="G118" s="202">
        <v>44306</v>
      </c>
      <c r="H118" t="s">
        <v>6480</v>
      </c>
      <c r="I118" s="40" t="s">
        <v>6413</v>
      </c>
      <c r="L118" s="40" t="str">
        <f t="shared" si="2"/>
        <v>USD,20210420,238190,238280,233640,233740,1,1,1</v>
      </c>
    </row>
    <row r="119" spans="1:12">
      <c r="A119" s="268">
        <v>239930</v>
      </c>
      <c r="B119" s="268">
        <v>239860</v>
      </c>
      <c r="C119" s="268">
        <v>238860</v>
      </c>
      <c r="D119" s="268">
        <v>238170</v>
      </c>
      <c r="E119">
        <v>650</v>
      </c>
      <c r="F119" s="137">
        <v>2.7000000000000001E-3</v>
      </c>
      <c r="G119" s="202">
        <v>44305</v>
      </c>
      <c r="H119" t="s">
        <v>6481</v>
      </c>
      <c r="I119" s="40" t="s">
        <v>6413</v>
      </c>
      <c r="L119" s="40" t="str">
        <f t="shared" ref="L119:L182" si="3">CONCATENATE("USD",I119,TEXT(G119,"yyyymmdd"),I119,A117,I119,C119,I119,B117,I119,D119,I119,"1,1,1")</f>
        <v>USD,20210419,238830,238860,238170,238170,1,1,1</v>
      </c>
    </row>
    <row r="120" spans="1:12">
      <c r="A120" s="268">
        <v>240920</v>
      </c>
      <c r="B120" s="268">
        <v>239860</v>
      </c>
      <c r="C120" s="268">
        <v>240000</v>
      </c>
      <c r="D120" s="268">
        <v>238820</v>
      </c>
      <c r="E120">
        <v>1110</v>
      </c>
      <c r="F120" s="137">
        <v>4.5999999999999999E-3</v>
      </c>
      <c r="G120" s="202">
        <v>44304</v>
      </c>
      <c r="H120" t="s">
        <v>6482</v>
      </c>
      <c r="I120" s="40" t="s">
        <v>6413</v>
      </c>
      <c r="L120" s="40" t="str">
        <f t="shared" si="3"/>
        <v>USD,20210418,239900,240000,238750,238820,1,1,1</v>
      </c>
    </row>
    <row r="121" spans="1:12">
      <c r="A121" s="268">
        <v>240800</v>
      </c>
      <c r="B121" s="268">
        <v>240790</v>
      </c>
      <c r="C121" s="268">
        <v>240000</v>
      </c>
      <c r="D121" s="268">
        <v>239930</v>
      </c>
      <c r="E121">
        <v>60</v>
      </c>
      <c r="F121" s="137">
        <v>2.9999999999999997E-4</v>
      </c>
      <c r="G121" s="202">
        <v>44303</v>
      </c>
      <c r="H121" t="s">
        <v>6483</v>
      </c>
      <c r="I121" s="40" t="s">
        <v>6413</v>
      </c>
      <c r="L121" s="40" t="str">
        <f t="shared" si="3"/>
        <v>USD,20210417,239930,240000,239860,239930,1,1,1</v>
      </c>
    </row>
    <row r="122" spans="1:12">
      <c r="A122" s="268">
        <v>243020</v>
      </c>
      <c r="B122" s="268">
        <v>240790</v>
      </c>
      <c r="C122" s="268">
        <v>241010</v>
      </c>
      <c r="D122" s="268">
        <v>239870</v>
      </c>
      <c r="E122">
        <v>2480</v>
      </c>
      <c r="F122" s="137">
        <v>1.03E-2</v>
      </c>
      <c r="G122" s="202">
        <v>44301</v>
      </c>
      <c r="H122" t="s">
        <v>6484</v>
      </c>
      <c r="I122" s="40" t="s">
        <v>6413</v>
      </c>
      <c r="L122" s="40" t="str">
        <f t="shared" si="3"/>
        <v>USD,20210415,240920,241010,239860,239870,1,1,1</v>
      </c>
    </row>
    <row r="123" spans="1:12">
      <c r="A123" s="268">
        <v>242920</v>
      </c>
      <c r="B123" s="268">
        <v>242520</v>
      </c>
      <c r="C123" s="268">
        <v>242390</v>
      </c>
      <c r="D123" s="268">
        <v>242350</v>
      </c>
      <c r="E123">
        <v>1450</v>
      </c>
      <c r="F123" s="137">
        <v>6.0000000000000001E-3</v>
      </c>
      <c r="G123" s="202">
        <v>44300</v>
      </c>
      <c r="H123" t="s">
        <v>6485</v>
      </c>
      <c r="I123" s="40" t="s">
        <v>6413</v>
      </c>
      <c r="L123" s="40" t="str">
        <f t="shared" si="3"/>
        <v>USD,20210414,240800,242390,240790,242350,1,1,1</v>
      </c>
    </row>
    <row r="124" spans="1:12">
      <c r="A124" s="268">
        <v>241950</v>
      </c>
      <c r="B124" s="268">
        <v>241860</v>
      </c>
      <c r="C124" s="268">
        <v>243060</v>
      </c>
      <c r="D124" s="268">
        <v>240900</v>
      </c>
      <c r="E124">
        <v>2060</v>
      </c>
      <c r="F124" s="137">
        <v>8.6E-3</v>
      </c>
      <c r="G124" s="202">
        <v>44299</v>
      </c>
      <c r="H124" t="s">
        <v>6486</v>
      </c>
      <c r="I124" s="40" t="s">
        <v>6413</v>
      </c>
      <c r="L124" s="40" t="str">
        <f t="shared" si="3"/>
        <v>USD,20210413,243020,243060,240790,240900,1,1,1</v>
      </c>
    </row>
    <row r="125" spans="1:12">
      <c r="A125" s="268">
        <v>242890</v>
      </c>
      <c r="B125" s="268">
        <v>241860</v>
      </c>
      <c r="C125" s="268">
        <v>243740</v>
      </c>
      <c r="D125" s="268">
        <v>242960</v>
      </c>
      <c r="E125">
        <v>110</v>
      </c>
      <c r="F125" s="137">
        <v>5.0000000000000001E-4</v>
      </c>
      <c r="G125" s="202">
        <v>44298</v>
      </c>
      <c r="H125" t="s">
        <v>6487</v>
      </c>
      <c r="I125" s="40" t="s">
        <v>6413</v>
      </c>
      <c r="L125" s="40" t="str">
        <f t="shared" si="3"/>
        <v>USD,20210412,242920,243740,242520,242960,1,1,1</v>
      </c>
    </row>
    <row r="126" spans="1:12">
      <c r="A126" s="268">
        <v>244730</v>
      </c>
      <c r="B126" s="268">
        <v>244620</v>
      </c>
      <c r="C126" s="268">
        <v>243930</v>
      </c>
      <c r="D126" s="268">
        <v>242850</v>
      </c>
      <c r="E126">
        <v>970</v>
      </c>
      <c r="F126" s="137">
        <v>4.0000000000000001E-3</v>
      </c>
      <c r="G126" s="202">
        <v>44297</v>
      </c>
      <c r="H126" t="s">
        <v>6488</v>
      </c>
      <c r="I126" s="40" t="s">
        <v>6413</v>
      </c>
      <c r="L126" s="40" t="str">
        <f t="shared" si="3"/>
        <v>USD,20210411,241950,243930,241860,242850,1,1,1</v>
      </c>
    </row>
    <row r="127" spans="1:12">
      <c r="A127" s="268">
        <v>247150</v>
      </c>
      <c r="B127" s="268">
        <v>244620</v>
      </c>
      <c r="C127" s="268">
        <v>243570</v>
      </c>
      <c r="D127" s="268">
        <v>241880</v>
      </c>
      <c r="E127">
        <v>2780</v>
      </c>
      <c r="F127" s="137">
        <v>1.15E-2</v>
      </c>
      <c r="G127" s="202">
        <v>44296</v>
      </c>
      <c r="H127" t="s">
        <v>6489</v>
      </c>
      <c r="I127" s="40" t="s">
        <v>6413</v>
      </c>
      <c r="L127" s="40" t="str">
        <f t="shared" si="3"/>
        <v>USD,20210410,242890,243570,241860,241880,1,1,1</v>
      </c>
    </row>
    <row r="128" spans="1:12">
      <c r="A128" s="268">
        <v>244100</v>
      </c>
      <c r="B128" s="268">
        <v>244010</v>
      </c>
      <c r="C128" s="268">
        <v>244730</v>
      </c>
      <c r="D128" s="268">
        <v>244660</v>
      </c>
      <c r="E128">
        <v>40</v>
      </c>
      <c r="F128" s="137">
        <v>2.0000000000000001E-4</v>
      </c>
      <c r="G128" s="202">
        <v>44294</v>
      </c>
      <c r="H128" t="s">
        <v>6490</v>
      </c>
      <c r="I128" s="40" t="s">
        <v>6413</v>
      </c>
      <c r="L128" s="40" t="str">
        <f t="shared" si="3"/>
        <v>USD,20210408,244730,244730,244620,244660,1,1,1</v>
      </c>
    </row>
    <row r="129" spans="1:12">
      <c r="A129" s="268">
        <v>242660</v>
      </c>
      <c r="B129" s="268">
        <v>242630</v>
      </c>
      <c r="C129" s="268">
        <v>247170</v>
      </c>
      <c r="D129" s="268">
        <v>244620</v>
      </c>
      <c r="E129">
        <v>2490</v>
      </c>
      <c r="F129" s="137">
        <v>1.0200000000000001E-2</v>
      </c>
      <c r="G129" s="202">
        <v>44293</v>
      </c>
      <c r="H129" t="s">
        <v>6491</v>
      </c>
      <c r="I129" s="40" t="s">
        <v>6413</v>
      </c>
      <c r="L129" s="40" t="str">
        <f t="shared" si="3"/>
        <v>USD,20210407,247150,247170,244620,244620,1,1,1</v>
      </c>
    </row>
    <row r="130" spans="1:12">
      <c r="A130" s="268">
        <v>244700</v>
      </c>
      <c r="B130" s="268">
        <v>242630</v>
      </c>
      <c r="C130" s="268">
        <v>247170</v>
      </c>
      <c r="D130" s="268">
        <v>247110</v>
      </c>
      <c r="E130">
        <v>3060</v>
      </c>
      <c r="F130" s="137">
        <v>1.2500000000000001E-2</v>
      </c>
      <c r="G130" s="202">
        <v>44292</v>
      </c>
      <c r="H130" t="s">
        <v>6492</v>
      </c>
      <c r="I130" s="40" t="s">
        <v>6413</v>
      </c>
      <c r="L130" s="40" t="str">
        <f t="shared" si="3"/>
        <v>USD,20210406,244100,247170,244010,247110,1,1,1</v>
      </c>
    </row>
    <row r="131" spans="1:12">
      <c r="A131" s="268">
        <v>252010</v>
      </c>
      <c r="B131" s="268">
        <v>244600</v>
      </c>
      <c r="C131" s="268">
        <v>245310</v>
      </c>
      <c r="D131" s="268">
        <v>244050</v>
      </c>
      <c r="E131">
        <v>1330</v>
      </c>
      <c r="F131" s="137">
        <v>5.4999999999999997E-3</v>
      </c>
      <c r="G131" s="202">
        <v>44291</v>
      </c>
      <c r="H131" t="s">
        <v>6493</v>
      </c>
      <c r="I131" s="40" t="s">
        <v>6413</v>
      </c>
      <c r="L131" s="40" t="str">
        <f t="shared" si="3"/>
        <v>USD,20210405,242660,245310,242630,244050,1,1,1</v>
      </c>
    </row>
    <row r="132" spans="1:12">
      <c r="A132" s="268">
        <v>252040</v>
      </c>
      <c r="B132" s="268">
        <v>251990</v>
      </c>
      <c r="C132" s="268">
        <v>244710</v>
      </c>
      <c r="D132" s="268">
        <v>242720</v>
      </c>
      <c r="E132">
        <v>1930</v>
      </c>
      <c r="F132" s="137">
        <v>8.0000000000000002E-3</v>
      </c>
      <c r="G132" s="202">
        <v>44290</v>
      </c>
      <c r="H132" t="s">
        <v>6494</v>
      </c>
      <c r="I132" s="40" t="s">
        <v>6413</v>
      </c>
      <c r="L132" s="40" t="str">
        <f t="shared" si="3"/>
        <v>USD,20210404,244700,244710,242630,242720,1,1,1</v>
      </c>
    </row>
    <row r="133" spans="1:12">
      <c r="A133" s="268">
        <v>252550</v>
      </c>
      <c r="B133" s="268">
        <v>251990</v>
      </c>
      <c r="C133" s="268">
        <v>252100</v>
      </c>
      <c r="D133" s="268">
        <v>244650</v>
      </c>
      <c r="E133">
        <v>7450</v>
      </c>
      <c r="F133" s="137">
        <v>3.0499999999999999E-2</v>
      </c>
      <c r="G133" s="202">
        <v>44289</v>
      </c>
      <c r="H133" t="s">
        <v>6495</v>
      </c>
      <c r="I133" s="40" t="s">
        <v>6413</v>
      </c>
      <c r="L133" s="40" t="str">
        <f t="shared" si="3"/>
        <v>USD,20210403,252010,252100,244600,244650,1,1,1</v>
      </c>
    </row>
    <row r="134" spans="1:12">
      <c r="A134" s="268">
        <v>252340</v>
      </c>
      <c r="B134" s="268">
        <v>252240</v>
      </c>
      <c r="C134" s="268">
        <v>252100</v>
      </c>
      <c r="D134" s="268">
        <v>252100</v>
      </c>
      <c r="E134">
        <v>60</v>
      </c>
      <c r="F134" s="137">
        <v>2.0000000000000001E-4</v>
      </c>
      <c r="G134" s="202">
        <v>44287</v>
      </c>
      <c r="H134" t="s">
        <v>6496</v>
      </c>
      <c r="I134" s="40" t="s">
        <v>6413</v>
      </c>
      <c r="L134" s="40" t="str">
        <f t="shared" si="3"/>
        <v>USD,20210401,252040,252100,251990,252100,1,1,1</v>
      </c>
    </row>
    <row r="135" spans="1:12">
      <c r="A135" s="268">
        <v>247510</v>
      </c>
      <c r="B135" s="268">
        <v>247470</v>
      </c>
      <c r="C135" s="268">
        <v>252550</v>
      </c>
      <c r="D135" s="268">
        <v>252040</v>
      </c>
      <c r="E135">
        <v>500</v>
      </c>
      <c r="F135" s="137">
        <v>2E-3</v>
      </c>
      <c r="G135" s="202">
        <v>44286</v>
      </c>
      <c r="H135" t="s">
        <v>6497</v>
      </c>
      <c r="I135" s="40" t="s">
        <v>6413</v>
      </c>
      <c r="L135" s="40" t="str">
        <f t="shared" si="3"/>
        <v>USD,20210331,252550,252550,251990,252040,1,1,1</v>
      </c>
    </row>
    <row r="136" spans="1:12">
      <c r="A136" s="268">
        <v>239640</v>
      </c>
      <c r="B136" s="268">
        <v>239550</v>
      </c>
      <c r="C136" s="268">
        <v>257120</v>
      </c>
      <c r="D136" s="268">
        <v>252540</v>
      </c>
      <c r="E136">
        <v>210</v>
      </c>
      <c r="F136" s="137">
        <v>8.0000000000000004E-4</v>
      </c>
      <c r="G136" s="202">
        <v>44285</v>
      </c>
      <c r="H136" t="s">
        <v>6498</v>
      </c>
      <c r="I136" s="40" t="s">
        <v>6413</v>
      </c>
      <c r="L136" s="40" t="str">
        <f t="shared" si="3"/>
        <v>USD,20210330,252340,257120,252240,252540,1,1,1</v>
      </c>
    </row>
    <row r="137" spans="1:12">
      <c r="A137" s="268">
        <v>240410</v>
      </c>
      <c r="B137" s="268">
        <v>239550</v>
      </c>
      <c r="C137" s="268">
        <v>252350</v>
      </c>
      <c r="D137" s="268">
        <v>252330</v>
      </c>
      <c r="E137">
        <v>4770</v>
      </c>
      <c r="F137" s="137">
        <v>1.9300000000000001E-2</v>
      </c>
      <c r="G137" s="202">
        <v>44283</v>
      </c>
      <c r="H137" t="s">
        <v>6499</v>
      </c>
      <c r="I137" s="40" t="s">
        <v>6413</v>
      </c>
      <c r="L137" s="40" t="str">
        <f t="shared" si="3"/>
        <v>USD,20210328,247510,252350,247470,252330,1,1,1</v>
      </c>
    </row>
    <row r="138" spans="1:12">
      <c r="A138" s="268">
        <v>240920</v>
      </c>
      <c r="B138" s="268">
        <v>240320</v>
      </c>
      <c r="C138" s="268">
        <v>247580</v>
      </c>
      <c r="D138" s="268">
        <v>247560</v>
      </c>
      <c r="E138">
        <v>7930</v>
      </c>
      <c r="F138" s="137">
        <v>3.3099999999999997E-2</v>
      </c>
      <c r="G138" s="202">
        <v>44282</v>
      </c>
      <c r="H138" t="s">
        <v>6500</v>
      </c>
      <c r="I138" s="40" t="s">
        <v>6413</v>
      </c>
      <c r="L138" s="40" t="str">
        <f t="shared" si="3"/>
        <v>USD,20210327,239640,247580,239550,247560,1,1,1</v>
      </c>
    </row>
    <row r="139" spans="1:12">
      <c r="A139" s="268">
        <v>239200</v>
      </c>
      <c r="B139" s="268">
        <v>239100</v>
      </c>
      <c r="C139" s="268">
        <v>240430</v>
      </c>
      <c r="D139" s="268">
        <v>239630</v>
      </c>
      <c r="E139">
        <v>770</v>
      </c>
      <c r="F139" s="137">
        <v>3.2000000000000002E-3</v>
      </c>
      <c r="G139" s="202">
        <v>44273</v>
      </c>
      <c r="H139" t="s">
        <v>6501</v>
      </c>
      <c r="I139" s="40" t="s">
        <v>6413</v>
      </c>
      <c r="L139" s="40" t="str">
        <f t="shared" si="3"/>
        <v>USD,20210318,240410,240430,239550,239630,1,1,1</v>
      </c>
    </row>
    <row r="140" spans="1:12">
      <c r="A140" s="268">
        <v>239200</v>
      </c>
      <c r="B140" s="268">
        <v>239100</v>
      </c>
      <c r="C140" s="268">
        <v>240950</v>
      </c>
      <c r="D140" s="268">
        <v>240400</v>
      </c>
      <c r="E140">
        <v>490</v>
      </c>
      <c r="F140" s="137">
        <v>2E-3</v>
      </c>
      <c r="G140" s="202">
        <v>44272</v>
      </c>
      <c r="H140" t="s">
        <v>6502</v>
      </c>
      <c r="I140" s="40" t="s">
        <v>6413</v>
      </c>
      <c r="L140" s="40" t="str">
        <f t="shared" si="3"/>
        <v>USD,20210317,240920,240950,240320,240400,1,1,1</v>
      </c>
    </row>
    <row r="141" spans="1:12">
      <c r="A141" s="268">
        <v>241810</v>
      </c>
      <c r="B141" s="268">
        <v>239100</v>
      </c>
      <c r="C141" s="268">
        <v>241380</v>
      </c>
      <c r="D141" s="268">
        <v>240890</v>
      </c>
      <c r="E141">
        <v>1720</v>
      </c>
      <c r="F141" s="137">
        <v>7.1999999999999998E-3</v>
      </c>
      <c r="G141" s="202">
        <v>44271</v>
      </c>
      <c r="H141" t="s">
        <v>6173</v>
      </c>
      <c r="I141" s="40" t="s">
        <v>6413</v>
      </c>
      <c r="L141" s="40" t="str">
        <f t="shared" si="3"/>
        <v>USD,20210316,239200,241380,239100,240890,1,1,1</v>
      </c>
    </row>
    <row r="142" spans="1:12">
      <c r="A142" s="268">
        <v>242400</v>
      </c>
      <c r="B142" s="268">
        <v>241770</v>
      </c>
      <c r="C142" s="268">
        <v>239210</v>
      </c>
      <c r="D142" s="268">
        <v>239170</v>
      </c>
      <c r="E142" t="s">
        <v>6412</v>
      </c>
      <c r="F142" t="s">
        <v>6412</v>
      </c>
      <c r="G142" s="202">
        <v>44270</v>
      </c>
      <c r="H142" t="s">
        <v>6176</v>
      </c>
      <c r="I142" s="40" t="s">
        <v>6413</v>
      </c>
      <c r="L142" s="40" t="str">
        <f t="shared" si="3"/>
        <v>USD,20210315,239200,239210,239100,239170,1,1,1</v>
      </c>
    </row>
    <row r="143" spans="1:12">
      <c r="A143" s="268">
        <v>242100</v>
      </c>
      <c r="B143" s="268">
        <v>241240</v>
      </c>
      <c r="C143" s="268">
        <v>241880</v>
      </c>
      <c r="D143" s="268">
        <v>239170</v>
      </c>
      <c r="E143">
        <v>2600</v>
      </c>
      <c r="F143" s="137">
        <v>1.09E-2</v>
      </c>
      <c r="G143" s="202">
        <v>44269</v>
      </c>
      <c r="H143" t="s">
        <v>6503</v>
      </c>
      <c r="I143" s="40" t="s">
        <v>6413</v>
      </c>
      <c r="L143" s="40" t="str">
        <f t="shared" si="3"/>
        <v>USD,20210314,241810,241880,239100,239170,1,1,1</v>
      </c>
    </row>
    <row r="144" spans="1:12">
      <c r="A144" s="268">
        <v>243240</v>
      </c>
      <c r="B144" s="268">
        <v>241050</v>
      </c>
      <c r="C144" s="268">
        <v>243850</v>
      </c>
      <c r="D144" s="268">
        <v>241770</v>
      </c>
      <c r="E144">
        <v>650</v>
      </c>
      <c r="F144" s="137">
        <v>2.7000000000000001E-3</v>
      </c>
      <c r="G144" s="202">
        <v>44268</v>
      </c>
      <c r="H144" t="s">
        <v>6504</v>
      </c>
      <c r="I144" s="40" t="s">
        <v>6413</v>
      </c>
      <c r="L144" s="40" t="str">
        <f t="shared" si="3"/>
        <v>USD,20210313,242400,243850,241770,241770,1,1,1</v>
      </c>
    </row>
    <row r="145" spans="1:12">
      <c r="A145" s="268">
        <v>239960</v>
      </c>
      <c r="B145" s="268">
        <v>239850</v>
      </c>
      <c r="C145" s="268">
        <v>242710</v>
      </c>
      <c r="D145" s="268">
        <v>242420</v>
      </c>
      <c r="E145">
        <v>350</v>
      </c>
      <c r="F145" s="137">
        <v>1.4E-3</v>
      </c>
      <c r="G145" s="202">
        <v>44265</v>
      </c>
      <c r="H145" t="s">
        <v>6175</v>
      </c>
      <c r="I145" s="40" t="s">
        <v>6413</v>
      </c>
      <c r="L145" s="40" t="str">
        <f t="shared" si="3"/>
        <v>USD,20210310,242100,242710,241240,242420,1,1,1</v>
      </c>
    </row>
    <row r="146" spans="1:12">
      <c r="A146" s="268">
        <v>242800</v>
      </c>
      <c r="B146" s="268">
        <v>239850</v>
      </c>
      <c r="C146" s="268">
        <v>244280</v>
      </c>
      <c r="D146" s="268">
        <v>242070</v>
      </c>
      <c r="E146">
        <v>1140</v>
      </c>
      <c r="F146" s="137">
        <v>4.7000000000000002E-3</v>
      </c>
      <c r="G146" s="202">
        <v>44264</v>
      </c>
      <c r="H146" t="s">
        <v>6298</v>
      </c>
      <c r="I146" s="40" t="s">
        <v>6413</v>
      </c>
      <c r="L146" s="40" t="str">
        <f t="shared" si="3"/>
        <v>USD,20210309,243240,244280,241050,242070,1,1,1</v>
      </c>
    </row>
    <row r="147" spans="1:12">
      <c r="A147" s="268">
        <v>246580</v>
      </c>
      <c r="B147" s="268">
        <v>242700</v>
      </c>
      <c r="C147" s="268">
        <v>244610</v>
      </c>
      <c r="D147" s="268">
        <v>243210</v>
      </c>
      <c r="E147">
        <v>3310</v>
      </c>
      <c r="F147" s="137">
        <v>1.38E-2</v>
      </c>
      <c r="G147" s="202">
        <v>44263</v>
      </c>
      <c r="H147" t="s">
        <v>6505</v>
      </c>
      <c r="I147" s="40" t="s">
        <v>6413</v>
      </c>
      <c r="L147" s="40" t="str">
        <f t="shared" si="3"/>
        <v>USD,20210308,239960,244610,239850,243210,1,1,1</v>
      </c>
    </row>
    <row r="148" spans="1:12">
      <c r="A148" s="268">
        <v>246700</v>
      </c>
      <c r="B148" s="268">
        <v>246530</v>
      </c>
      <c r="C148" s="268">
        <v>242810</v>
      </c>
      <c r="D148" s="268">
        <v>239900</v>
      </c>
      <c r="E148">
        <v>2810</v>
      </c>
      <c r="F148" s="137">
        <v>1.17E-2</v>
      </c>
      <c r="G148" s="202">
        <v>44262</v>
      </c>
      <c r="H148" t="s">
        <v>6506</v>
      </c>
      <c r="I148" s="40" t="s">
        <v>6413</v>
      </c>
      <c r="L148" s="40" t="str">
        <f t="shared" si="3"/>
        <v>USD,20210307,242800,242810,239850,239900,1,1,1</v>
      </c>
    </row>
    <row r="149" spans="1:12">
      <c r="A149" s="268">
        <v>244330</v>
      </c>
      <c r="B149" s="268">
        <v>244330</v>
      </c>
      <c r="C149" s="268">
        <v>246770</v>
      </c>
      <c r="D149" s="268">
        <v>242710</v>
      </c>
      <c r="E149">
        <v>3900</v>
      </c>
      <c r="F149" s="137">
        <v>1.61E-2</v>
      </c>
      <c r="G149" s="202">
        <v>44261</v>
      </c>
      <c r="H149" t="s">
        <v>6507</v>
      </c>
      <c r="I149" s="40" t="s">
        <v>6413</v>
      </c>
      <c r="L149" s="40" t="str">
        <f t="shared" si="3"/>
        <v>USD,20210306,246580,246770,242700,242710,1,1,1</v>
      </c>
    </row>
    <row r="150" spans="1:12">
      <c r="A150" s="268">
        <v>247580</v>
      </c>
      <c r="B150" s="268">
        <v>244280</v>
      </c>
      <c r="C150" s="268">
        <v>246790</v>
      </c>
      <c r="D150" s="268">
        <v>246610</v>
      </c>
      <c r="E150">
        <v>70</v>
      </c>
      <c r="F150" s="137">
        <v>2.9999999999999997E-4</v>
      </c>
      <c r="G150" s="202">
        <v>44259</v>
      </c>
      <c r="H150" t="s">
        <v>6508</v>
      </c>
      <c r="I150" s="40" t="s">
        <v>6413</v>
      </c>
      <c r="L150" s="40" t="str">
        <f t="shared" si="3"/>
        <v>USD,20210304,246700,246790,246530,246610,1,1,1</v>
      </c>
    </row>
    <row r="151" spans="1:12">
      <c r="A151" s="268">
        <v>247030</v>
      </c>
      <c r="B151" s="268">
        <v>246960</v>
      </c>
      <c r="C151" s="268">
        <v>247910</v>
      </c>
      <c r="D151" s="268">
        <v>246680</v>
      </c>
      <c r="E151">
        <v>2310</v>
      </c>
      <c r="F151" s="137">
        <v>9.4999999999999998E-3</v>
      </c>
      <c r="G151" s="202">
        <v>44258</v>
      </c>
      <c r="H151" t="s">
        <v>6509</v>
      </c>
      <c r="I151" s="40" t="s">
        <v>6413</v>
      </c>
      <c r="L151" s="40" t="str">
        <f t="shared" si="3"/>
        <v>USD,20210303,244330,247910,244330,246680,1,1,1</v>
      </c>
    </row>
    <row r="152" spans="1:12">
      <c r="A152" s="268">
        <v>252430</v>
      </c>
      <c r="B152" s="268">
        <v>246960</v>
      </c>
      <c r="C152" s="268">
        <v>247590</v>
      </c>
      <c r="D152" s="268">
        <v>244370</v>
      </c>
      <c r="E152">
        <v>3110</v>
      </c>
      <c r="F152" s="137">
        <v>1.2699999999999999E-2</v>
      </c>
      <c r="G152" s="202">
        <v>44257</v>
      </c>
      <c r="H152" t="s">
        <v>6510</v>
      </c>
      <c r="I152" s="40" t="s">
        <v>6413</v>
      </c>
      <c r="L152" s="40" t="str">
        <f t="shared" si="3"/>
        <v>USD,20210302,247580,247590,244280,244370,1,1,1</v>
      </c>
    </row>
    <row r="153" spans="1:12">
      <c r="A153" s="268">
        <v>248150</v>
      </c>
      <c r="B153" s="268">
        <v>248110</v>
      </c>
      <c r="C153" s="268">
        <v>249500</v>
      </c>
      <c r="D153" s="268">
        <v>247480</v>
      </c>
      <c r="E153">
        <v>430</v>
      </c>
      <c r="F153" s="137">
        <v>1.6999999999999999E-3</v>
      </c>
      <c r="G153" s="202">
        <v>44256</v>
      </c>
      <c r="H153" t="s">
        <v>6511</v>
      </c>
      <c r="I153" s="40" t="s">
        <v>6413</v>
      </c>
      <c r="L153" s="40" t="str">
        <f t="shared" si="3"/>
        <v>USD,20210301,247030,249500,246960,247480,1,1,1</v>
      </c>
    </row>
    <row r="154" spans="1:12">
      <c r="A154" s="268">
        <v>246510</v>
      </c>
      <c r="B154" s="268">
        <v>246410</v>
      </c>
      <c r="C154" s="268">
        <v>252440</v>
      </c>
      <c r="D154" s="268">
        <v>247050</v>
      </c>
      <c r="E154">
        <v>5350</v>
      </c>
      <c r="F154" s="137">
        <v>2.1700000000000001E-2</v>
      </c>
      <c r="G154" s="202">
        <v>44255</v>
      </c>
      <c r="H154" t="s">
        <v>6512</v>
      </c>
      <c r="I154" s="40" t="s">
        <v>6413</v>
      </c>
      <c r="L154" s="40" t="str">
        <f t="shared" si="3"/>
        <v>USD,20210228,252430,252440,246960,247050,1,1,1</v>
      </c>
    </row>
    <row r="155" spans="1:12">
      <c r="A155" s="268">
        <v>241810</v>
      </c>
      <c r="B155" s="268">
        <v>241790</v>
      </c>
      <c r="C155" s="268">
        <v>253720</v>
      </c>
      <c r="D155" s="268">
        <v>252400</v>
      </c>
      <c r="E155">
        <v>4190</v>
      </c>
      <c r="F155" s="137">
        <v>1.6899999999999998E-2</v>
      </c>
      <c r="G155" s="202">
        <v>44254</v>
      </c>
      <c r="H155" t="s">
        <v>6513</v>
      </c>
      <c r="I155" s="40" t="s">
        <v>6413</v>
      </c>
      <c r="L155" s="40" t="str">
        <f t="shared" si="3"/>
        <v>USD,20210227,248150,253720,248110,252400,1,1,1</v>
      </c>
    </row>
    <row r="156" spans="1:12">
      <c r="A156" s="268">
        <v>242510</v>
      </c>
      <c r="B156" s="268">
        <v>241790</v>
      </c>
      <c r="C156" s="268">
        <v>252520</v>
      </c>
      <c r="D156" s="268">
        <v>248210</v>
      </c>
      <c r="E156">
        <v>1790</v>
      </c>
      <c r="F156" s="137">
        <v>7.3000000000000001E-3</v>
      </c>
      <c r="G156" s="202">
        <v>44251</v>
      </c>
      <c r="H156" t="s">
        <v>6514</v>
      </c>
      <c r="I156" s="40" t="s">
        <v>6413</v>
      </c>
      <c r="L156" s="40" t="str">
        <f t="shared" si="3"/>
        <v>USD,20210224,246510,252520,246410,248210,1,1,1</v>
      </c>
    </row>
    <row r="157" spans="1:12">
      <c r="A157" s="268">
        <v>249970</v>
      </c>
      <c r="B157" s="268">
        <v>242400</v>
      </c>
      <c r="C157" s="268">
        <v>246520</v>
      </c>
      <c r="D157" s="268">
        <v>246420</v>
      </c>
      <c r="E157">
        <v>4540</v>
      </c>
      <c r="F157" s="137">
        <v>1.8800000000000001E-2</v>
      </c>
      <c r="G157" s="202">
        <v>44250</v>
      </c>
      <c r="H157" t="s">
        <v>6515</v>
      </c>
      <c r="I157" s="40" t="s">
        <v>6413</v>
      </c>
      <c r="L157" s="40" t="str">
        <f t="shared" si="3"/>
        <v>USD,20210223,241810,246520,241790,246420,1,1,1</v>
      </c>
    </row>
    <row r="158" spans="1:12">
      <c r="A158" s="268">
        <v>251750</v>
      </c>
      <c r="B158" s="268">
        <v>249920</v>
      </c>
      <c r="C158" s="268">
        <v>243750</v>
      </c>
      <c r="D158" s="268">
        <v>241880</v>
      </c>
      <c r="E158">
        <v>650</v>
      </c>
      <c r="F158" s="137">
        <v>2.7000000000000001E-3</v>
      </c>
      <c r="G158" s="202">
        <v>44249</v>
      </c>
      <c r="H158" t="s">
        <v>6516</v>
      </c>
      <c r="I158" s="40" t="s">
        <v>6413</v>
      </c>
      <c r="L158" s="40" t="str">
        <f t="shared" si="3"/>
        <v>USD,20210222,242510,243750,241790,241880,1,1,1</v>
      </c>
    </row>
    <row r="159" spans="1:12">
      <c r="A159" s="268">
        <v>251710</v>
      </c>
      <c r="B159" s="268">
        <v>251640</v>
      </c>
      <c r="C159" s="268">
        <v>250030</v>
      </c>
      <c r="D159" s="268">
        <v>242530</v>
      </c>
      <c r="E159">
        <v>7460</v>
      </c>
      <c r="F159" s="137">
        <v>3.0800000000000001E-2</v>
      </c>
      <c r="G159" s="202">
        <v>44248</v>
      </c>
      <c r="H159" t="s">
        <v>6517</v>
      </c>
      <c r="I159" s="40" t="s">
        <v>6413</v>
      </c>
      <c r="L159" s="40" t="str">
        <f t="shared" si="3"/>
        <v>USD,20210221,249970,250030,242400,242530,1,1,1</v>
      </c>
    </row>
    <row r="160" spans="1:12">
      <c r="A160" s="268">
        <v>249780</v>
      </c>
      <c r="B160" s="268">
        <v>249740</v>
      </c>
      <c r="C160" s="268">
        <v>252250</v>
      </c>
      <c r="D160" s="268">
        <v>249990</v>
      </c>
      <c r="E160">
        <v>1720</v>
      </c>
      <c r="F160" s="137">
        <v>6.8999999999999999E-3</v>
      </c>
      <c r="G160" s="202">
        <v>44247</v>
      </c>
      <c r="H160" t="s">
        <v>6518</v>
      </c>
      <c r="I160" s="40" t="s">
        <v>6413</v>
      </c>
      <c r="L160" s="40" t="str">
        <f t="shared" si="3"/>
        <v>USD,20210220,251750,252250,249920,249990,1,1,1</v>
      </c>
    </row>
    <row r="161" spans="1:12">
      <c r="A161" s="268">
        <v>249820</v>
      </c>
      <c r="B161" s="268">
        <v>249740</v>
      </c>
      <c r="C161" s="268">
        <v>253620</v>
      </c>
      <c r="D161" s="268">
        <v>251710</v>
      </c>
      <c r="E161">
        <v>40</v>
      </c>
      <c r="F161" s="137">
        <v>2.0000000000000001E-4</v>
      </c>
      <c r="G161" s="202">
        <v>44245</v>
      </c>
      <c r="H161" t="s">
        <v>6519</v>
      </c>
      <c r="I161" s="40" t="s">
        <v>6413</v>
      </c>
      <c r="L161" s="40" t="str">
        <f t="shared" si="3"/>
        <v>USD,20210218,251710,253620,251640,251710,1,1,1</v>
      </c>
    </row>
    <row r="162" spans="1:12">
      <c r="A162" s="268">
        <v>249780</v>
      </c>
      <c r="B162" s="268">
        <v>249740</v>
      </c>
      <c r="C162" s="268">
        <v>251850</v>
      </c>
      <c r="D162" s="268">
        <v>251750</v>
      </c>
      <c r="E162">
        <v>2010</v>
      </c>
      <c r="F162" s="137">
        <v>8.0000000000000002E-3</v>
      </c>
      <c r="G162" s="202">
        <v>44244</v>
      </c>
      <c r="H162" t="s">
        <v>6520</v>
      </c>
      <c r="I162" s="40" t="s">
        <v>6413</v>
      </c>
      <c r="L162" s="40" t="str">
        <f t="shared" si="3"/>
        <v>USD,20210217,249780,251850,249740,251750,1,1,1</v>
      </c>
    </row>
    <row r="163" spans="1:12">
      <c r="A163" s="268">
        <v>249830</v>
      </c>
      <c r="B163" s="268">
        <v>249740</v>
      </c>
      <c r="C163" s="268">
        <v>249850</v>
      </c>
      <c r="D163" s="268">
        <v>249740</v>
      </c>
      <c r="E163" t="s">
        <v>6412</v>
      </c>
      <c r="F163" t="s">
        <v>6412</v>
      </c>
      <c r="G163" s="202">
        <v>44243</v>
      </c>
      <c r="H163" t="s">
        <v>6521</v>
      </c>
      <c r="I163" s="40" t="s">
        <v>6413</v>
      </c>
      <c r="L163" s="40" t="str">
        <f t="shared" si="3"/>
        <v>USD,20210216,249820,249850,249740,249740,1,1,1</v>
      </c>
    </row>
    <row r="164" spans="1:12">
      <c r="A164" s="268">
        <v>247040</v>
      </c>
      <c r="B164" s="268">
        <v>246940</v>
      </c>
      <c r="C164" s="268">
        <v>249850</v>
      </c>
      <c r="D164" s="268">
        <v>249740</v>
      </c>
      <c r="E164">
        <v>30</v>
      </c>
      <c r="F164" s="137">
        <v>1E-4</v>
      </c>
      <c r="G164" s="202">
        <v>44242</v>
      </c>
      <c r="H164" t="s">
        <v>6522</v>
      </c>
      <c r="I164" s="40" t="s">
        <v>6413</v>
      </c>
      <c r="L164" s="40" t="str">
        <f t="shared" si="3"/>
        <v>USD,20210215,249780,249850,249740,249740,1,1,1</v>
      </c>
    </row>
    <row r="165" spans="1:12">
      <c r="A165" s="268">
        <v>245960</v>
      </c>
      <c r="B165" s="268">
        <v>245940</v>
      </c>
      <c r="C165" s="268">
        <v>249850</v>
      </c>
      <c r="D165" s="268">
        <v>249770</v>
      </c>
      <c r="E165">
        <v>40</v>
      </c>
      <c r="F165" s="137">
        <v>2.0000000000000001E-4</v>
      </c>
      <c r="G165" s="202">
        <v>44241</v>
      </c>
      <c r="H165" t="s">
        <v>6523</v>
      </c>
      <c r="I165" s="40" t="s">
        <v>6413</v>
      </c>
      <c r="L165" s="40" t="str">
        <f t="shared" si="3"/>
        <v>USD,20210214,249830,249850,249740,249770,1,1,1</v>
      </c>
    </row>
    <row r="166" spans="1:12">
      <c r="A166" s="268">
        <v>238970</v>
      </c>
      <c r="B166" s="268">
        <v>238940</v>
      </c>
      <c r="C166" s="268">
        <v>249850</v>
      </c>
      <c r="D166" s="268">
        <v>249810</v>
      </c>
      <c r="E166">
        <v>2850</v>
      </c>
      <c r="F166" s="137">
        <v>1.15E-2</v>
      </c>
      <c r="G166" s="202">
        <v>44240</v>
      </c>
      <c r="H166" t="s">
        <v>6524</v>
      </c>
      <c r="I166" s="40" t="s">
        <v>6413</v>
      </c>
      <c r="L166" s="40" t="str">
        <f t="shared" si="3"/>
        <v>USD,20210213,247040,249850,246940,249810,1,1,1</v>
      </c>
    </row>
    <row r="167" spans="1:12">
      <c r="A167" s="268">
        <v>237050</v>
      </c>
      <c r="B167" s="268">
        <v>236940</v>
      </c>
      <c r="C167" s="268">
        <v>247050</v>
      </c>
      <c r="D167" s="268">
        <v>246960</v>
      </c>
      <c r="E167">
        <v>5930</v>
      </c>
      <c r="F167" s="137">
        <v>2.46E-2</v>
      </c>
      <c r="G167" s="202">
        <v>44238</v>
      </c>
      <c r="H167" t="s">
        <v>6525</v>
      </c>
      <c r="I167" s="40" t="s">
        <v>6413</v>
      </c>
      <c r="L167" s="40" t="str">
        <f t="shared" si="3"/>
        <v>USD,20210211,245960,247050,245940,246960,1,1,1</v>
      </c>
    </row>
    <row r="168" spans="1:12">
      <c r="A168" s="268">
        <v>237490</v>
      </c>
      <c r="B168" s="268">
        <v>236940</v>
      </c>
      <c r="C168" s="268">
        <v>241050</v>
      </c>
      <c r="D168" s="268">
        <v>241030</v>
      </c>
      <c r="E168">
        <v>4090</v>
      </c>
      <c r="F168" s="137">
        <v>1.7299999999999999E-2</v>
      </c>
      <c r="G168" s="202">
        <v>44236</v>
      </c>
      <c r="H168" t="s">
        <v>6526</v>
      </c>
      <c r="I168" s="40" t="s">
        <v>6413</v>
      </c>
      <c r="L168" s="40" t="str">
        <f t="shared" si="3"/>
        <v>USD,20210209,238970,241050,238940,241030,1,1,1</v>
      </c>
    </row>
    <row r="169" spans="1:12">
      <c r="A169" s="268">
        <v>237520</v>
      </c>
      <c r="B169" s="268">
        <v>237440</v>
      </c>
      <c r="C169" s="268">
        <v>237050</v>
      </c>
      <c r="D169" s="268">
        <v>236940</v>
      </c>
      <c r="E169">
        <v>20</v>
      </c>
      <c r="F169" s="137">
        <v>1E-4</v>
      </c>
      <c r="G169" s="202">
        <v>44235</v>
      </c>
      <c r="H169" t="s">
        <v>6527</v>
      </c>
      <c r="I169" s="40" t="s">
        <v>6413</v>
      </c>
      <c r="L169" s="40" t="str">
        <f t="shared" si="3"/>
        <v>USD,20210208,237050,237050,236940,236940,1,1,1</v>
      </c>
    </row>
    <row r="170" spans="1:12">
      <c r="A170" s="268">
        <v>237500</v>
      </c>
      <c r="B170" s="268">
        <v>237440</v>
      </c>
      <c r="C170" s="268">
        <v>237550</v>
      </c>
      <c r="D170" s="268">
        <v>236960</v>
      </c>
      <c r="E170">
        <v>590</v>
      </c>
      <c r="F170" s="137">
        <v>2.5000000000000001E-3</v>
      </c>
      <c r="G170" s="202">
        <v>44234</v>
      </c>
      <c r="H170" t="s">
        <v>6528</v>
      </c>
      <c r="I170" s="40" t="s">
        <v>6413</v>
      </c>
      <c r="L170" s="40" t="str">
        <f t="shared" si="3"/>
        <v>USD,20210207,237490,237550,236940,236960,1,1,1</v>
      </c>
    </row>
    <row r="171" spans="1:12">
      <c r="A171" s="268">
        <v>238680</v>
      </c>
      <c r="B171" s="268">
        <v>237640</v>
      </c>
      <c r="C171" s="268">
        <v>237550</v>
      </c>
      <c r="D171" s="268">
        <v>237550</v>
      </c>
      <c r="E171">
        <v>80</v>
      </c>
      <c r="F171" s="137">
        <v>2.9999999999999997E-4</v>
      </c>
      <c r="G171" s="202">
        <v>44233</v>
      </c>
      <c r="H171" t="s">
        <v>6529</v>
      </c>
      <c r="I171" s="40" t="s">
        <v>6413</v>
      </c>
      <c r="L171" s="40" t="str">
        <f t="shared" si="3"/>
        <v>USD,20210206,237520,237550,237440,237550,1,1,1</v>
      </c>
    </row>
    <row r="172" spans="1:12">
      <c r="A172" s="268">
        <v>238650</v>
      </c>
      <c r="B172" s="268">
        <v>238640</v>
      </c>
      <c r="C172" s="268">
        <v>237550</v>
      </c>
      <c r="D172" s="268">
        <v>237470</v>
      </c>
      <c r="E172">
        <v>190</v>
      </c>
      <c r="F172" s="137">
        <v>8.0000000000000004E-4</v>
      </c>
      <c r="G172" s="202">
        <v>44231</v>
      </c>
      <c r="H172" t="s">
        <v>6530</v>
      </c>
      <c r="I172" s="40" t="s">
        <v>6413</v>
      </c>
      <c r="L172" s="40" t="str">
        <f t="shared" si="3"/>
        <v>USD,20210204,237500,237550,237440,237470,1,1,1</v>
      </c>
    </row>
    <row r="173" spans="1:12">
      <c r="A173" s="268">
        <v>239170</v>
      </c>
      <c r="B173" s="268">
        <v>238640</v>
      </c>
      <c r="C173" s="268">
        <v>238750</v>
      </c>
      <c r="D173" s="268">
        <v>237660</v>
      </c>
      <c r="E173">
        <v>1050</v>
      </c>
      <c r="F173" s="137">
        <v>4.4000000000000003E-3</v>
      </c>
      <c r="G173" s="202">
        <v>44230</v>
      </c>
      <c r="H173" t="s">
        <v>6531</v>
      </c>
      <c r="I173" s="40" t="s">
        <v>6413</v>
      </c>
      <c r="L173" s="40" t="str">
        <f t="shared" si="3"/>
        <v>USD,20210203,238680,238750,237640,237660,1,1,1</v>
      </c>
    </row>
    <row r="174" spans="1:12">
      <c r="A174" s="268">
        <v>237180</v>
      </c>
      <c r="B174" s="268">
        <v>237140</v>
      </c>
      <c r="C174" s="268">
        <v>238750</v>
      </c>
      <c r="D174" s="268">
        <v>238710</v>
      </c>
      <c r="E174">
        <v>10</v>
      </c>
      <c r="F174" t="s">
        <v>6412</v>
      </c>
      <c r="G174" s="202">
        <v>44229</v>
      </c>
      <c r="H174" t="s">
        <v>6532</v>
      </c>
      <c r="I174" s="40" t="s">
        <v>6413</v>
      </c>
      <c r="L174" s="40" t="str">
        <f t="shared" si="3"/>
        <v>USD,20210202,238650,238750,238640,238710,1,1,1</v>
      </c>
    </row>
    <row r="175" spans="1:12">
      <c r="A175" s="268">
        <v>232050</v>
      </c>
      <c r="B175" s="268">
        <v>232040</v>
      </c>
      <c r="C175" s="268">
        <v>239170</v>
      </c>
      <c r="D175" s="268">
        <v>238720</v>
      </c>
      <c r="E175">
        <v>490</v>
      </c>
      <c r="F175" s="137">
        <v>2.0999999999999999E-3</v>
      </c>
      <c r="G175" s="202">
        <v>44228</v>
      </c>
      <c r="H175" t="s">
        <v>6533</v>
      </c>
      <c r="I175" s="40" t="s">
        <v>6413</v>
      </c>
      <c r="L175" s="40" t="str">
        <f t="shared" si="3"/>
        <v>USD,20210201,239170,239170,238640,238720,1,1,1</v>
      </c>
    </row>
    <row r="176" spans="1:12">
      <c r="A176" s="268">
        <v>234070</v>
      </c>
      <c r="B176" s="268">
        <v>232040</v>
      </c>
      <c r="C176" s="268">
        <v>239250</v>
      </c>
      <c r="D176" s="268">
        <v>239210</v>
      </c>
      <c r="E176">
        <v>2040</v>
      </c>
      <c r="F176" s="137">
        <v>8.6E-3</v>
      </c>
      <c r="G176" s="202">
        <v>44227</v>
      </c>
      <c r="H176" t="s">
        <v>6534</v>
      </c>
      <c r="I176" s="40" t="s">
        <v>6413</v>
      </c>
      <c r="L176" s="40" t="str">
        <f t="shared" si="3"/>
        <v>USD,20210131,237180,239250,237140,239210,1,1,1</v>
      </c>
    </row>
    <row r="177" spans="1:12">
      <c r="A177" s="268">
        <v>229150</v>
      </c>
      <c r="B177" s="268">
        <v>229140</v>
      </c>
      <c r="C177" s="268">
        <v>237250</v>
      </c>
      <c r="D177" s="268">
        <v>237170</v>
      </c>
      <c r="E177">
        <v>5060</v>
      </c>
      <c r="F177" s="137">
        <v>2.18E-2</v>
      </c>
      <c r="G177" s="202">
        <v>44226</v>
      </c>
      <c r="H177" t="s">
        <v>6535</v>
      </c>
      <c r="I177" s="40" t="s">
        <v>6413</v>
      </c>
      <c r="L177" s="40" t="str">
        <f t="shared" si="3"/>
        <v>USD,20210130,232050,237250,232040,237170,1,1,1</v>
      </c>
    </row>
    <row r="178" spans="1:12">
      <c r="A178" s="268">
        <v>229720</v>
      </c>
      <c r="B178" s="268">
        <v>229140</v>
      </c>
      <c r="C178" s="268">
        <v>234150</v>
      </c>
      <c r="D178" s="268">
        <v>232110</v>
      </c>
      <c r="E178">
        <v>2020</v>
      </c>
      <c r="F178" s="137">
        <v>8.6999999999999994E-3</v>
      </c>
      <c r="G178" s="202">
        <v>44224</v>
      </c>
      <c r="H178" t="s">
        <v>6536</v>
      </c>
      <c r="I178" s="40" t="s">
        <v>6413</v>
      </c>
      <c r="L178" s="40" t="str">
        <f t="shared" si="3"/>
        <v>USD,20210128,234070,234150,232040,232110,1,1,1</v>
      </c>
    </row>
    <row r="179" spans="1:12">
      <c r="A179" s="268">
        <v>224250</v>
      </c>
      <c r="B179" s="268">
        <v>224240</v>
      </c>
      <c r="C179" s="268">
        <v>234150</v>
      </c>
      <c r="D179" s="268">
        <v>234130</v>
      </c>
      <c r="E179">
        <v>4950</v>
      </c>
      <c r="F179" s="137">
        <v>2.1600000000000001E-2</v>
      </c>
      <c r="G179" s="202">
        <v>44223</v>
      </c>
      <c r="H179" t="s">
        <v>6537</v>
      </c>
      <c r="I179" s="40" t="s">
        <v>6413</v>
      </c>
      <c r="L179" s="40" t="str">
        <f t="shared" si="3"/>
        <v>USD,20210127,229150,234150,229140,234130,1,1,1</v>
      </c>
    </row>
    <row r="180" spans="1:12">
      <c r="A180" s="268">
        <v>224340</v>
      </c>
      <c r="B180" s="268">
        <v>224240</v>
      </c>
      <c r="C180" s="268">
        <v>229750</v>
      </c>
      <c r="D180" s="268">
        <v>229180</v>
      </c>
      <c r="E180">
        <v>480</v>
      </c>
      <c r="F180" s="137">
        <v>2.0999999999999999E-3</v>
      </c>
      <c r="G180" s="202">
        <v>44222</v>
      </c>
      <c r="H180" t="s">
        <v>6538</v>
      </c>
      <c r="I180" s="40" t="s">
        <v>6413</v>
      </c>
      <c r="L180" s="40" t="str">
        <f t="shared" si="3"/>
        <v>USD,20210126,229720,229750,229140,229180,1,1,1</v>
      </c>
    </row>
    <row r="181" spans="1:12">
      <c r="A181" s="268">
        <v>226530</v>
      </c>
      <c r="B181" s="268">
        <v>224240</v>
      </c>
      <c r="C181" s="268">
        <v>229750</v>
      </c>
      <c r="D181" s="268">
        <v>229660</v>
      </c>
      <c r="E181">
        <v>5320</v>
      </c>
      <c r="F181" s="137">
        <v>2.3699999999999999E-2</v>
      </c>
      <c r="G181" s="202">
        <v>44221</v>
      </c>
      <c r="H181" t="s">
        <v>6539</v>
      </c>
      <c r="I181" s="40" t="s">
        <v>6413</v>
      </c>
      <c r="L181" s="40" t="str">
        <f t="shared" si="3"/>
        <v>USD,20210125,224250,229750,224240,229660,1,1,1</v>
      </c>
    </row>
    <row r="182" spans="1:12">
      <c r="A182" s="268">
        <v>226510</v>
      </c>
      <c r="B182" s="268">
        <v>226440</v>
      </c>
      <c r="C182" s="268">
        <v>224350</v>
      </c>
      <c r="D182" s="268">
        <v>224340</v>
      </c>
      <c r="E182">
        <v>20</v>
      </c>
      <c r="F182" s="137">
        <v>1E-4</v>
      </c>
      <c r="G182" s="202">
        <v>44220</v>
      </c>
      <c r="H182" t="s">
        <v>6540</v>
      </c>
      <c r="I182" s="40" t="s">
        <v>6413</v>
      </c>
      <c r="L182" s="40" t="str">
        <f t="shared" si="3"/>
        <v>USD,20210124,224340,224350,224240,224340,1,1,1</v>
      </c>
    </row>
    <row r="183" spans="1:12">
      <c r="A183" s="268">
        <v>217940</v>
      </c>
      <c r="B183" s="268">
        <v>217840</v>
      </c>
      <c r="C183" s="268">
        <v>226530</v>
      </c>
      <c r="D183" s="268">
        <v>224320</v>
      </c>
      <c r="E183">
        <v>2230</v>
      </c>
      <c r="F183" s="137">
        <v>9.9000000000000008E-3</v>
      </c>
      <c r="G183" s="202">
        <v>44219</v>
      </c>
      <c r="H183" t="s">
        <v>6541</v>
      </c>
      <c r="I183" s="40" t="s">
        <v>6413</v>
      </c>
      <c r="L183" s="40" t="str">
        <f t="shared" ref="L183:L246" si="4">CONCATENATE("USD",I183,TEXT(G183,"yyyymmdd"),I183,A181,I183,C183,I183,B181,I183,D183,I183,"1,1,1")</f>
        <v>USD,20210123,226530,226530,224240,224320,1,1,1</v>
      </c>
    </row>
    <row r="184" spans="1:12">
      <c r="A184" s="268">
        <v>215900</v>
      </c>
      <c r="B184" s="268">
        <v>203860</v>
      </c>
      <c r="C184" s="268">
        <v>226550</v>
      </c>
      <c r="D184" s="268">
        <v>226550</v>
      </c>
      <c r="E184">
        <v>970</v>
      </c>
      <c r="F184" s="137">
        <v>4.3E-3</v>
      </c>
      <c r="G184" s="202">
        <v>44217</v>
      </c>
      <c r="H184" t="s">
        <v>6542</v>
      </c>
      <c r="I184" s="40" t="s">
        <v>6413</v>
      </c>
      <c r="L184" s="40" t="str">
        <f t="shared" si="4"/>
        <v>USD,20210121,226510,226550,226440,226550,1,1,1</v>
      </c>
    </row>
    <row r="185" spans="1:12">
      <c r="A185" s="268">
        <v>229550</v>
      </c>
      <c r="B185" s="268">
        <v>217900</v>
      </c>
      <c r="C185" s="268">
        <v>227550</v>
      </c>
      <c r="D185" s="268">
        <v>227520</v>
      </c>
      <c r="E185">
        <v>9570</v>
      </c>
      <c r="F185" s="137">
        <v>4.3900000000000002E-2</v>
      </c>
      <c r="G185" s="202">
        <v>44216</v>
      </c>
      <c r="H185" t="s">
        <v>6543</v>
      </c>
      <c r="I185" s="40" t="s">
        <v>6413</v>
      </c>
      <c r="L185" s="40" t="str">
        <f t="shared" si="4"/>
        <v>USD,20210120,217940,227550,217840,227520,1,1,1</v>
      </c>
    </row>
    <row r="186" spans="1:12">
      <c r="A186" s="268">
        <v>239540</v>
      </c>
      <c r="B186" s="268">
        <v>229440</v>
      </c>
      <c r="C186" s="268">
        <v>217950</v>
      </c>
      <c r="D186" s="268">
        <v>217950</v>
      </c>
      <c r="E186">
        <v>60</v>
      </c>
      <c r="F186" s="137">
        <v>2.9999999999999997E-4</v>
      </c>
      <c r="G186" s="202">
        <v>44215</v>
      </c>
      <c r="H186" t="s">
        <v>6544</v>
      </c>
      <c r="I186" s="40" t="s">
        <v>6413</v>
      </c>
      <c r="L186" s="40" t="str">
        <f t="shared" si="4"/>
        <v>USD,20210119,215900,217950,203860,217950,1,1,1</v>
      </c>
    </row>
    <row r="187" spans="1:12">
      <c r="A187" s="268">
        <v>242870</v>
      </c>
      <c r="B187" s="268">
        <v>239440</v>
      </c>
      <c r="C187" s="268">
        <v>229550</v>
      </c>
      <c r="D187" s="268">
        <v>218010</v>
      </c>
      <c r="E187">
        <v>11460</v>
      </c>
      <c r="F187" s="137">
        <v>5.2600000000000001E-2</v>
      </c>
      <c r="G187" s="202">
        <v>44214</v>
      </c>
      <c r="H187" t="s">
        <v>6545</v>
      </c>
      <c r="I187" s="40" t="s">
        <v>6413</v>
      </c>
      <c r="L187" s="40" t="str">
        <f t="shared" si="4"/>
        <v>USD,20210118,229550,229550,217900,218010,1,1,1</v>
      </c>
    </row>
    <row r="188" spans="1:12">
      <c r="A188" s="268">
        <v>248520</v>
      </c>
      <c r="B188" s="268">
        <v>244940</v>
      </c>
      <c r="C188" s="268">
        <v>239540</v>
      </c>
      <c r="D188" s="268">
        <v>229470</v>
      </c>
      <c r="E188">
        <v>10060</v>
      </c>
      <c r="F188" s="137">
        <v>4.3799999999999999E-2</v>
      </c>
      <c r="G188" s="202">
        <v>44212</v>
      </c>
      <c r="H188" t="s">
        <v>6546</v>
      </c>
      <c r="I188" s="40" t="s">
        <v>6413</v>
      </c>
      <c r="L188" s="40" t="str">
        <f t="shared" si="4"/>
        <v>USD,20210116,239540,239540,229440,229470,1,1,1</v>
      </c>
    </row>
    <row r="189" spans="1:12">
      <c r="A189" s="268">
        <v>248540</v>
      </c>
      <c r="B189" s="268">
        <v>248440</v>
      </c>
      <c r="C189" s="268">
        <v>242950</v>
      </c>
      <c r="D189" s="268">
        <v>239530</v>
      </c>
      <c r="E189">
        <v>5450</v>
      </c>
      <c r="F189" s="137">
        <v>2.2800000000000001E-2</v>
      </c>
      <c r="G189" s="202">
        <v>44210</v>
      </c>
      <c r="H189" t="s">
        <v>6547</v>
      </c>
      <c r="I189" s="40" t="s">
        <v>6413</v>
      </c>
      <c r="L189" s="40" t="str">
        <f t="shared" si="4"/>
        <v>USD,20210114,242870,242950,239440,239530,1,1,1</v>
      </c>
    </row>
    <row r="190" spans="1:12">
      <c r="A190" s="268">
        <v>248450</v>
      </c>
      <c r="B190" s="268">
        <v>248440</v>
      </c>
      <c r="C190" s="268">
        <v>248550</v>
      </c>
      <c r="D190" s="268">
        <v>244980</v>
      </c>
      <c r="E190">
        <v>3460</v>
      </c>
      <c r="F190" s="137">
        <v>1.41E-2</v>
      </c>
      <c r="G190" s="202">
        <v>44209</v>
      </c>
      <c r="H190" t="s">
        <v>6548</v>
      </c>
      <c r="I190" s="40" t="s">
        <v>6413</v>
      </c>
      <c r="L190" s="40" t="str">
        <f t="shared" si="4"/>
        <v>USD,20210113,248520,248550,244940,244980,1,1,1</v>
      </c>
    </row>
    <row r="191" spans="1:12">
      <c r="A191" s="268">
        <v>248690</v>
      </c>
      <c r="B191" s="268">
        <v>245840</v>
      </c>
      <c r="C191" s="268">
        <v>248550</v>
      </c>
      <c r="D191" s="268">
        <v>248440</v>
      </c>
      <c r="E191">
        <v>50</v>
      </c>
      <c r="F191" s="137">
        <v>2.0000000000000001E-4</v>
      </c>
      <c r="G191" s="202">
        <v>44208</v>
      </c>
      <c r="H191" t="s">
        <v>6549</v>
      </c>
      <c r="I191" s="40" t="s">
        <v>6413</v>
      </c>
      <c r="L191" s="40" t="str">
        <f t="shared" si="4"/>
        <v>USD,20210112,248540,248550,248440,248440,1,1,1</v>
      </c>
    </row>
    <row r="192" spans="1:12">
      <c r="A192" s="268">
        <v>255550</v>
      </c>
      <c r="B192" s="268">
        <v>248640</v>
      </c>
      <c r="C192" s="268">
        <v>249550</v>
      </c>
      <c r="D192" s="268">
        <v>248490</v>
      </c>
      <c r="E192">
        <v>30</v>
      </c>
      <c r="F192" s="137">
        <v>1E-4</v>
      </c>
      <c r="G192" s="202">
        <v>44207</v>
      </c>
      <c r="H192" t="s">
        <v>6550</v>
      </c>
      <c r="I192" s="40" t="s">
        <v>6413</v>
      </c>
      <c r="L192" s="40" t="str">
        <f t="shared" si="4"/>
        <v>USD,20210111,248450,249550,248440,248490,1,1,1</v>
      </c>
    </row>
    <row r="193" spans="1:12">
      <c r="A193" s="268">
        <v>257530</v>
      </c>
      <c r="B193" s="268">
        <v>255440</v>
      </c>
      <c r="C193" s="268">
        <v>248690</v>
      </c>
      <c r="D193" s="268">
        <v>248520</v>
      </c>
      <c r="E193">
        <v>140</v>
      </c>
      <c r="F193" s="137">
        <v>5.9999999999999995E-4</v>
      </c>
      <c r="G193" s="202">
        <v>44206</v>
      </c>
      <c r="H193" t="s">
        <v>6551</v>
      </c>
      <c r="I193" s="40" t="s">
        <v>6413</v>
      </c>
      <c r="L193" s="40" t="str">
        <f t="shared" si="4"/>
        <v>USD,20210110,248690,248690,245840,248520,1,1,1</v>
      </c>
    </row>
    <row r="194" spans="1:12">
      <c r="A194" s="268">
        <v>259030</v>
      </c>
      <c r="B194" s="268">
        <v>258440</v>
      </c>
      <c r="C194" s="268">
        <v>255550</v>
      </c>
      <c r="D194" s="268">
        <v>248660</v>
      </c>
      <c r="E194">
        <v>6850</v>
      </c>
      <c r="F194" s="137">
        <v>2.75E-2</v>
      </c>
      <c r="G194" s="202">
        <v>44205</v>
      </c>
      <c r="H194" t="s">
        <v>6552</v>
      </c>
      <c r="I194" s="40" t="s">
        <v>6413</v>
      </c>
      <c r="L194" s="40" t="str">
        <f t="shared" si="4"/>
        <v>USD,20210109,255550,255550,248640,248660,1,1,1</v>
      </c>
    </row>
    <row r="195" spans="1:12">
      <c r="A195" s="268">
        <v>257740</v>
      </c>
      <c r="B195" s="268">
        <v>257640</v>
      </c>
      <c r="C195" s="268">
        <v>257550</v>
      </c>
      <c r="D195" s="268">
        <v>255510</v>
      </c>
      <c r="E195">
        <v>3030</v>
      </c>
      <c r="F195" s="137">
        <v>1.1900000000000001E-2</v>
      </c>
      <c r="G195" s="202">
        <v>44203</v>
      </c>
      <c r="H195" t="s">
        <v>6553</v>
      </c>
      <c r="I195" s="40" t="s">
        <v>6413</v>
      </c>
      <c r="L195" s="40" t="str">
        <f t="shared" si="4"/>
        <v>USD,20210107,257530,257550,255440,255510,1,1,1</v>
      </c>
    </row>
    <row r="196" spans="1:12">
      <c r="A196" s="268">
        <v>255650</v>
      </c>
      <c r="B196" s="268">
        <v>255640</v>
      </c>
      <c r="C196" s="268">
        <v>259050</v>
      </c>
      <c r="D196" s="268">
        <v>258540</v>
      </c>
      <c r="E196">
        <v>480</v>
      </c>
      <c r="F196" s="137">
        <v>1.9E-3</v>
      </c>
      <c r="G196" s="202">
        <v>44202</v>
      </c>
      <c r="H196" t="s">
        <v>6554</v>
      </c>
      <c r="I196" s="40" t="s">
        <v>6413</v>
      </c>
      <c r="L196" s="40" t="str">
        <f t="shared" si="4"/>
        <v>USD,20210106,259030,259050,258440,258540,1,1,1</v>
      </c>
    </row>
    <row r="197" spans="1:12">
      <c r="A197" s="268">
        <v>256160</v>
      </c>
      <c r="B197" s="268">
        <v>255640</v>
      </c>
      <c r="C197" s="268">
        <v>259050</v>
      </c>
      <c r="D197" s="268">
        <v>259020</v>
      </c>
      <c r="E197">
        <v>1380</v>
      </c>
      <c r="F197" s="137">
        <v>5.4000000000000003E-3</v>
      </c>
      <c r="G197" s="202">
        <v>44201</v>
      </c>
      <c r="H197" t="s">
        <v>6555</v>
      </c>
      <c r="I197" s="40" t="s">
        <v>6413</v>
      </c>
      <c r="L197" s="40" t="str">
        <f t="shared" si="4"/>
        <v>USD,20210105,257740,259050,257640,259020,1,1,1</v>
      </c>
    </row>
    <row r="198" spans="1:12">
      <c r="A198" s="268">
        <v>256990</v>
      </c>
      <c r="B198" s="268">
        <v>256140</v>
      </c>
      <c r="C198" s="268">
        <v>257750</v>
      </c>
      <c r="D198" s="268">
        <v>257640</v>
      </c>
      <c r="E198">
        <v>1970</v>
      </c>
      <c r="F198" s="137">
        <v>7.7000000000000002E-3</v>
      </c>
      <c r="G198" s="202">
        <v>44200</v>
      </c>
      <c r="H198" t="s">
        <v>6300</v>
      </c>
      <c r="I198" s="40" t="s">
        <v>6413</v>
      </c>
      <c r="L198" s="40" t="str">
        <f t="shared" si="4"/>
        <v>USD,20210104,255650,257750,255640,257640,1,1,1</v>
      </c>
    </row>
    <row r="199" spans="1:12">
      <c r="A199" s="268">
        <v>257020</v>
      </c>
      <c r="B199" s="268">
        <v>256940</v>
      </c>
      <c r="C199" s="268">
        <v>256250</v>
      </c>
      <c r="D199" s="268">
        <v>255670</v>
      </c>
      <c r="E199">
        <v>520</v>
      </c>
      <c r="F199" s="137">
        <v>2E-3</v>
      </c>
      <c r="G199" s="202">
        <v>44199</v>
      </c>
      <c r="H199" t="s">
        <v>6556</v>
      </c>
      <c r="I199" s="40" t="s">
        <v>6413</v>
      </c>
      <c r="L199" s="40" t="str">
        <f t="shared" si="4"/>
        <v>USD,20210103,256160,256250,255640,255670,1,1,1</v>
      </c>
    </row>
    <row r="200" spans="1:12">
      <c r="A200" s="268">
        <v>256980</v>
      </c>
      <c r="B200" s="268">
        <v>256940</v>
      </c>
      <c r="C200" s="268">
        <v>257050</v>
      </c>
      <c r="D200" s="268">
        <v>256190</v>
      </c>
      <c r="E200">
        <v>820</v>
      </c>
      <c r="F200" s="137">
        <v>3.2000000000000002E-3</v>
      </c>
      <c r="G200" s="202">
        <v>44198</v>
      </c>
      <c r="H200" t="s">
        <v>6557</v>
      </c>
      <c r="I200" s="40" t="s">
        <v>6413</v>
      </c>
      <c r="L200" s="40" t="str">
        <f t="shared" si="4"/>
        <v>USD,20210102,256990,257050,256140,256190,1,1,1</v>
      </c>
    </row>
    <row r="201" spans="1:12">
      <c r="A201" s="268">
        <v>257440</v>
      </c>
      <c r="B201" s="268">
        <v>256940</v>
      </c>
      <c r="C201" s="268">
        <v>257050</v>
      </c>
      <c r="D201" s="268">
        <v>257010</v>
      </c>
      <c r="E201">
        <v>30</v>
      </c>
      <c r="F201" s="137">
        <v>1E-4</v>
      </c>
      <c r="G201" s="202">
        <v>44196</v>
      </c>
      <c r="H201" t="s">
        <v>6558</v>
      </c>
      <c r="I201" s="40" t="s">
        <v>6413</v>
      </c>
      <c r="L201" s="40" t="str">
        <f t="shared" si="4"/>
        <v>USD,20201231,257020,257050,256940,257010,1,1,1</v>
      </c>
    </row>
    <row r="202" spans="1:12">
      <c r="A202" s="268">
        <v>257350</v>
      </c>
      <c r="B202" s="268">
        <v>257340</v>
      </c>
      <c r="C202" s="268">
        <v>257050</v>
      </c>
      <c r="D202" s="268">
        <v>257040</v>
      </c>
      <c r="E202">
        <v>80</v>
      </c>
      <c r="F202" s="137">
        <v>2.9999999999999997E-4</v>
      </c>
      <c r="G202" s="202">
        <v>44195</v>
      </c>
      <c r="H202" t="s">
        <v>6559</v>
      </c>
      <c r="I202" s="40" t="s">
        <v>6413</v>
      </c>
      <c r="L202" s="40" t="str">
        <f t="shared" si="4"/>
        <v>USD,20201230,256980,257050,256940,257040,1,1,1</v>
      </c>
    </row>
    <row r="203" spans="1:12">
      <c r="A203" s="268">
        <v>257120</v>
      </c>
      <c r="B203" s="268">
        <v>256840</v>
      </c>
      <c r="C203" s="268">
        <v>257450</v>
      </c>
      <c r="D203" s="268">
        <v>256960</v>
      </c>
      <c r="E203">
        <v>400</v>
      </c>
      <c r="F203" s="137">
        <v>1.6000000000000001E-3</v>
      </c>
      <c r="G203" s="202">
        <v>44194</v>
      </c>
      <c r="H203" t="s">
        <v>6560</v>
      </c>
      <c r="I203" s="40" t="s">
        <v>6413</v>
      </c>
      <c r="L203" s="40" t="str">
        <f t="shared" si="4"/>
        <v>USD,20201229,257440,257450,256940,256960,1,1,1</v>
      </c>
    </row>
    <row r="204" spans="1:12">
      <c r="A204" s="268">
        <v>258570</v>
      </c>
      <c r="B204" s="268">
        <v>257040</v>
      </c>
      <c r="C204" s="268">
        <v>257450</v>
      </c>
      <c r="D204" s="268">
        <v>257360</v>
      </c>
      <c r="E204">
        <v>70</v>
      </c>
      <c r="F204" s="137">
        <v>2.9999999999999997E-4</v>
      </c>
      <c r="G204" s="202">
        <v>44193</v>
      </c>
      <c r="H204" t="s">
        <v>6561</v>
      </c>
      <c r="I204" s="40" t="s">
        <v>6413</v>
      </c>
      <c r="L204" s="40" t="str">
        <f t="shared" si="4"/>
        <v>USD,20201228,257350,257450,257340,257360,1,1,1</v>
      </c>
    </row>
    <row r="205" spans="1:12">
      <c r="A205" s="268">
        <v>257810</v>
      </c>
      <c r="B205" s="268">
        <v>257740</v>
      </c>
      <c r="C205" s="268">
        <v>257450</v>
      </c>
      <c r="D205" s="268">
        <v>257430</v>
      </c>
      <c r="E205">
        <v>320</v>
      </c>
      <c r="F205" s="137">
        <v>1.1999999999999999E-3</v>
      </c>
      <c r="G205" s="202">
        <v>44192</v>
      </c>
      <c r="H205" t="s">
        <v>6562</v>
      </c>
      <c r="I205" s="40" t="s">
        <v>6413</v>
      </c>
      <c r="L205" s="40" t="str">
        <f t="shared" si="4"/>
        <v>USD,20201227,257120,257450,256840,257430,1,1,1</v>
      </c>
    </row>
    <row r="206" spans="1:12">
      <c r="A206" s="268">
        <v>255250</v>
      </c>
      <c r="B206" s="268">
        <v>255140</v>
      </c>
      <c r="C206" s="268">
        <v>258650</v>
      </c>
      <c r="D206" s="268">
        <v>257110</v>
      </c>
      <c r="E206">
        <v>1510</v>
      </c>
      <c r="F206" s="137">
        <v>5.8999999999999999E-3</v>
      </c>
      <c r="G206" s="202">
        <v>44191</v>
      </c>
      <c r="H206" t="s">
        <v>6563</v>
      </c>
      <c r="I206" s="40" t="s">
        <v>6413</v>
      </c>
      <c r="L206" s="40" t="str">
        <f t="shared" si="4"/>
        <v>USD,20201226,258570,258650,257040,257110,1,1,1</v>
      </c>
    </row>
    <row r="207" spans="1:12">
      <c r="A207" s="268">
        <v>254460</v>
      </c>
      <c r="B207" s="268">
        <v>254440</v>
      </c>
      <c r="C207" s="268">
        <v>262050</v>
      </c>
      <c r="D207" s="268">
        <v>258620</v>
      </c>
      <c r="E207">
        <v>770</v>
      </c>
      <c r="F207" s="137">
        <v>3.0000000000000001E-3</v>
      </c>
      <c r="G207" s="202">
        <v>44189</v>
      </c>
      <c r="H207" t="s">
        <v>6564</v>
      </c>
      <c r="I207" s="40" t="s">
        <v>6413</v>
      </c>
      <c r="L207" s="40" t="str">
        <f t="shared" si="4"/>
        <v>USD,20201224,257810,262050,257740,258620,1,1,1</v>
      </c>
    </row>
    <row r="208" spans="1:12">
      <c r="A208" s="268">
        <v>253940</v>
      </c>
      <c r="B208" s="268">
        <v>252940</v>
      </c>
      <c r="C208" s="268">
        <v>257850</v>
      </c>
      <c r="D208" s="268">
        <v>257850</v>
      </c>
      <c r="E208">
        <v>2690</v>
      </c>
      <c r="F208" s="137">
        <v>1.0500000000000001E-2</v>
      </c>
      <c r="G208" s="202">
        <v>44188</v>
      </c>
      <c r="H208" t="s">
        <v>6565</v>
      </c>
      <c r="I208" s="40" t="s">
        <v>6413</v>
      </c>
      <c r="L208" s="40" t="str">
        <f t="shared" si="4"/>
        <v>USD,20201223,255250,257850,255140,257850,1,1,1</v>
      </c>
    </row>
    <row r="209" spans="1:12">
      <c r="A209" s="268">
        <v>255050</v>
      </c>
      <c r="B209" s="268">
        <v>253940</v>
      </c>
      <c r="C209" s="268">
        <v>255250</v>
      </c>
      <c r="D209" s="268">
        <v>255160</v>
      </c>
      <c r="E209">
        <v>690</v>
      </c>
      <c r="F209" s="137">
        <v>2.7000000000000001E-3</v>
      </c>
      <c r="G209" s="202">
        <v>44187</v>
      </c>
      <c r="H209" t="s">
        <v>6566</v>
      </c>
      <c r="I209" s="40" t="s">
        <v>6413</v>
      </c>
      <c r="L209" s="40" t="str">
        <f t="shared" si="4"/>
        <v>USD,20201222,254460,255250,254440,255160,1,1,1</v>
      </c>
    </row>
    <row r="210" spans="1:12">
      <c r="A210" s="268">
        <v>257440</v>
      </c>
      <c r="B210" s="268">
        <v>254940</v>
      </c>
      <c r="C210" s="268">
        <v>254550</v>
      </c>
      <c r="D210" s="268">
        <v>254470</v>
      </c>
      <c r="E210">
        <v>510</v>
      </c>
      <c r="F210" s="137">
        <v>2E-3</v>
      </c>
      <c r="G210" s="202">
        <v>44186</v>
      </c>
      <c r="H210" t="s">
        <v>6567</v>
      </c>
      <c r="I210" s="40" t="s">
        <v>6413</v>
      </c>
      <c r="L210" s="40" t="str">
        <f t="shared" si="4"/>
        <v>USD,20201221,253940,254550,252940,254470,1,1,1</v>
      </c>
    </row>
    <row r="211" spans="1:12">
      <c r="A211" s="268">
        <v>258040</v>
      </c>
      <c r="B211" s="268">
        <v>257940</v>
      </c>
      <c r="C211" s="268">
        <v>255050</v>
      </c>
      <c r="D211" s="268">
        <v>253960</v>
      </c>
      <c r="E211">
        <v>1030</v>
      </c>
      <c r="F211" s="137">
        <v>4.1000000000000003E-3</v>
      </c>
      <c r="G211" s="202">
        <v>44185</v>
      </c>
      <c r="H211" t="s">
        <v>6174</v>
      </c>
      <c r="I211" s="40" t="s">
        <v>6413</v>
      </c>
      <c r="L211" s="40" t="str">
        <f t="shared" si="4"/>
        <v>USD,20201220,255050,255050,253940,253960,1,1,1</v>
      </c>
    </row>
    <row r="212" spans="1:12">
      <c r="A212" s="268">
        <v>258480</v>
      </c>
      <c r="B212" s="268">
        <v>257940</v>
      </c>
      <c r="C212" s="268">
        <v>257550</v>
      </c>
      <c r="D212" s="268">
        <v>254990</v>
      </c>
      <c r="E212">
        <v>3030</v>
      </c>
      <c r="F212" s="137">
        <v>1.1900000000000001E-2</v>
      </c>
      <c r="G212" s="202">
        <v>44184</v>
      </c>
      <c r="H212" t="s">
        <v>6568</v>
      </c>
      <c r="I212" s="40" t="s">
        <v>6413</v>
      </c>
      <c r="L212" s="40" t="str">
        <f t="shared" si="4"/>
        <v>USD,20201219,257440,257550,254940,254990,1,1,1</v>
      </c>
    </row>
    <row r="213" spans="1:12">
      <c r="A213" s="268">
        <v>256960</v>
      </c>
      <c r="B213" s="268">
        <v>256440</v>
      </c>
      <c r="C213" s="268">
        <v>258050</v>
      </c>
      <c r="D213" s="268">
        <v>258020</v>
      </c>
      <c r="E213">
        <v>10</v>
      </c>
      <c r="F213" t="s">
        <v>6412</v>
      </c>
      <c r="G213" s="202">
        <v>44182</v>
      </c>
      <c r="H213" t="s">
        <v>6569</v>
      </c>
      <c r="I213" s="40" t="s">
        <v>6413</v>
      </c>
      <c r="L213" s="40" t="str">
        <f t="shared" si="4"/>
        <v>USD,20201217,258040,258050,257940,258020,1,1,1</v>
      </c>
    </row>
    <row r="214" spans="1:12">
      <c r="A214" s="268">
        <v>257980</v>
      </c>
      <c r="B214" s="268">
        <v>256940</v>
      </c>
      <c r="C214" s="268">
        <v>259550</v>
      </c>
      <c r="D214" s="268">
        <v>258030</v>
      </c>
      <c r="E214">
        <v>510</v>
      </c>
      <c r="F214" s="137">
        <v>2E-3</v>
      </c>
      <c r="G214" s="202">
        <v>44181</v>
      </c>
      <c r="H214" t="s">
        <v>6570</v>
      </c>
      <c r="I214" s="40" t="s">
        <v>6413</v>
      </c>
      <c r="L214" s="40" t="str">
        <f t="shared" si="4"/>
        <v>USD,20201216,258480,259550,257940,258030,1,1,1</v>
      </c>
    </row>
    <row r="215" spans="1:12">
      <c r="A215" s="268">
        <v>259960</v>
      </c>
      <c r="B215" s="268">
        <v>257940</v>
      </c>
      <c r="C215" s="268">
        <v>258550</v>
      </c>
      <c r="D215" s="268">
        <v>258540</v>
      </c>
      <c r="E215">
        <v>1590</v>
      </c>
      <c r="F215" s="137">
        <v>6.1999999999999998E-3</v>
      </c>
      <c r="G215" s="202">
        <v>44180</v>
      </c>
      <c r="H215" t="s">
        <v>6572</v>
      </c>
      <c r="I215" s="40" t="s">
        <v>6413</v>
      </c>
      <c r="L215" s="40" t="str">
        <f t="shared" si="4"/>
        <v>USD,20201215,256960,258550,256440,258540,1,1,1</v>
      </c>
    </row>
    <row r="216" spans="1:12">
      <c r="A216" s="268">
        <v>260750</v>
      </c>
      <c r="B216" s="268">
        <v>259940</v>
      </c>
      <c r="C216" s="268">
        <v>258050</v>
      </c>
      <c r="D216" s="268">
        <v>256950</v>
      </c>
      <c r="E216">
        <v>1090</v>
      </c>
      <c r="F216" s="137">
        <v>4.1999999999999997E-3</v>
      </c>
      <c r="G216" s="202">
        <v>44179</v>
      </c>
      <c r="H216" t="s">
        <v>6573</v>
      </c>
      <c r="I216" s="40" t="s">
        <v>6413</v>
      </c>
      <c r="L216" s="40" t="str">
        <f t="shared" si="4"/>
        <v>USD,20201214,257980,258050,256940,256950,1,1,1</v>
      </c>
    </row>
    <row r="217" spans="1:12">
      <c r="A217" s="268">
        <v>261250</v>
      </c>
      <c r="B217" s="268">
        <v>260640</v>
      </c>
      <c r="C217" s="268">
        <v>260050</v>
      </c>
      <c r="D217" s="268">
        <v>258040</v>
      </c>
      <c r="E217">
        <v>2010</v>
      </c>
      <c r="F217" s="137">
        <v>7.7999999999999996E-3</v>
      </c>
      <c r="G217" s="202">
        <v>44178</v>
      </c>
      <c r="H217" t="s">
        <v>6574</v>
      </c>
      <c r="I217" s="40" t="s">
        <v>6413</v>
      </c>
      <c r="L217" s="40" t="str">
        <f t="shared" si="4"/>
        <v>USD,20201213,259960,260050,257940,258040,1,1,1</v>
      </c>
    </row>
    <row r="218" spans="1:12">
      <c r="A218" s="268">
        <v>255970</v>
      </c>
      <c r="B218" s="268">
        <v>255940</v>
      </c>
      <c r="C218" s="268">
        <v>260750</v>
      </c>
      <c r="D218" s="268">
        <v>260050</v>
      </c>
      <c r="E218">
        <v>600</v>
      </c>
      <c r="F218" s="137">
        <v>2.3E-3</v>
      </c>
      <c r="G218" s="202">
        <v>44177</v>
      </c>
      <c r="H218" t="s">
        <v>6575</v>
      </c>
      <c r="I218" s="40" t="s">
        <v>6413</v>
      </c>
      <c r="L218" s="40" t="str">
        <f t="shared" si="4"/>
        <v>USD,20201212,260750,260750,259940,260050,1,1,1</v>
      </c>
    </row>
    <row r="219" spans="1:12">
      <c r="A219" s="268">
        <v>255980</v>
      </c>
      <c r="B219" s="268">
        <v>255940</v>
      </c>
      <c r="C219" s="268">
        <v>261250</v>
      </c>
      <c r="D219" s="268">
        <v>260650</v>
      </c>
      <c r="E219">
        <v>880</v>
      </c>
      <c r="F219" s="137">
        <v>3.3999999999999998E-3</v>
      </c>
      <c r="G219" s="202">
        <v>44175</v>
      </c>
      <c r="H219" t="s">
        <v>6576</v>
      </c>
      <c r="I219" s="40" t="s">
        <v>6413</v>
      </c>
      <c r="L219" s="40" t="str">
        <f t="shared" si="4"/>
        <v>USD,20201210,261250,261250,260640,260650,1,1,1</v>
      </c>
    </row>
    <row r="220" spans="1:12">
      <c r="A220" s="268">
        <v>256010</v>
      </c>
      <c r="B220" s="268">
        <v>255940</v>
      </c>
      <c r="C220" s="268">
        <v>259850</v>
      </c>
      <c r="D220" s="268">
        <v>259770</v>
      </c>
      <c r="E220">
        <v>3830</v>
      </c>
      <c r="F220" s="137">
        <v>1.4999999999999999E-2</v>
      </c>
      <c r="G220" s="202">
        <v>44174</v>
      </c>
      <c r="H220" t="s">
        <v>6577</v>
      </c>
      <c r="I220" s="40" t="s">
        <v>6413</v>
      </c>
      <c r="L220" s="40" t="str">
        <f t="shared" si="4"/>
        <v>USD,20201209,255970,259850,255940,259770,1,1,1</v>
      </c>
    </row>
    <row r="221" spans="1:12">
      <c r="A221" s="268">
        <v>256950</v>
      </c>
      <c r="B221" s="268">
        <v>255940</v>
      </c>
      <c r="C221" s="268">
        <v>256050</v>
      </c>
      <c r="D221" s="268">
        <v>255940</v>
      </c>
      <c r="E221">
        <v>10</v>
      </c>
      <c r="F221" t="s">
        <v>6412</v>
      </c>
      <c r="G221" s="202">
        <v>44173</v>
      </c>
      <c r="H221" t="s">
        <v>6578</v>
      </c>
      <c r="I221" s="40" t="s">
        <v>6413</v>
      </c>
      <c r="L221" s="40" t="str">
        <f t="shared" si="4"/>
        <v>USD,20201208,255980,256050,255940,255940,1,1,1</v>
      </c>
    </row>
    <row r="222" spans="1:12">
      <c r="A222" s="268">
        <v>254710</v>
      </c>
      <c r="B222" s="268">
        <v>254670</v>
      </c>
      <c r="C222" s="268">
        <v>256050</v>
      </c>
      <c r="D222" s="268">
        <v>255950</v>
      </c>
      <c r="E222" t="s">
        <v>6412</v>
      </c>
      <c r="F222" t="s">
        <v>6412</v>
      </c>
      <c r="G222" s="202">
        <v>44172</v>
      </c>
      <c r="H222" t="s">
        <v>6579</v>
      </c>
      <c r="I222" s="40" t="s">
        <v>6413</v>
      </c>
      <c r="L222" s="40" t="str">
        <f t="shared" si="4"/>
        <v>USD,20201207,256010,256050,255940,255950,1,1,1</v>
      </c>
    </row>
    <row r="223" spans="1:12">
      <c r="A223" s="268">
        <v>254730</v>
      </c>
      <c r="B223" s="268">
        <v>254640</v>
      </c>
      <c r="C223" s="268">
        <v>257050</v>
      </c>
      <c r="D223" s="268">
        <v>255950</v>
      </c>
      <c r="E223">
        <v>1070</v>
      </c>
      <c r="F223" s="137">
        <v>4.1999999999999997E-3</v>
      </c>
      <c r="G223" s="202">
        <v>44171</v>
      </c>
      <c r="H223" t="s">
        <v>6580</v>
      </c>
      <c r="I223" s="40" t="s">
        <v>6413</v>
      </c>
      <c r="L223" s="40" t="str">
        <f t="shared" si="4"/>
        <v>USD,20201206,256950,257050,255940,255950,1,1,1</v>
      </c>
    </row>
    <row r="224" spans="1:12">
      <c r="A224" s="268">
        <v>256190</v>
      </c>
      <c r="B224" s="268">
        <v>256160</v>
      </c>
      <c r="C224" s="268">
        <v>257050</v>
      </c>
      <c r="D224" s="268">
        <v>257020</v>
      </c>
      <c r="E224">
        <v>2340</v>
      </c>
      <c r="F224" s="137">
        <v>9.1999999999999998E-3</v>
      </c>
      <c r="G224" s="202">
        <v>44170</v>
      </c>
      <c r="H224" t="s">
        <v>6581</v>
      </c>
      <c r="I224" s="40" t="s">
        <v>6413</v>
      </c>
      <c r="L224" s="40" t="str">
        <f t="shared" si="4"/>
        <v>USD,20201205,254710,257050,254670,257020,1,1,1</v>
      </c>
    </row>
    <row r="225" spans="1:12">
      <c r="A225" s="268">
        <v>250070</v>
      </c>
      <c r="B225" s="268">
        <v>245160</v>
      </c>
      <c r="C225" s="268">
        <v>254770</v>
      </c>
      <c r="D225" s="268">
        <v>254680</v>
      </c>
      <c r="E225">
        <v>1550</v>
      </c>
      <c r="F225" s="137">
        <v>6.1000000000000004E-3</v>
      </c>
      <c r="G225" s="202">
        <v>44168</v>
      </c>
      <c r="H225" t="s">
        <v>6582</v>
      </c>
      <c r="I225" s="40" t="s">
        <v>6413</v>
      </c>
      <c r="L225" s="40" t="str">
        <f t="shared" si="4"/>
        <v>USD,20201203,254730,254770,254640,254680,1,1,1</v>
      </c>
    </row>
    <row r="226" spans="1:12">
      <c r="A226" s="268">
        <v>245490</v>
      </c>
      <c r="B226" s="268">
        <v>245460</v>
      </c>
      <c r="C226" s="268">
        <v>256270</v>
      </c>
      <c r="D226" s="268">
        <v>256230</v>
      </c>
      <c r="E226">
        <v>70</v>
      </c>
      <c r="F226" s="137">
        <v>2.9999999999999997E-4</v>
      </c>
      <c r="G226" s="202">
        <v>44167</v>
      </c>
      <c r="H226" t="s">
        <v>6583</v>
      </c>
      <c r="I226" s="40" t="s">
        <v>6413</v>
      </c>
      <c r="L226" s="40" t="str">
        <f t="shared" si="4"/>
        <v>USD,20201202,256190,256270,256160,256230,1,1,1</v>
      </c>
    </row>
    <row r="227" spans="1:12">
      <c r="A227" s="268">
        <v>247560</v>
      </c>
      <c r="B227" s="268">
        <v>243950</v>
      </c>
      <c r="C227" s="268">
        <v>256270</v>
      </c>
      <c r="D227" s="268">
        <v>256160</v>
      </c>
      <c r="E227">
        <v>6130</v>
      </c>
      <c r="F227" s="137">
        <v>2.4500000000000001E-2</v>
      </c>
      <c r="G227" s="202">
        <v>44166</v>
      </c>
      <c r="H227" t="s">
        <v>6584</v>
      </c>
      <c r="I227" s="40" t="s">
        <v>6413</v>
      </c>
      <c r="L227" s="40" t="str">
        <f t="shared" si="4"/>
        <v>USD,20201201,250070,256270,245160,256160,1,1,1</v>
      </c>
    </row>
    <row r="228" spans="1:12">
      <c r="A228" s="268">
        <v>247560</v>
      </c>
      <c r="B228" s="268">
        <v>247460</v>
      </c>
      <c r="C228" s="268">
        <v>253050</v>
      </c>
      <c r="D228" s="268">
        <v>250030</v>
      </c>
      <c r="E228">
        <v>4520</v>
      </c>
      <c r="F228" s="137">
        <v>1.84E-2</v>
      </c>
      <c r="G228" s="202">
        <v>44165</v>
      </c>
      <c r="H228" t="s">
        <v>6585</v>
      </c>
      <c r="I228" s="40" t="s">
        <v>6413</v>
      </c>
      <c r="L228" s="40" t="str">
        <f t="shared" si="4"/>
        <v>USD,20201130,245490,253050,245460,250030,1,1,1</v>
      </c>
    </row>
    <row r="229" spans="1:12">
      <c r="A229" s="268">
        <v>248500</v>
      </c>
      <c r="B229" s="268">
        <v>247460</v>
      </c>
      <c r="C229" s="268">
        <v>247570</v>
      </c>
      <c r="D229" s="268">
        <v>245510</v>
      </c>
      <c r="E229">
        <v>2020</v>
      </c>
      <c r="F229" s="137">
        <v>8.2000000000000007E-3</v>
      </c>
      <c r="G229" s="202">
        <v>44164</v>
      </c>
      <c r="H229" t="s">
        <v>6586</v>
      </c>
      <c r="I229" s="40" t="s">
        <v>6413</v>
      </c>
      <c r="L229" s="40" t="str">
        <f t="shared" si="4"/>
        <v>USD,20201129,247560,247570,243950,245510,1,1,1</v>
      </c>
    </row>
    <row r="230" spans="1:12">
      <c r="A230" s="268">
        <v>250490</v>
      </c>
      <c r="B230" s="268">
        <v>249500</v>
      </c>
      <c r="C230" s="268">
        <v>247570</v>
      </c>
      <c r="D230" s="268">
        <v>247530</v>
      </c>
      <c r="E230">
        <v>40</v>
      </c>
      <c r="F230" s="137">
        <v>2.0000000000000001E-4</v>
      </c>
      <c r="G230" s="202">
        <v>44163</v>
      </c>
      <c r="H230" t="s">
        <v>6587</v>
      </c>
      <c r="I230" s="40" t="s">
        <v>6413</v>
      </c>
      <c r="L230" s="40" t="str">
        <f t="shared" si="4"/>
        <v>USD,20201128,247560,247570,247460,247530,1,1,1</v>
      </c>
    </row>
    <row r="231" spans="1:12">
      <c r="A231" s="268">
        <v>255470</v>
      </c>
      <c r="B231" s="268">
        <v>250450</v>
      </c>
      <c r="C231" s="268">
        <v>248570</v>
      </c>
      <c r="D231" s="268">
        <v>247570</v>
      </c>
      <c r="E231">
        <v>1930</v>
      </c>
      <c r="F231" s="137">
        <v>7.7999999999999996E-3</v>
      </c>
      <c r="G231" s="202">
        <v>44161</v>
      </c>
      <c r="H231" t="s">
        <v>6588</v>
      </c>
      <c r="I231" s="40" t="s">
        <v>6413</v>
      </c>
      <c r="L231" s="40" t="str">
        <f t="shared" si="4"/>
        <v>USD,20201126,248500,248570,247460,247570,1,1,1</v>
      </c>
    </row>
    <row r="232" spans="1:12">
      <c r="A232" s="268">
        <v>256030</v>
      </c>
      <c r="B232" s="268">
        <v>255450</v>
      </c>
      <c r="C232" s="268">
        <v>250570</v>
      </c>
      <c r="D232" s="268">
        <v>249500</v>
      </c>
      <c r="E232">
        <v>960</v>
      </c>
      <c r="F232" s="137">
        <v>3.8E-3</v>
      </c>
      <c r="G232" s="202">
        <v>44160</v>
      </c>
      <c r="H232" t="s">
        <v>6589</v>
      </c>
      <c r="I232" s="40" t="s">
        <v>6413</v>
      </c>
      <c r="L232" s="40" t="str">
        <f t="shared" si="4"/>
        <v>USD,20201125,250490,250570,249500,249500,1,1,1</v>
      </c>
    </row>
    <row r="233" spans="1:12">
      <c r="A233" s="268">
        <v>258470</v>
      </c>
      <c r="B233" s="268">
        <v>254450</v>
      </c>
      <c r="C233" s="268">
        <v>255560</v>
      </c>
      <c r="D233" s="268">
        <v>250460</v>
      </c>
      <c r="E233">
        <v>4990</v>
      </c>
      <c r="F233" s="137">
        <v>1.9900000000000001E-2</v>
      </c>
      <c r="G233" s="202">
        <v>44159</v>
      </c>
      <c r="H233" t="s">
        <v>6590</v>
      </c>
      <c r="I233" s="40" t="s">
        <v>6413</v>
      </c>
      <c r="L233" s="40" t="str">
        <f t="shared" si="4"/>
        <v>USD,20201124,255470,255560,250450,250460,1,1,1</v>
      </c>
    </row>
    <row r="234" spans="1:12">
      <c r="A234" s="268">
        <v>256250</v>
      </c>
      <c r="B234" s="268">
        <v>256150</v>
      </c>
      <c r="C234" s="268">
        <v>256060</v>
      </c>
      <c r="D234" s="268">
        <v>255450</v>
      </c>
      <c r="E234">
        <v>920</v>
      </c>
      <c r="F234" s="137">
        <v>3.5999999999999999E-3</v>
      </c>
      <c r="G234" s="202">
        <v>44158</v>
      </c>
      <c r="H234" t="s">
        <v>6591</v>
      </c>
      <c r="I234" s="40" t="s">
        <v>6413</v>
      </c>
      <c r="L234" s="40" t="str">
        <f t="shared" si="4"/>
        <v>USD,20201123,256030,256060,255450,255450,1,1,1</v>
      </c>
    </row>
    <row r="235" spans="1:12">
      <c r="A235" s="268">
        <v>256170</v>
      </c>
      <c r="B235" s="268">
        <v>256150</v>
      </c>
      <c r="C235" s="268">
        <v>258560</v>
      </c>
      <c r="D235" s="268">
        <v>254530</v>
      </c>
      <c r="E235">
        <v>5020</v>
      </c>
      <c r="F235" s="137">
        <v>1.9699999999999999E-2</v>
      </c>
      <c r="G235" s="202">
        <v>44157</v>
      </c>
      <c r="H235" t="s">
        <v>6571</v>
      </c>
      <c r="I235" s="40" t="s">
        <v>6413</v>
      </c>
      <c r="L235" s="40" t="str">
        <f t="shared" si="4"/>
        <v>USD,20201122,258470,258560,254450,254530,1,1,1</v>
      </c>
    </row>
    <row r="236" spans="1:12">
      <c r="A236" s="268">
        <v>259020</v>
      </c>
      <c r="B236" s="268">
        <v>256150</v>
      </c>
      <c r="C236" s="268">
        <v>260560</v>
      </c>
      <c r="D236" s="268">
        <v>259550</v>
      </c>
      <c r="E236">
        <v>3350</v>
      </c>
      <c r="F236" s="137">
        <v>1.3100000000000001E-2</v>
      </c>
      <c r="G236" s="202">
        <v>44156</v>
      </c>
      <c r="H236" t="s">
        <v>6592</v>
      </c>
      <c r="I236" s="40" t="s">
        <v>6413</v>
      </c>
      <c r="L236" s="40" t="str">
        <f t="shared" si="4"/>
        <v>USD,20201121,256250,260560,256150,259550,1,1,1</v>
      </c>
    </row>
    <row r="237" spans="1:12">
      <c r="A237" s="268">
        <v>258960</v>
      </c>
      <c r="B237" s="268">
        <v>258950</v>
      </c>
      <c r="C237" s="268">
        <v>256260</v>
      </c>
      <c r="D237" s="268">
        <v>256200</v>
      </c>
      <c r="E237">
        <v>20</v>
      </c>
      <c r="F237" s="137">
        <v>1E-4</v>
      </c>
      <c r="G237" s="202">
        <v>44154</v>
      </c>
      <c r="H237" t="s">
        <v>6593</v>
      </c>
      <c r="I237" s="40" t="s">
        <v>6413</v>
      </c>
      <c r="L237" s="40" t="str">
        <f t="shared" si="4"/>
        <v>USD,20201119,256170,256260,256150,256200,1,1,1</v>
      </c>
    </row>
    <row r="238" spans="1:12">
      <c r="A238" s="268">
        <v>260020</v>
      </c>
      <c r="B238" s="268">
        <v>258950</v>
      </c>
      <c r="C238" s="268">
        <v>259020</v>
      </c>
      <c r="D238" s="268">
        <v>256220</v>
      </c>
      <c r="E238">
        <v>2750</v>
      </c>
      <c r="F238" s="137">
        <v>1.0699999999999999E-2</v>
      </c>
      <c r="G238" s="202">
        <v>44153</v>
      </c>
      <c r="H238" t="s">
        <v>6594</v>
      </c>
      <c r="I238" s="40" t="s">
        <v>6413</v>
      </c>
      <c r="L238" s="40" t="str">
        <f t="shared" si="4"/>
        <v>USD,20201118,259020,259020,256150,256220,1,1,1</v>
      </c>
    </row>
    <row r="239" spans="1:12">
      <c r="A239" s="268">
        <v>267480</v>
      </c>
      <c r="B239" s="268">
        <v>259950</v>
      </c>
      <c r="C239" s="268">
        <v>262060</v>
      </c>
      <c r="D239" s="268">
        <v>258970</v>
      </c>
      <c r="E239">
        <v>10</v>
      </c>
      <c r="F239" t="s">
        <v>6412</v>
      </c>
      <c r="G239" s="202">
        <v>44152</v>
      </c>
      <c r="H239" t="s">
        <v>6595</v>
      </c>
      <c r="I239" s="40" t="s">
        <v>6413</v>
      </c>
      <c r="L239" s="40" t="str">
        <f t="shared" si="4"/>
        <v>USD,20201117,258960,262060,258950,258970,1,1,1</v>
      </c>
    </row>
    <row r="240" spans="1:12">
      <c r="A240" s="268">
        <v>268550</v>
      </c>
      <c r="B240" s="268">
        <v>267450</v>
      </c>
      <c r="C240" s="268">
        <v>260060</v>
      </c>
      <c r="D240" s="268">
        <v>258980</v>
      </c>
      <c r="E240">
        <v>1050</v>
      </c>
      <c r="F240" s="137">
        <v>4.1000000000000003E-3</v>
      </c>
      <c r="G240" s="202">
        <v>44151</v>
      </c>
      <c r="H240" t="s">
        <v>6596</v>
      </c>
      <c r="I240" s="40" t="s">
        <v>6413</v>
      </c>
      <c r="L240" s="40" t="str">
        <f t="shared" si="4"/>
        <v>USD,20201116,260020,260060,258950,258980,1,1,1</v>
      </c>
    </row>
    <row r="241" spans="1:12">
      <c r="A241" s="268">
        <v>269530</v>
      </c>
      <c r="B241" s="268">
        <v>268450</v>
      </c>
      <c r="C241" s="268">
        <v>267560</v>
      </c>
      <c r="D241" s="268">
        <v>260030</v>
      </c>
      <c r="E241">
        <v>7500</v>
      </c>
      <c r="F241" s="137">
        <v>2.8799999999999999E-2</v>
      </c>
      <c r="G241" s="202">
        <v>44150</v>
      </c>
      <c r="H241" t="s">
        <v>6597</v>
      </c>
      <c r="I241" s="40" t="s">
        <v>6413</v>
      </c>
      <c r="L241" s="40" t="str">
        <f t="shared" si="4"/>
        <v>USD,20201115,267480,267560,259950,260030,1,1,1</v>
      </c>
    </row>
    <row r="242" spans="1:12">
      <c r="A242" s="268">
        <v>271040</v>
      </c>
      <c r="B242" s="268">
        <v>269950</v>
      </c>
      <c r="C242" s="268">
        <v>269560</v>
      </c>
      <c r="D242" s="268">
        <v>267530</v>
      </c>
      <c r="E242">
        <v>990</v>
      </c>
      <c r="F242" s="137">
        <v>3.7000000000000002E-3</v>
      </c>
      <c r="G242" s="202">
        <v>44149</v>
      </c>
      <c r="H242" t="s">
        <v>6598</v>
      </c>
      <c r="I242" s="40" t="s">
        <v>6413</v>
      </c>
      <c r="L242" s="40" t="str">
        <f t="shared" si="4"/>
        <v>USD,20201114,268550,269560,267450,267530,1,1,1</v>
      </c>
    </row>
    <row r="243" spans="1:12">
      <c r="A243" s="268">
        <v>248030</v>
      </c>
      <c r="B243" s="268">
        <v>247950</v>
      </c>
      <c r="C243" s="268">
        <v>269560</v>
      </c>
      <c r="D243" s="268">
        <v>268520</v>
      </c>
      <c r="E243">
        <v>1470</v>
      </c>
      <c r="F243" s="137">
        <v>5.4999999999999997E-3</v>
      </c>
      <c r="G243" s="202">
        <v>44147</v>
      </c>
      <c r="H243" t="s">
        <v>6599</v>
      </c>
      <c r="I243" s="40" t="s">
        <v>6413</v>
      </c>
      <c r="L243" s="40" t="str">
        <f t="shared" si="4"/>
        <v>USD,20201112,269530,269560,268450,268520,1,1,1</v>
      </c>
    </row>
    <row r="244" spans="1:12">
      <c r="A244" s="268">
        <v>234950</v>
      </c>
      <c r="B244" s="268">
        <v>234950</v>
      </c>
      <c r="C244" s="268">
        <v>271060</v>
      </c>
      <c r="D244" s="268">
        <v>269990</v>
      </c>
      <c r="E244">
        <v>1000</v>
      </c>
      <c r="F244" s="137">
        <v>3.7000000000000002E-3</v>
      </c>
      <c r="G244" s="202">
        <v>44146</v>
      </c>
      <c r="H244" t="s">
        <v>6600</v>
      </c>
      <c r="I244" s="40" t="s">
        <v>6413</v>
      </c>
      <c r="L244" s="40" t="str">
        <f t="shared" si="4"/>
        <v>USD,20201111,271040,271060,269950,269990,1,1,1</v>
      </c>
    </row>
    <row r="245" spans="1:12">
      <c r="A245" s="268">
        <v>228900</v>
      </c>
      <c r="B245" s="268">
        <v>228850</v>
      </c>
      <c r="C245" s="268">
        <v>271060</v>
      </c>
      <c r="D245" s="268">
        <v>270990</v>
      </c>
      <c r="E245">
        <v>23000</v>
      </c>
      <c r="F245" s="137">
        <v>9.2700000000000005E-2</v>
      </c>
      <c r="G245" s="202">
        <v>44145</v>
      </c>
      <c r="H245" t="s">
        <v>6601</v>
      </c>
      <c r="I245" s="40" t="s">
        <v>6413</v>
      </c>
      <c r="L245" s="40" t="str">
        <f t="shared" si="4"/>
        <v>USD,20201110,248030,271060,247950,270990,1,1,1</v>
      </c>
    </row>
    <row r="246" spans="1:12">
      <c r="A246" s="268">
        <v>263450</v>
      </c>
      <c r="B246" s="268">
        <v>244950</v>
      </c>
      <c r="C246" s="268">
        <v>248060</v>
      </c>
      <c r="D246" s="268">
        <v>247990</v>
      </c>
      <c r="E246">
        <v>13000</v>
      </c>
      <c r="F246" s="137">
        <v>5.5300000000000002E-2</v>
      </c>
      <c r="G246" s="202">
        <v>44144</v>
      </c>
      <c r="H246" t="s">
        <v>6602</v>
      </c>
      <c r="I246" s="40" t="s">
        <v>6413</v>
      </c>
      <c r="L246" s="40" t="str">
        <f t="shared" si="4"/>
        <v>USD,20201109,234950,248060,234950,247990,1,1,1</v>
      </c>
    </row>
    <row r="247" spans="1:12">
      <c r="A247" s="268">
        <v>268460</v>
      </c>
      <c r="B247" s="268">
        <v>263450</v>
      </c>
      <c r="C247" s="268">
        <v>235060</v>
      </c>
      <c r="D247" s="268">
        <v>234990</v>
      </c>
      <c r="E247">
        <v>10000</v>
      </c>
      <c r="F247" s="137">
        <v>4.2599999999999999E-2</v>
      </c>
      <c r="G247" s="202">
        <v>44143</v>
      </c>
      <c r="H247" t="s">
        <v>6603</v>
      </c>
      <c r="I247" s="40" t="s">
        <v>6413</v>
      </c>
      <c r="L247" s="40" t="str">
        <f t="shared" ref="L247:L310" si="5">CONCATENATE("USD",I247,TEXT(G247,"yyyymmdd"),I247,A245,I247,C247,I247,B245,I247,D247,I247,"1,1,1")</f>
        <v>USD,20201108,228900,235060,228850,234990,1,1,1</v>
      </c>
    </row>
    <row r="248" spans="1:12">
      <c r="A248" s="268">
        <v>282370</v>
      </c>
      <c r="B248" s="268">
        <v>282350</v>
      </c>
      <c r="C248" s="268">
        <v>263450</v>
      </c>
      <c r="D248" s="268">
        <v>244990</v>
      </c>
      <c r="E248">
        <v>18560</v>
      </c>
      <c r="F248" s="137">
        <v>7.5800000000000006E-2</v>
      </c>
      <c r="G248" s="202">
        <v>44142</v>
      </c>
      <c r="H248" t="s">
        <v>6604</v>
      </c>
      <c r="I248" s="40" t="s">
        <v>6413</v>
      </c>
      <c r="L248" s="40" t="str">
        <f t="shared" si="5"/>
        <v>USD,20201107,263450,263450,244950,244990,1,1,1</v>
      </c>
    </row>
    <row r="249" spans="1:12">
      <c r="A249" s="268">
        <v>272020</v>
      </c>
      <c r="B249" s="268">
        <v>271950</v>
      </c>
      <c r="C249" s="268">
        <v>268560</v>
      </c>
      <c r="D249" s="268">
        <v>263550</v>
      </c>
      <c r="E249">
        <v>25720</v>
      </c>
      <c r="F249" s="137">
        <v>9.7600000000000006E-2</v>
      </c>
      <c r="G249" s="202">
        <v>44140</v>
      </c>
      <c r="H249" t="s">
        <v>6605</v>
      </c>
      <c r="I249" s="40" t="s">
        <v>6413</v>
      </c>
      <c r="L249" s="40" t="str">
        <f t="shared" si="5"/>
        <v>USD,20201105,268460,268560,263450,263550,1,1,1</v>
      </c>
    </row>
    <row r="250" spans="1:12">
      <c r="A250" s="268">
        <v>268670</v>
      </c>
      <c r="B250" s="268">
        <v>266950</v>
      </c>
      <c r="C250" s="268">
        <v>289360</v>
      </c>
      <c r="D250" s="268">
        <v>289270</v>
      </c>
      <c r="E250">
        <v>6850</v>
      </c>
      <c r="F250" s="137">
        <v>2.4299999999999999E-2</v>
      </c>
      <c r="G250" s="202">
        <v>44139</v>
      </c>
      <c r="H250" t="s">
        <v>6606</v>
      </c>
      <c r="I250" s="40" t="s">
        <v>6413</v>
      </c>
      <c r="L250" s="40" t="str">
        <f t="shared" si="5"/>
        <v>USD,20201104,282370,289360,282350,289270,1,1,1</v>
      </c>
    </row>
    <row r="251" spans="1:12">
      <c r="A251" s="268">
        <v>277260</v>
      </c>
      <c r="B251" s="268">
        <v>268650</v>
      </c>
      <c r="C251" s="268">
        <v>282460</v>
      </c>
      <c r="D251" s="268">
        <v>282420</v>
      </c>
      <c r="E251">
        <v>10360</v>
      </c>
      <c r="F251" s="137">
        <v>3.8100000000000002E-2</v>
      </c>
      <c r="G251" s="202">
        <v>44137</v>
      </c>
      <c r="H251" t="s">
        <v>6607</v>
      </c>
      <c r="I251" s="40" t="s">
        <v>6413</v>
      </c>
      <c r="L251" s="40" t="str">
        <f t="shared" si="5"/>
        <v>USD,20201102,272020,282460,271950,282420,1,1,1</v>
      </c>
    </row>
    <row r="252" spans="1:12">
      <c r="A252" s="268">
        <v>277460</v>
      </c>
      <c r="B252" s="268">
        <v>277450</v>
      </c>
      <c r="C252" s="268">
        <v>272060</v>
      </c>
      <c r="D252" s="268">
        <v>272060</v>
      </c>
      <c r="E252">
        <v>3340</v>
      </c>
      <c r="F252" s="137">
        <v>1.24E-2</v>
      </c>
      <c r="G252" s="202">
        <v>44136</v>
      </c>
      <c r="H252" t="s">
        <v>6608</v>
      </c>
      <c r="I252" s="40" t="s">
        <v>6413</v>
      </c>
      <c r="L252" s="40" t="str">
        <f t="shared" si="5"/>
        <v>USD,20201101,268670,272060,266950,272060,1,1,1</v>
      </c>
    </row>
    <row r="253" spans="1:12">
      <c r="A253" s="268">
        <v>282300</v>
      </c>
      <c r="B253" s="268">
        <v>278450</v>
      </c>
      <c r="C253" s="268">
        <v>277260</v>
      </c>
      <c r="D253" s="268">
        <v>268720</v>
      </c>
      <c r="E253">
        <v>8780</v>
      </c>
      <c r="F253" s="137">
        <v>3.27E-2</v>
      </c>
      <c r="G253" s="202">
        <v>44135</v>
      </c>
      <c r="H253" t="s">
        <v>6609</v>
      </c>
      <c r="I253" s="40" t="s">
        <v>6413</v>
      </c>
      <c r="L253" s="40" t="str">
        <f t="shared" si="5"/>
        <v>USD,20201031,277260,277260,268650,268720,1,1,1</v>
      </c>
    </row>
    <row r="254" spans="1:12">
      <c r="A254" s="268">
        <v>279770</v>
      </c>
      <c r="B254" s="268">
        <v>279750</v>
      </c>
      <c r="C254" s="268">
        <v>277560</v>
      </c>
      <c r="D254" s="268">
        <v>277500</v>
      </c>
      <c r="E254">
        <v>970</v>
      </c>
      <c r="F254" s="137">
        <v>3.5000000000000001E-3</v>
      </c>
      <c r="G254" s="202">
        <v>44133</v>
      </c>
      <c r="H254" t="s">
        <v>6610</v>
      </c>
      <c r="I254" s="40" t="s">
        <v>6413</v>
      </c>
      <c r="L254" s="40" t="str">
        <f t="shared" si="5"/>
        <v>USD,20201029,277460,277560,277450,277500,1,1,1</v>
      </c>
    </row>
    <row r="255" spans="1:12">
      <c r="A255" s="268">
        <v>289960</v>
      </c>
      <c r="B255" s="268">
        <v>279750</v>
      </c>
      <c r="C255" s="268">
        <v>282360</v>
      </c>
      <c r="D255" s="268">
        <v>278470</v>
      </c>
      <c r="E255">
        <v>3780</v>
      </c>
      <c r="F255" s="137">
        <v>1.3599999999999999E-2</v>
      </c>
      <c r="G255" s="202">
        <v>44132</v>
      </c>
      <c r="H255" t="s">
        <v>6611</v>
      </c>
      <c r="I255" s="40" t="s">
        <v>6413</v>
      </c>
      <c r="L255" s="40" t="str">
        <f t="shared" si="5"/>
        <v>USD,20201028,282300,282360,278450,278470,1,1,1</v>
      </c>
    </row>
    <row r="256" spans="1:12">
      <c r="A256" s="268">
        <v>293820</v>
      </c>
      <c r="B256" s="268">
        <v>289950</v>
      </c>
      <c r="C256" s="268">
        <v>285360</v>
      </c>
      <c r="D256" s="268">
        <v>282250</v>
      </c>
      <c r="E256">
        <v>2390</v>
      </c>
      <c r="F256" s="137">
        <v>8.5000000000000006E-3</v>
      </c>
      <c r="G256" s="202">
        <v>44131</v>
      </c>
      <c r="H256" t="s">
        <v>6612</v>
      </c>
      <c r="I256" s="40" t="s">
        <v>6413</v>
      </c>
      <c r="L256" s="40" t="str">
        <f t="shared" si="5"/>
        <v>USD,20201027,279770,285360,279750,282250,1,1,1</v>
      </c>
    </row>
    <row r="257" spans="1:12">
      <c r="A257" s="268">
        <v>292780</v>
      </c>
      <c r="B257" s="268">
        <v>292750</v>
      </c>
      <c r="C257" s="268">
        <v>289990</v>
      </c>
      <c r="D257" s="268">
        <v>279860</v>
      </c>
      <c r="E257">
        <v>10140</v>
      </c>
      <c r="F257" s="137">
        <v>3.6200000000000003E-2</v>
      </c>
      <c r="G257" s="202">
        <v>44130</v>
      </c>
      <c r="H257" t="s">
        <v>6613</v>
      </c>
      <c r="I257" s="40" t="s">
        <v>6413</v>
      </c>
      <c r="L257" s="40" t="str">
        <f t="shared" si="5"/>
        <v>USD,20201026,289960,289990,279750,279860,1,1,1</v>
      </c>
    </row>
    <row r="258" spans="1:12">
      <c r="A258" s="268">
        <v>275470</v>
      </c>
      <c r="B258" s="268">
        <v>274450</v>
      </c>
      <c r="C258" s="268">
        <v>293860</v>
      </c>
      <c r="D258" s="268">
        <v>290000</v>
      </c>
      <c r="E258">
        <v>3750</v>
      </c>
      <c r="F258" s="137">
        <v>1.29E-2</v>
      </c>
      <c r="G258" s="202">
        <v>44128</v>
      </c>
      <c r="H258" t="s">
        <v>6614</v>
      </c>
      <c r="I258" s="40" t="s">
        <v>6413</v>
      </c>
      <c r="L258" s="40" t="str">
        <f t="shared" si="5"/>
        <v>USD,20201024,293820,293860,289950,290000,1,1,1</v>
      </c>
    </row>
    <row r="259" spans="1:12">
      <c r="A259" s="268">
        <v>308990</v>
      </c>
      <c r="B259" s="268">
        <v>275450</v>
      </c>
      <c r="C259" s="268">
        <v>294860</v>
      </c>
      <c r="D259" s="268">
        <v>293750</v>
      </c>
      <c r="E259">
        <v>5730</v>
      </c>
      <c r="F259" s="137">
        <v>1.9900000000000001E-2</v>
      </c>
      <c r="G259" s="202">
        <v>44126</v>
      </c>
      <c r="H259" t="s">
        <v>6615</v>
      </c>
      <c r="I259" s="40" t="s">
        <v>6413</v>
      </c>
      <c r="L259" s="40" t="str">
        <f t="shared" si="5"/>
        <v>USD,20201022,292780,294860,292750,293750,1,1,1</v>
      </c>
    </row>
    <row r="260" spans="1:12">
      <c r="A260" s="268">
        <v>318450</v>
      </c>
      <c r="B260" s="268">
        <v>308950</v>
      </c>
      <c r="C260" s="268">
        <v>290860</v>
      </c>
      <c r="D260" s="268">
        <v>288020</v>
      </c>
      <c r="E260">
        <v>12560</v>
      </c>
      <c r="F260" s="137">
        <v>4.5600000000000002E-2</v>
      </c>
      <c r="G260" s="202">
        <v>44125</v>
      </c>
      <c r="H260" t="s">
        <v>6616</v>
      </c>
      <c r="I260" s="40" t="s">
        <v>6413</v>
      </c>
      <c r="L260" s="40" t="str">
        <f t="shared" si="5"/>
        <v>USD,20201021,275470,290860,274450,288020,1,1,1</v>
      </c>
    </row>
    <row r="261" spans="1:12">
      <c r="A261" s="268">
        <v>317030</v>
      </c>
      <c r="B261" s="268">
        <v>316950</v>
      </c>
      <c r="C261" s="268">
        <v>309060</v>
      </c>
      <c r="D261" s="268">
        <v>275460</v>
      </c>
      <c r="E261">
        <v>33570</v>
      </c>
      <c r="F261" s="137">
        <v>0.12189999999999999</v>
      </c>
      <c r="G261" s="202">
        <v>44124</v>
      </c>
      <c r="H261" t="s">
        <v>6617</v>
      </c>
      <c r="I261" s="40" t="s">
        <v>6413</v>
      </c>
      <c r="L261" s="40" t="str">
        <f t="shared" si="5"/>
        <v>USD,20201020,308990,309060,275450,275460,1,1,1</v>
      </c>
    </row>
    <row r="262" spans="1:12">
      <c r="A262" s="268">
        <v>317000</v>
      </c>
      <c r="B262" s="268">
        <v>316950</v>
      </c>
      <c r="C262" s="268">
        <v>318560</v>
      </c>
      <c r="D262" s="268">
        <v>309030</v>
      </c>
      <c r="E262">
        <v>9530</v>
      </c>
      <c r="F262" s="137">
        <v>3.0800000000000001E-2</v>
      </c>
      <c r="G262" s="202">
        <v>44123</v>
      </c>
      <c r="H262" t="s">
        <v>6618</v>
      </c>
      <c r="I262" s="40" t="s">
        <v>6413</v>
      </c>
      <c r="L262" s="40" t="str">
        <f t="shared" si="5"/>
        <v>USD,20201019,318450,318560,308950,309030,1,1,1</v>
      </c>
    </row>
    <row r="263" spans="1:12">
      <c r="A263" s="268">
        <v>312990</v>
      </c>
      <c r="B263" s="268">
        <v>312950</v>
      </c>
      <c r="C263" s="268">
        <v>320060</v>
      </c>
      <c r="D263" s="268">
        <v>318560</v>
      </c>
      <c r="E263">
        <v>1520</v>
      </c>
      <c r="F263" s="137">
        <v>4.7999999999999996E-3</v>
      </c>
      <c r="G263" s="202">
        <v>44122</v>
      </c>
      <c r="H263" t="s">
        <v>6619</v>
      </c>
      <c r="I263" s="40" t="s">
        <v>6413</v>
      </c>
      <c r="L263" s="40" t="str">
        <f t="shared" si="5"/>
        <v>USD,20201018,317030,320060,316950,318560,1,1,1</v>
      </c>
    </row>
    <row r="264" spans="1:12">
      <c r="A264" s="268">
        <v>304040</v>
      </c>
      <c r="B264" s="268">
        <v>303950</v>
      </c>
      <c r="C264" s="268">
        <v>317060</v>
      </c>
      <c r="D264" s="268">
        <v>317040</v>
      </c>
      <c r="E264">
        <v>2040</v>
      </c>
      <c r="F264" s="137">
        <v>6.4999999999999997E-3</v>
      </c>
      <c r="G264" s="202">
        <v>44119</v>
      </c>
      <c r="H264" t="s">
        <v>6620</v>
      </c>
      <c r="I264" s="40" t="s">
        <v>6413</v>
      </c>
      <c r="L264" s="40" t="str">
        <f t="shared" si="5"/>
        <v>USD,20201015,317000,317060,316950,317040,1,1,1</v>
      </c>
    </row>
    <row r="265" spans="1:12">
      <c r="A265" s="268">
        <v>311520</v>
      </c>
      <c r="B265" s="268">
        <v>301950</v>
      </c>
      <c r="C265" s="268">
        <v>315860</v>
      </c>
      <c r="D265" s="268">
        <v>315000</v>
      </c>
      <c r="E265">
        <v>1980</v>
      </c>
      <c r="F265" s="137">
        <v>6.3E-3</v>
      </c>
      <c r="G265" s="202">
        <v>44118</v>
      </c>
      <c r="H265" t="s">
        <v>6621</v>
      </c>
      <c r="I265" s="40" t="s">
        <v>6413</v>
      </c>
      <c r="L265" s="40" t="str">
        <f t="shared" si="5"/>
        <v>USD,20201014,312990,315860,312950,315000,1,1,1</v>
      </c>
    </row>
    <row r="266" spans="1:12">
      <c r="A266" s="268">
        <v>299480</v>
      </c>
      <c r="B266" s="268">
        <v>299450</v>
      </c>
      <c r="C266" s="268">
        <v>315060</v>
      </c>
      <c r="D266" s="268">
        <v>313020</v>
      </c>
      <c r="E266">
        <v>9060</v>
      </c>
      <c r="F266" s="137">
        <v>2.98E-2</v>
      </c>
      <c r="G266" s="202">
        <v>44117</v>
      </c>
      <c r="H266" t="s">
        <v>6622</v>
      </c>
      <c r="I266" s="40" t="s">
        <v>6413</v>
      </c>
      <c r="L266" s="40" t="str">
        <f t="shared" si="5"/>
        <v>USD,20201013,304040,315060,303950,313020,1,1,1</v>
      </c>
    </row>
    <row r="267" spans="1:12">
      <c r="A267" s="268">
        <v>291970</v>
      </c>
      <c r="B267" s="268">
        <v>291950</v>
      </c>
      <c r="C267" s="268">
        <v>311560</v>
      </c>
      <c r="D267" s="268">
        <v>303960</v>
      </c>
      <c r="E267">
        <v>7490</v>
      </c>
      <c r="F267" s="137">
        <v>2.46E-2</v>
      </c>
      <c r="G267" s="202">
        <v>44116</v>
      </c>
      <c r="H267" t="s">
        <v>6623</v>
      </c>
      <c r="I267" s="40" t="s">
        <v>6413</v>
      </c>
      <c r="L267" s="40" t="str">
        <f t="shared" si="5"/>
        <v>USD,20201012,311520,311560,301950,303960,1,1,1</v>
      </c>
    </row>
    <row r="268" spans="1:12">
      <c r="A268" s="268">
        <v>291990</v>
      </c>
      <c r="B268" s="268">
        <v>291950</v>
      </c>
      <c r="C268" s="268">
        <v>311560</v>
      </c>
      <c r="D268" s="268">
        <v>311450</v>
      </c>
      <c r="E268">
        <v>11890</v>
      </c>
      <c r="F268" s="137">
        <v>3.9699999999999999E-2</v>
      </c>
      <c r="G268" s="202">
        <v>44115</v>
      </c>
      <c r="H268" t="s">
        <v>6624</v>
      </c>
      <c r="I268" s="40" t="s">
        <v>6413</v>
      </c>
      <c r="L268" s="40" t="str">
        <f t="shared" si="5"/>
        <v>USD,20201011,299480,311560,299450,311450,1,1,1</v>
      </c>
    </row>
    <row r="269" spans="1:12">
      <c r="A269" s="268">
        <v>281970</v>
      </c>
      <c r="B269" s="268">
        <v>281950</v>
      </c>
      <c r="C269" s="268">
        <v>299560</v>
      </c>
      <c r="D269" s="268">
        <v>299560</v>
      </c>
      <c r="E269">
        <v>7540</v>
      </c>
      <c r="F269" s="137">
        <v>2.58E-2</v>
      </c>
      <c r="G269" s="202">
        <v>44114</v>
      </c>
      <c r="H269" t="s">
        <v>6625</v>
      </c>
      <c r="I269" s="40" t="s">
        <v>6413</v>
      </c>
      <c r="L269" s="40" t="str">
        <f t="shared" si="5"/>
        <v>USD,20201010,291970,299560,291950,299560,1,1,1</v>
      </c>
    </row>
    <row r="270" spans="1:12">
      <c r="A270" s="268">
        <v>269960</v>
      </c>
      <c r="B270" s="268">
        <v>269450</v>
      </c>
      <c r="C270" s="268">
        <v>292060</v>
      </c>
      <c r="D270" s="268">
        <v>292020</v>
      </c>
      <c r="E270">
        <v>20</v>
      </c>
      <c r="F270" s="137">
        <v>1E-4</v>
      </c>
      <c r="G270" s="202">
        <v>44111</v>
      </c>
      <c r="H270" t="s">
        <v>6626</v>
      </c>
      <c r="I270" s="40" t="s">
        <v>6413</v>
      </c>
      <c r="L270" s="40" t="str">
        <f t="shared" si="5"/>
        <v>USD,20201007,291990,292060,291950,292020,1,1,1</v>
      </c>
    </row>
    <row r="271" spans="1:12">
      <c r="A271" s="268">
        <v>284550</v>
      </c>
      <c r="B271" s="268">
        <v>269950</v>
      </c>
      <c r="C271" s="268">
        <v>292060</v>
      </c>
      <c r="D271" s="268">
        <v>292000</v>
      </c>
      <c r="E271">
        <v>10010</v>
      </c>
      <c r="F271" s="137">
        <v>3.5499999999999997E-2</v>
      </c>
      <c r="G271" s="202">
        <v>44110</v>
      </c>
      <c r="H271" t="s">
        <v>6627</v>
      </c>
      <c r="I271" s="40" t="s">
        <v>6413</v>
      </c>
      <c r="L271" s="40" t="str">
        <f t="shared" si="5"/>
        <v>USD,20201006,281970,292060,281950,292000,1,1,1</v>
      </c>
    </row>
    <row r="272" spans="1:12">
      <c r="A272" s="268">
        <v>289030</v>
      </c>
      <c r="B272" s="268">
        <v>284450</v>
      </c>
      <c r="C272" s="268">
        <v>282060</v>
      </c>
      <c r="D272" s="268">
        <v>281990</v>
      </c>
      <c r="E272">
        <v>12040</v>
      </c>
      <c r="F272" s="137">
        <v>4.4600000000000001E-2</v>
      </c>
      <c r="G272" s="202">
        <v>44109</v>
      </c>
      <c r="H272" t="s">
        <v>6628</v>
      </c>
      <c r="I272" s="40" t="s">
        <v>6413</v>
      </c>
      <c r="L272" s="40" t="str">
        <f t="shared" si="5"/>
        <v>USD,20201005,269960,282060,269450,281990,1,1,1</v>
      </c>
    </row>
    <row r="273" spans="1:12">
      <c r="A273" s="268">
        <v>287990</v>
      </c>
      <c r="B273" s="268">
        <v>287990</v>
      </c>
      <c r="C273" s="268">
        <v>284560</v>
      </c>
      <c r="D273" s="268">
        <v>269950</v>
      </c>
      <c r="E273">
        <v>14540</v>
      </c>
      <c r="F273" s="137">
        <v>5.3900000000000003E-2</v>
      </c>
      <c r="G273" s="202">
        <v>44108</v>
      </c>
      <c r="H273" t="s">
        <v>6629</v>
      </c>
      <c r="I273" s="40" t="s">
        <v>6413</v>
      </c>
      <c r="L273" s="40" t="str">
        <f t="shared" si="5"/>
        <v>USD,20201004,284550,284560,269950,269950,1,1,1</v>
      </c>
    </row>
    <row r="274" spans="1:12">
      <c r="A274" s="268">
        <v>285040</v>
      </c>
      <c r="B274" s="268">
        <v>284950</v>
      </c>
      <c r="C274" s="268">
        <v>289060</v>
      </c>
      <c r="D274" s="268">
        <v>284490</v>
      </c>
      <c r="E274">
        <v>4550</v>
      </c>
      <c r="F274" s="137">
        <v>1.6E-2</v>
      </c>
      <c r="G274" s="202">
        <v>44107</v>
      </c>
      <c r="H274" t="s">
        <v>6630</v>
      </c>
      <c r="I274" s="40" t="s">
        <v>6413</v>
      </c>
      <c r="L274" s="40" t="str">
        <f t="shared" si="5"/>
        <v>USD,20201003,289030,289060,284450,284490,1,1,1</v>
      </c>
    </row>
    <row r="275" spans="1:12">
      <c r="A275" s="268">
        <v>289450</v>
      </c>
      <c r="B275" s="268">
        <v>284950</v>
      </c>
      <c r="C275" s="268">
        <v>289060</v>
      </c>
      <c r="D275" s="268">
        <v>289040</v>
      </c>
      <c r="E275">
        <v>1520</v>
      </c>
      <c r="F275" s="137">
        <v>5.3E-3</v>
      </c>
      <c r="G275" s="202">
        <v>44105</v>
      </c>
      <c r="H275" t="s">
        <v>6632</v>
      </c>
      <c r="I275" s="40" t="s">
        <v>6413</v>
      </c>
      <c r="L275" s="40" t="str">
        <f t="shared" si="5"/>
        <v>USD,20201001,287990,289060,287990,289040,1,1,1</v>
      </c>
    </row>
    <row r="276" spans="1:12">
      <c r="A276" s="268">
        <v>287060</v>
      </c>
      <c r="B276" s="268">
        <v>286950</v>
      </c>
      <c r="C276" s="268">
        <v>287560</v>
      </c>
      <c r="D276" s="268">
        <v>287520</v>
      </c>
      <c r="E276">
        <v>2500</v>
      </c>
      <c r="F276" s="137">
        <v>8.8000000000000005E-3</v>
      </c>
      <c r="G276" s="202">
        <v>44104</v>
      </c>
      <c r="H276" t="s">
        <v>6633</v>
      </c>
      <c r="I276" s="40" t="s">
        <v>6413</v>
      </c>
      <c r="L276" s="40" t="str">
        <f t="shared" si="5"/>
        <v>USD,20200930,285040,287560,284950,287520,1,1,1</v>
      </c>
    </row>
    <row r="277" spans="1:12">
      <c r="A277" s="268">
        <v>285020</v>
      </c>
      <c r="B277" s="268">
        <v>284950</v>
      </c>
      <c r="C277" s="268">
        <v>289560</v>
      </c>
      <c r="D277" s="268">
        <v>285020</v>
      </c>
      <c r="E277">
        <v>4450</v>
      </c>
      <c r="F277" s="137">
        <v>1.5599999999999999E-2</v>
      </c>
      <c r="G277" s="202">
        <v>44103</v>
      </c>
      <c r="H277" t="s">
        <v>6634</v>
      </c>
      <c r="I277" s="40" t="s">
        <v>6413</v>
      </c>
      <c r="L277" s="40" t="str">
        <f t="shared" si="5"/>
        <v>USD,20200929,289450,289560,284950,285020,1,1,1</v>
      </c>
    </row>
    <row r="278" spans="1:12">
      <c r="A278" s="268">
        <v>278030</v>
      </c>
      <c r="B278" s="268">
        <v>277950</v>
      </c>
      <c r="C278" s="268">
        <v>289560</v>
      </c>
      <c r="D278" s="268">
        <v>289470</v>
      </c>
      <c r="E278">
        <v>2470</v>
      </c>
      <c r="F278" s="137">
        <v>8.6E-3</v>
      </c>
      <c r="G278" s="202">
        <v>44102</v>
      </c>
      <c r="H278" t="s">
        <v>6635</v>
      </c>
      <c r="I278" s="40" t="s">
        <v>6413</v>
      </c>
      <c r="L278" s="40" t="str">
        <f t="shared" si="5"/>
        <v>USD,20200928,287060,289560,286950,289470,1,1,1</v>
      </c>
    </row>
    <row r="279" spans="1:12">
      <c r="A279" s="268">
        <v>278000</v>
      </c>
      <c r="B279" s="268">
        <v>277950</v>
      </c>
      <c r="C279" s="268">
        <v>287060</v>
      </c>
      <c r="D279" s="268">
        <v>287000</v>
      </c>
      <c r="E279">
        <v>1940</v>
      </c>
      <c r="F279" s="137">
        <v>6.7999999999999996E-3</v>
      </c>
      <c r="G279" s="202">
        <v>44101</v>
      </c>
      <c r="H279" t="s">
        <v>6636</v>
      </c>
      <c r="I279" s="40" t="s">
        <v>6413</v>
      </c>
      <c r="L279" s="40" t="str">
        <f t="shared" si="5"/>
        <v>USD,20200927,285020,287060,284950,287000,1,1,1</v>
      </c>
    </row>
    <row r="280" spans="1:12">
      <c r="A280" s="268">
        <v>271990</v>
      </c>
      <c r="B280" s="268">
        <v>271950</v>
      </c>
      <c r="C280" s="268">
        <v>287560</v>
      </c>
      <c r="D280" s="268">
        <v>285060</v>
      </c>
      <c r="E280">
        <v>7090</v>
      </c>
      <c r="F280" s="137">
        <v>2.5499999999999998E-2</v>
      </c>
      <c r="G280" s="202">
        <v>44100</v>
      </c>
      <c r="H280" t="s">
        <v>6637</v>
      </c>
      <c r="I280" s="40" t="s">
        <v>6413</v>
      </c>
      <c r="L280" s="40" t="str">
        <f t="shared" si="5"/>
        <v>USD,20200926,278030,287560,277950,285060,1,1,1</v>
      </c>
    </row>
    <row r="281" spans="1:12">
      <c r="A281" s="268">
        <v>269480</v>
      </c>
      <c r="B281" s="268">
        <v>269450</v>
      </c>
      <c r="C281" s="268">
        <v>278060</v>
      </c>
      <c r="D281" s="268">
        <v>277970</v>
      </c>
      <c r="E281">
        <v>10</v>
      </c>
      <c r="F281" t="s">
        <v>6412</v>
      </c>
      <c r="G281" s="202">
        <v>44098</v>
      </c>
      <c r="H281" t="s">
        <v>6638</v>
      </c>
      <c r="I281" s="40" t="s">
        <v>6413</v>
      </c>
      <c r="L281" s="40" t="str">
        <f t="shared" si="5"/>
        <v>USD,20200924,278000,278060,277950,277970,1,1,1</v>
      </c>
    </row>
    <row r="282" spans="1:12">
      <c r="A282" s="268">
        <v>273060</v>
      </c>
      <c r="B282" s="268">
        <v>268450</v>
      </c>
      <c r="C282" s="268">
        <v>278060</v>
      </c>
      <c r="D282" s="268">
        <v>277980</v>
      </c>
      <c r="E282">
        <v>5950</v>
      </c>
      <c r="F282" s="137">
        <v>2.1899999999999999E-2</v>
      </c>
      <c r="G282" s="202">
        <v>44097</v>
      </c>
      <c r="H282" t="s">
        <v>6639</v>
      </c>
      <c r="I282" s="40" t="s">
        <v>6413</v>
      </c>
      <c r="L282" s="40" t="str">
        <f t="shared" si="5"/>
        <v>USD,20200923,271990,278060,271950,277980,1,1,1</v>
      </c>
    </row>
    <row r="283" spans="1:12">
      <c r="A283" s="268">
        <v>264500</v>
      </c>
      <c r="B283" s="268">
        <v>264450</v>
      </c>
      <c r="C283" s="268">
        <v>272060</v>
      </c>
      <c r="D283" s="268">
        <v>272030</v>
      </c>
      <c r="E283">
        <v>2580</v>
      </c>
      <c r="F283" s="137">
        <v>9.5999999999999992E-3</v>
      </c>
      <c r="G283" s="202">
        <v>44096</v>
      </c>
      <c r="H283" t="s">
        <v>6631</v>
      </c>
      <c r="I283" s="40" t="s">
        <v>6413</v>
      </c>
      <c r="L283" s="40" t="str">
        <f t="shared" si="5"/>
        <v>USD,20200922,269480,272060,269450,272030,1,1,1</v>
      </c>
    </row>
    <row r="284" spans="1:12">
      <c r="A284" s="268">
        <v>267990</v>
      </c>
      <c r="B284" s="268">
        <v>264450</v>
      </c>
      <c r="C284" s="268">
        <v>273060</v>
      </c>
      <c r="D284" s="268">
        <v>269450</v>
      </c>
      <c r="E284">
        <v>3530</v>
      </c>
      <c r="F284" s="137">
        <v>1.3100000000000001E-2</v>
      </c>
      <c r="G284" s="202">
        <v>44095</v>
      </c>
      <c r="H284" t="s">
        <v>6640</v>
      </c>
      <c r="I284" s="40" t="s">
        <v>6413</v>
      </c>
      <c r="L284" s="40" t="str">
        <f t="shared" si="5"/>
        <v>USD,20200921,273060,273060,268450,269450,1,1,1</v>
      </c>
    </row>
    <row r="285" spans="1:12">
      <c r="A285" s="268">
        <v>266020</v>
      </c>
      <c r="B285" s="268">
        <v>265950</v>
      </c>
      <c r="C285" s="268">
        <v>273060</v>
      </c>
      <c r="D285" s="268">
        <v>272980</v>
      </c>
      <c r="E285">
        <v>8500</v>
      </c>
      <c r="F285" s="137">
        <v>3.2099999999999997E-2</v>
      </c>
      <c r="G285" s="202">
        <v>44094</v>
      </c>
      <c r="H285" t="s">
        <v>6641</v>
      </c>
      <c r="I285" s="40" t="s">
        <v>6413</v>
      </c>
      <c r="L285" s="40" t="str">
        <f t="shared" si="5"/>
        <v>USD,20200920,264500,273060,264450,272980,1,1,1</v>
      </c>
    </row>
    <row r="286" spans="1:12">
      <c r="A286" s="268">
        <v>265980</v>
      </c>
      <c r="B286" s="268">
        <v>265950</v>
      </c>
      <c r="C286" s="268">
        <v>268060</v>
      </c>
      <c r="D286" s="268">
        <v>264480</v>
      </c>
      <c r="E286">
        <v>3490</v>
      </c>
      <c r="F286" s="137">
        <v>1.32E-2</v>
      </c>
      <c r="G286" s="202">
        <v>44093</v>
      </c>
      <c r="H286" t="s">
        <v>6642</v>
      </c>
      <c r="I286" s="40" t="s">
        <v>6413</v>
      </c>
      <c r="L286" s="40" t="str">
        <f t="shared" si="5"/>
        <v>USD,20200919,267990,268060,264450,264480,1,1,1</v>
      </c>
    </row>
    <row r="287" spans="1:12">
      <c r="A287" s="268">
        <v>235850</v>
      </c>
      <c r="B287" s="268">
        <v>235810</v>
      </c>
      <c r="C287" s="268">
        <v>268560</v>
      </c>
      <c r="D287" s="268">
        <v>267970</v>
      </c>
      <c r="E287">
        <v>1990</v>
      </c>
      <c r="F287" s="137">
        <v>7.4999999999999997E-3</v>
      </c>
      <c r="G287" s="202">
        <v>44091</v>
      </c>
      <c r="H287" t="s">
        <v>6643</v>
      </c>
      <c r="I287" s="40" t="s">
        <v>6413</v>
      </c>
      <c r="L287" s="40" t="str">
        <f t="shared" si="5"/>
        <v>USD,20200917,266020,268560,265950,267970,1,1,1</v>
      </c>
    </row>
    <row r="288" spans="1:12">
      <c r="A288" s="268">
        <v>234370</v>
      </c>
      <c r="B288" s="268">
        <v>234310</v>
      </c>
      <c r="C288" s="268">
        <v>266060</v>
      </c>
      <c r="D288" s="268">
        <v>265980</v>
      </c>
      <c r="E288">
        <v>40</v>
      </c>
      <c r="F288" s="137">
        <v>2.0000000000000001E-4</v>
      </c>
      <c r="G288" s="202">
        <v>44090</v>
      </c>
      <c r="H288" t="s">
        <v>6644</v>
      </c>
      <c r="I288" s="40" t="s">
        <v>6413</v>
      </c>
      <c r="L288" s="40" t="str">
        <f t="shared" si="5"/>
        <v>USD,20200916,265980,266060,265950,265980,1,1,1</v>
      </c>
    </row>
    <row r="289" spans="1:12">
      <c r="A289" s="268">
        <v>231620</v>
      </c>
      <c r="B289" s="268">
        <v>231510</v>
      </c>
      <c r="C289" s="268">
        <v>266060</v>
      </c>
      <c r="D289" s="268">
        <v>266020</v>
      </c>
      <c r="E289">
        <v>30100</v>
      </c>
      <c r="F289" s="137">
        <v>0.12759999999999999</v>
      </c>
      <c r="G289" s="202">
        <v>44089</v>
      </c>
      <c r="H289" t="s">
        <v>6645</v>
      </c>
      <c r="I289" s="40" t="s">
        <v>6413</v>
      </c>
      <c r="L289" s="40" t="str">
        <f t="shared" si="5"/>
        <v>USD,20200915,235850,266060,235810,266020,1,1,1</v>
      </c>
    </row>
    <row r="290" spans="1:12">
      <c r="A290" s="268">
        <v>228020</v>
      </c>
      <c r="B290" s="268">
        <v>227910</v>
      </c>
      <c r="C290" s="268">
        <v>235920</v>
      </c>
      <c r="D290" s="268">
        <v>235920</v>
      </c>
      <c r="E290">
        <v>1530</v>
      </c>
      <c r="F290" s="137">
        <v>6.4999999999999997E-3</v>
      </c>
      <c r="G290" s="202">
        <v>44088</v>
      </c>
      <c r="H290" t="s">
        <v>6319</v>
      </c>
      <c r="I290" s="40" t="s">
        <v>6413</v>
      </c>
      <c r="L290" s="40" t="str">
        <f t="shared" si="5"/>
        <v>USD,20200914,234370,235920,234310,235920,1,1,1</v>
      </c>
    </row>
    <row r="291" spans="1:12">
      <c r="A291" s="268">
        <v>227910</v>
      </c>
      <c r="B291" s="268">
        <v>227910</v>
      </c>
      <c r="C291" s="268">
        <v>234420</v>
      </c>
      <c r="D291" s="268">
        <v>234390</v>
      </c>
      <c r="E291">
        <v>2820</v>
      </c>
      <c r="F291" s="137">
        <v>1.2200000000000001E-2</v>
      </c>
      <c r="G291" s="202">
        <v>44087</v>
      </c>
      <c r="H291" t="s">
        <v>6646</v>
      </c>
      <c r="I291" s="40" t="s">
        <v>6413</v>
      </c>
      <c r="L291" s="40" t="str">
        <f t="shared" si="5"/>
        <v>USD,20200913,231620,234420,231510,234390,1,1,1</v>
      </c>
    </row>
    <row r="292" spans="1:12">
      <c r="A292" s="268">
        <v>227460</v>
      </c>
      <c r="B292" s="268">
        <v>227410</v>
      </c>
      <c r="C292" s="268">
        <v>231620</v>
      </c>
      <c r="D292" s="268">
        <v>231570</v>
      </c>
      <c r="E292">
        <v>3570</v>
      </c>
      <c r="F292" s="137">
        <v>1.5699999999999999E-2</v>
      </c>
      <c r="G292" s="202">
        <v>44086</v>
      </c>
      <c r="H292" t="s">
        <v>6647</v>
      </c>
      <c r="I292" s="40" t="s">
        <v>6413</v>
      </c>
      <c r="L292" s="40" t="str">
        <f t="shared" si="5"/>
        <v>USD,20200912,228020,231620,227910,231570,1,1,1</v>
      </c>
    </row>
    <row r="293" spans="1:12">
      <c r="A293" s="268">
        <v>225920</v>
      </c>
      <c r="B293" s="268">
        <v>225910</v>
      </c>
      <c r="C293" s="268">
        <v>228020</v>
      </c>
      <c r="D293" s="268">
        <v>228000</v>
      </c>
      <c r="E293">
        <v>510</v>
      </c>
      <c r="F293" s="137">
        <v>2.2000000000000001E-3</v>
      </c>
      <c r="G293" s="202">
        <v>44084</v>
      </c>
      <c r="H293" t="s">
        <v>6648</v>
      </c>
      <c r="I293" s="40" t="s">
        <v>6413</v>
      </c>
      <c r="L293" s="40" t="str">
        <f t="shared" si="5"/>
        <v>USD,20200910,227910,228020,227910,228000,1,1,1</v>
      </c>
    </row>
    <row r="294" spans="1:12">
      <c r="A294" s="268">
        <v>225950</v>
      </c>
      <c r="B294" s="268">
        <v>225910</v>
      </c>
      <c r="C294" s="268">
        <v>227520</v>
      </c>
      <c r="D294" s="268">
        <v>227490</v>
      </c>
      <c r="E294">
        <v>30</v>
      </c>
      <c r="F294" s="137">
        <v>1E-4</v>
      </c>
      <c r="G294" s="202">
        <v>44083</v>
      </c>
      <c r="H294" t="s">
        <v>6649</v>
      </c>
      <c r="I294" s="40" t="s">
        <v>6413</v>
      </c>
      <c r="L294" s="40" t="str">
        <f t="shared" si="5"/>
        <v>USD,20200909,227460,227520,227410,227490,1,1,1</v>
      </c>
    </row>
    <row r="295" spans="1:12">
      <c r="A295" s="268">
        <v>224450</v>
      </c>
      <c r="B295" s="268">
        <v>224410</v>
      </c>
      <c r="C295" s="268">
        <v>227520</v>
      </c>
      <c r="D295" s="268">
        <v>227520</v>
      </c>
      <c r="E295">
        <v>1550</v>
      </c>
      <c r="F295" s="137">
        <v>6.8999999999999999E-3</v>
      </c>
      <c r="G295" s="202">
        <v>44082</v>
      </c>
      <c r="H295" t="s">
        <v>6650</v>
      </c>
      <c r="I295" s="40" t="s">
        <v>6413</v>
      </c>
      <c r="L295" s="40" t="str">
        <f t="shared" si="5"/>
        <v>USD,20200908,225920,227520,225910,227520,1,1,1</v>
      </c>
    </row>
    <row r="296" spans="1:12">
      <c r="A296" s="268">
        <v>224450</v>
      </c>
      <c r="B296" s="268">
        <v>224410</v>
      </c>
      <c r="C296" s="268">
        <v>226020</v>
      </c>
      <c r="D296" s="268">
        <v>225970</v>
      </c>
      <c r="E296">
        <v>50</v>
      </c>
      <c r="F296" s="137">
        <v>2.0000000000000001E-4</v>
      </c>
      <c r="G296" s="202">
        <v>44081</v>
      </c>
      <c r="H296" t="s">
        <v>6651</v>
      </c>
      <c r="I296" s="40" t="s">
        <v>6413</v>
      </c>
      <c r="L296" s="40" t="str">
        <f t="shared" si="5"/>
        <v>USD,20200907,225950,226020,225910,225970,1,1,1</v>
      </c>
    </row>
    <row r="297" spans="1:12">
      <c r="A297" s="268">
        <v>225020</v>
      </c>
      <c r="B297" s="268">
        <v>224410</v>
      </c>
      <c r="C297" s="268">
        <v>226020</v>
      </c>
      <c r="D297" s="268">
        <v>226020</v>
      </c>
      <c r="E297">
        <v>1500</v>
      </c>
      <c r="F297" s="137">
        <v>6.7000000000000002E-3</v>
      </c>
      <c r="G297" s="202">
        <v>44080</v>
      </c>
      <c r="H297" t="s">
        <v>6652</v>
      </c>
      <c r="I297" s="40" t="s">
        <v>6413</v>
      </c>
      <c r="L297" s="40" t="str">
        <f t="shared" si="5"/>
        <v>USD,20200906,224450,226020,224410,226020,1,1,1</v>
      </c>
    </row>
    <row r="298" spans="1:12">
      <c r="A298" s="268">
        <v>229020</v>
      </c>
      <c r="B298" s="268">
        <v>226910</v>
      </c>
      <c r="C298" s="268">
        <v>224520</v>
      </c>
      <c r="D298" s="268">
        <v>224520</v>
      </c>
      <c r="E298" t="s">
        <v>6412</v>
      </c>
      <c r="F298" t="s">
        <v>6412</v>
      </c>
      <c r="G298" s="202">
        <v>44079</v>
      </c>
      <c r="H298" t="s">
        <v>6653</v>
      </c>
      <c r="I298" s="40" t="s">
        <v>6413</v>
      </c>
      <c r="L298" s="40" t="str">
        <f t="shared" si="5"/>
        <v>USD,20200905,224450,224520,224410,224520,1,1,1</v>
      </c>
    </row>
    <row r="299" spans="1:12">
      <c r="A299" s="268">
        <v>231430</v>
      </c>
      <c r="B299" s="268">
        <v>228910</v>
      </c>
      <c r="C299" s="268">
        <v>225020</v>
      </c>
      <c r="D299" s="268">
        <v>224520</v>
      </c>
      <c r="E299">
        <v>2440</v>
      </c>
      <c r="F299" s="137">
        <v>1.09E-2</v>
      </c>
      <c r="G299" s="202">
        <v>44077</v>
      </c>
      <c r="H299" t="s">
        <v>6654</v>
      </c>
      <c r="I299" s="40" t="s">
        <v>6413</v>
      </c>
      <c r="L299" s="40" t="str">
        <f t="shared" si="5"/>
        <v>USD,20200903,225020,225020,224410,224520,1,1,1</v>
      </c>
    </row>
    <row r="300" spans="1:12">
      <c r="A300" s="268">
        <v>231020</v>
      </c>
      <c r="B300" s="268">
        <v>230410</v>
      </c>
      <c r="C300" s="268">
        <v>229020</v>
      </c>
      <c r="D300" s="268">
        <v>226960</v>
      </c>
      <c r="E300">
        <v>2040</v>
      </c>
      <c r="F300" s="137">
        <v>8.9999999999999993E-3</v>
      </c>
      <c r="G300" s="202">
        <v>44076</v>
      </c>
      <c r="H300" t="s">
        <v>6655</v>
      </c>
      <c r="I300" s="40" t="s">
        <v>6413</v>
      </c>
      <c r="L300" s="40" t="str">
        <f t="shared" si="5"/>
        <v>USD,20200902,229020,229020,226910,226960,1,1,1</v>
      </c>
    </row>
    <row r="301" spans="1:12">
      <c r="A301" s="268">
        <v>230980</v>
      </c>
      <c r="B301" s="268">
        <v>230910</v>
      </c>
      <c r="C301" s="268">
        <v>234020</v>
      </c>
      <c r="D301" s="268">
        <v>229000</v>
      </c>
      <c r="E301">
        <v>2520</v>
      </c>
      <c r="F301" s="137">
        <v>1.0999999999999999E-2</v>
      </c>
      <c r="G301" s="202">
        <v>44075</v>
      </c>
      <c r="H301" t="s">
        <v>6656</v>
      </c>
      <c r="I301" s="40" t="s">
        <v>6413</v>
      </c>
      <c r="L301" s="40" t="str">
        <f t="shared" si="5"/>
        <v>USD,20200901,231430,234020,228910,229000,1,1,1</v>
      </c>
    </row>
    <row r="302" spans="1:12">
      <c r="A302" s="268">
        <v>231020</v>
      </c>
      <c r="B302" s="268">
        <v>230910</v>
      </c>
      <c r="C302" s="268">
        <v>231520</v>
      </c>
      <c r="D302" s="268">
        <v>231520</v>
      </c>
      <c r="E302">
        <v>590</v>
      </c>
      <c r="F302" s="137">
        <v>2.5999999999999999E-3</v>
      </c>
      <c r="G302" s="202">
        <v>44074</v>
      </c>
      <c r="H302" t="s">
        <v>6657</v>
      </c>
      <c r="I302" s="40" t="s">
        <v>6413</v>
      </c>
      <c r="L302" s="40" t="str">
        <f t="shared" si="5"/>
        <v>USD,20200831,231020,231520,230410,231520,1,1,1</v>
      </c>
    </row>
    <row r="303" spans="1:12">
      <c r="A303" s="268">
        <v>224710</v>
      </c>
      <c r="B303" s="268">
        <v>224710</v>
      </c>
      <c r="C303" s="268">
        <v>231020</v>
      </c>
      <c r="D303" s="268">
        <v>230930</v>
      </c>
      <c r="E303">
        <v>90</v>
      </c>
      <c r="F303" s="137">
        <v>4.0000000000000002E-4</v>
      </c>
      <c r="G303" s="202">
        <v>44073</v>
      </c>
      <c r="H303" t="s">
        <v>6658</v>
      </c>
      <c r="I303" s="40" t="s">
        <v>6413</v>
      </c>
      <c r="L303" s="40" t="str">
        <f t="shared" si="5"/>
        <v>USD,20200830,230980,231020,230910,230930,1,1,1</v>
      </c>
    </row>
    <row r="304" spans="1:12">
      <c r="A304" s="268">
        <v>224790</v>
      </c>
      <c r="B304" s="268">
        <v>224710</v>
      </c>
      <c r="C304" s="268">
        <v>231020</v>
      </c>
      <c r="D304" s="268">
        <v>231020</v>
      </c>
      <c r="E304">
        <v>1060</v>
      </c>
      <c r="F304" s="137">
        <v>4.5999999999999999E-3</v>
      </c>
      <c r="G304" s="202">
        <v>44070</v>
      </c>
      <c r="H304" t="s">
        <v>6659</v>
      </c>
      <c r="I304" s="40" t="s">
        <v>6413</v>
      </c>
      <c r="L304" s="40" t="str">
        <f t="shared" si="5"/>
        <v>USD,20200827,231020,231020,230910,231020,1,1,1</v>
      </c>
    </row>
    <row r="305" spans="1:12">
      <c r="A305" s="268">
        <v>225020</v>
      </c>
      <c r="B305" s="268">
        <v>224710</v>
      </c>
      <c r="C305" s="268">
        <v>230020</v>
      </c>
      <c r="D305" s="268">
        <v>229960</v>
      </c>
      <c r="E305">
        <v>5170</v>
      </c>
      <c r="F305" s="137">
        <v>2.3E-2</v>
      </c>
      <c r="G305" s="202">
        <v>44069</v>
      </c>
      <c r="H305" t="s">
        <v>6660</v>
      </c>
      <c r="I305" s="40" t="s">
        <v>6413</v>
      </c>
      <c r="L305" s="40" t="str">
        <f t="shared" si="5"/>
        <v>USD,20200826,224710,230020,224710,229960,1,1,1</v>
      </c>
    </row>
    <row r="306" spans="1:12">
      <c r="A306" s="268">
        <v>224940</v>
      </c>
      <c r="B306" s="268">
        <v>224910</v>
      </c>
      <c r="C306" s="268">
        <v>224820</v>
      </c>
      <c r="D306" s="268">
        <v>224790</v>
      </c>
      <c r="E306">
        <v>30</v>
      </c>
      <c r="F306" s="137">
        <v>1E-4</v>
      </c>
      <c r="G306" s="202">
        <v>44068</v>
      </c>
      <c r="H306" t="s">
        <v>6661</v>
      </c>
      <c r="I306" s="40" t="s">
        <v>6413</v>
      </c>
      <c r="L306" s="40" t="str">
        <f t="shared" si="5"/>
        <v>USD,20200825,224790,224820,224710,224790,1,1,1</v>
      </c>
    </row>
    <row r="307" spans="1:12">
      <c r="A307" s="268">
        <v>224970</v>
      </c>
      <c r="B307" s="268">
        <v>224910</v>
      </c>
      <c r="C307" s="268">
        <v>225020</v>
      </c>
      <c r="D307" s="268">
        <v>224820</v>
      </c>
      <c r="E307">
        <v>150</v>
      </c>
      <c r="F307" s="137">
        <v>6.9999999999999999E-4</v>
      </c>
      <c r="G307" s="202">
        <v>44067</v>
      </c>
      <c r="H307" t="s">
        <v>6662</v>
      </c>
      <c r="I307" s="40" t="s">
        <v>6413</v>
      </c>
      <c r="L307" s="40" t="str">
        <f t="shared" si="5"/>
        <v>USD,20200824,225020,225020,224710,224820,1,1,1</v>
      </c>
    </row>
    <row r="308" spans="1:12">
      <c r="A308" s="268">
        <v>223950</v>
      </c>
      <c r="B308" s="268">
        <v>223910</v>
      </c>
      <c r="C308" s="268">
        <v>225020</v>
      </c>
      <c r="D308" s="268">
        <v>224970</v>
      </c>
      <c r="E308">
        <v>50</v>
      </c>
      <c r="F308" s="137">
        <v>2.0000000000000001E-4</v>
      </c>
      <c r="G308" s="202">
        <v>44066</v>
      </c>
      <c r="H308" t="s">
        <v>6663</v>
      </c>
      <c r="I308" s="40" t="s">
        <v>6413</v>
      </c>
      <c r="L308" s="40" t="str">
        <f t="shared" si="5"/>
        <v>USD,20200823,224940,225020,224910,224970,1,1,1</v>
      </c>
    </row>
    <row r="309" spans="1:12">
      <c r="A309" s="268">
        <v>224960</v>
      </c>
      <c r="B309" s="268">
        <v>223910</v>
      </c>
      <c r="C309" s="268">
        <v>225020</v>
      </c>
      <c r="D309" s="268">
        <v>225020</v>
      </c>
      <c r="E309" t="s">
        <v>6412</v>
      </c>
      <c r="F309" t="s">
        <v>6412</v>
      </c>
      <c r="G309" s="202">
        <v>44065</v>
      </c>
      <c r="H309" t="s">
        <v>6664</v>
      </c>
      <c r="I309" s="40" t="s">
        <v>6413</v>
      </c>
      <c r="L309" s="40" t="str">
        <f t="shared" si="5"/>
        <v>USD,20200822,224970,225020,224910,225020,1,1,1</v>
      </c>
    </row>
    <row r="310" spans="1:12">
      <c r="A310" s="268">
        <v>224420</v>
      </c>
      <c r="B310" s="268">
        <v>224410</v>
      </c>
      <c r="C310" s="268">
        <v>225020</v>
      </c>
      <c r="D310" s="268">
        <v>225020</v>
      </c>
      <c r="E310">
        <v>1090</v>
      </c>
      <c r="F310" s="137">
        <v>4.8999999999999998E-3</v>
      </c>
      <c r="G310" s="202">
        <v>44063</v>
      </c>
      <c r="H310" t="s">
        <v>6665</v>
      </c>
      <c r="I310" s="40" t="s">
        <v>6413</v>
      </c>
      <c r="L310" s="40" t="str">
        <f t="shared" si="5"/>
        <v>USD,20200820,223950,225020,223910,225020,1,1,1</v>
      </c>
    </row>
    <row r="311" spans="1:12">
      <c r="A311" s="268">
        <v>218970</v>
      </c>
      <c r="B311" s="268">
        <v>218910</v>
      </c>
      <c r="C311" s="268">
        <v>225020</v>
      </c>
      <c r="D311" s="268">
        <v>223930</v>
      </c>
      <c r="E311">
        <v>1090</v>
      </c>
      <c r="F311" s="137">
        <v>4.8999999999999998E-3</v>
      </c>
      <c r="G311" s="202">
        <v>44062</v>
      </c>
      <c r="H311" t="s">
        <v>6666</v>
      </c>
      <c r="I311" s="40" t="s">
        <v>6413</v>
      </c>
      <c r="L311" s="40" t="str">
        <f t="shared" ref="L311:L338" si="6">CONCATENATE("USD",I311,TEXT(G311,"yyyymmdd"),I311,A309,I311,C311,I311,B309,I311,D311,I311,"1,1,1")</f>
        <v>USD,20200819,224960,225020,223910,223930,1,1,1</v>
      </c>
    </row>
    <row r="312" spans="1:12">
      <c r="A312" s="268">
        <v>218970</v>
      </c>
      <c r="B312" s="268">
        <v>218910</v>
      </c>
      <c r="C312" s="268">
        <v>225520</v>
      </c>
      <c r="D312" s="268">
        <v>225020</v>
      </c>
      <c r="E312">
        <v>530</v>
      </c>
      <c r="F312" s="137">
        <v>2.3999999999999998E-3</v>
      </c>
      <c r="G312" s="202">
        <v>44061</v>
      </c>
      <c r="H312" t="s">
        <v>6667</v>
      </c>
      <c r="I312" s="40" t="s">
        <v>6413</v>
      </c>
      <c r="L312" s="40" t="str">
        <f t="shared" si="6"/>
        <v>USD,20200818,224420,225520,224410,225020,1,1,1</v>
      </c>
    </row>
    <row r="313" spans="1:12">
      <c r="A313" s="268">
        <v>220520</v>
      </c>
      <c r="B313" s="268">
        <v>220410</v>
      </c>
      <c r="C313" s="268">
        <v>224520</v>
      </c>
      <c r="D313" s="268">
        <v>224490</v>
      </c>
      <c r="E313">
        <v>5470</v>
      </c>
      <c r="F313" s="137">
        <v>2.5000000000000001E-2</v>
      </c>
      <c r="G313" s="202">
        <v>44060</v>
      </c>
      <c r="H313" t="s">
        <v>6668</v>
      </c>
      <c r="I313" s="40" t="s">
        <v>6413</v>
      </c>
      <c r="L313" s="40" t="str">
        <f t="shared" si="6"/>
        <v>USD,20200817,218970,224520,218910,224490,1,1,1</v>
      </c>
    </row>
    <row r="314" spans="1:12">
      <c r="A314" s="268">
        <v>219520</v>
      </c>
      <c r="B314" s="268">
        <v>219410</v>
      </c>
      <c r="C314" s="268">
        <v>219020</v>
      </c>
      <c r="D314" s="268">
        <v>219020</v>
      </c>
      <c r="E314">
        <v>1500</v>
      </c>
      <c r="F314" s="137">
        <v>6.7999999999999996E-3</v>
      </c>
      <c r="G314" s="202">
        <v>44059</v>
      </c>
      <c r="H314" t="s">
        <v>6669</v>
      </c>
      <c r="I314" s="40" t="s">
        <v>6413</v>
      </c>
      <c r="L314" s="40" t="str">
        <f t="shared" si="6"/>
        <v>USD,20200816,218970,219020,218910,219020,1,1,1</v>
      </c>
    </row>
    <row r="315" spans="1:12">
      <c r="A315" s="268">
        <v>216800</v>
      </c>
      <c r="B315" s="268">
        <v>216710</v>
      </c>
      <c r="C315" s="268">
        <v>220520</v>
      </c>
      <c r="D315" s="268">
        <v>220520</v>
      </c>
      <c r="E315">
        <v>20</v>
      </c>
      <c r="F315" s="137">
        <v>1E-4</v>
      </c>
      <c r="G315" s="202">
        <v>44058</v>
      </c>
      <c r="H315" t="s">
        <v>6670</v>
      </c>
      <c r="I315" s="40" t="s">
        <v>6413</v>
      </c>
      <c r="L315" s="40" t="str">
        <f t="shared" si="6"/>
        <v>USD,20200815,220520,220520,220410,220520,1,1,1</v>
      </c>
    </row>
    <row r="316" spans="1:12">
      <c r="A316" s="268">
        <v>209930</v>
      </c>
      <c r="B316" s="268">
        <v>209910</v>
      </c>
      <c r="C316" s="268">
        <v>220520</v>
      </c>
      <c r="D316" s="268">
        <v>220500</v>
      </c>
      <c r="E316">
        <v>2480</v>
      </c>
      <c r="F316" s="137">
        <v>1.14E-2</v>
      </c>
      <c r="G316" s="202">
        <v>44056</v>
      </c>
      <c r="H316" t="s">
        <v>6671</v>
      </c>
      <c r="I316" s="40" t="s">
        <v>6413</v>
      </c>
      <c r="L316" s="40" t="str">
        <f t="shared" si="6"/>
        <v>USD,20200813,219520,220520,219410,220500,1,1,1</v>
      </c>
    </row>
    <row r="317" spans="1:12">
      <c r="A317" s="268">
        <v>217960</v>
      </c>
      <c r="B317" s="268">
        <v>207910</v>
      </c>
      <c r="C317" s="268">
        <v>218020</v>
      </c>
      <c r="D317" s="268">
        <v>218020</v>
      </c>
      <c r="E317">
        <v>1200</v>
      </c>
      <c r="F317" s="137">
        <v>5.4999999999999997E-3</v>
      </c>
      <c r="G317" s="202">
        <v>44055</v>
      </c>
      <c r="H317" t="s">
        <v>6672</v>
      </c>
      <c r="I317" s="40" t="s">
        <v>6413</v>
      </c>
      <c r="L317" s="40" t="str">
        <f t="shared" si="6"/>
        <v>USD,20200812,216800,218020,216710,218020,1,1,1</v>
      </c>
    </row>
    <row r="318" spans="1:12">
      <c r="A318" s="268">
        <v>229980</v>
      </c>
      <c r="B318" s="268">
        <v>217910</v>
      </c>
      <c r="C318" s="268">
        <v>216820</v>
      </c>
      <c r="D318" s="268">
        <v>216820</v>
      </c>
      <c r="E318">
        <v>6910</v>
      </c>
      <c r="F318" s="137">
        <v>3.2899999999999999E-2</v>
      </c>
      <c r="G318" s="202">
        <v>44054</v>
      </c>
      <c r="H318" t="s">
        <v>6673</v>
      </c>
      <c r="I318" s="40" t="s">
        <v>6413</v>
      </c>
      <c r="L318" s="40" t="str">
        <f t="shared" si="6"/>
        <v>USD,20200811,209930,216820,209910,216820,1,1,1</v>
      </c>
    </row>
    <row r="319" spans="1:12">
      <c r="A319" s="268">
        <v>229970</v>
      </c>
      <c r="B319" s="268">
        <v>229910</v>
      </c>
      <c r="C319" s="268">
        <v>218020</v>
      </c>
      <c r="D319" s="268">
        <v>209910</v>
      </c>
      <c r="E319">
        <v>8110</v>
      </c>
      <c r="F319" s="137">
        <v>3.8600000000000002E-2</v>
      </c>
      <c r="G319" s="202">
        <v>44053</v>
      </c>
      <c r="H319" t="s">
        <v>6674</v>
      </c>
      <c r="I319" s="40" t="s">
        <v>6413</v>
      </c>
      <c r="L319" s="40" t="str">
        <f t="shared" si="6"/>
        <v>USD,20200810,217960,218020,207910,209910,1,1,1</v>
      </c>
    </row>
    <row r="320" spans="1:12">
      <c r="A320" s="268">
        <v>223020</v>
      </c>
      <c r="B320" s="268">
        <v>222910</v>
      </c>
      <c r="C320" s="268">
        <v>230020</v>
      </c>
      <c r="D320" s="268">
        <v>218020</v>
      </c>
      <c r="E320">
        <v>12000</v>
      </c>
      <c r="F320" s="137">
        <v>5.5E-2</v>
      </c>
      <c r="G320" s="202">
        <v>44052</v>
      </c>
      <c r="H320" t="s">
        <v>6675</v>
      </c>
      <c r="I320" s="40" t="s">
        <v>6413</v>
      </c>
      <c r="L320" s="40" t="str">
        <f t="shared" si="6"/>
        <v>USD,20200809,229980,230020,217910,218020,1,1,1</v>
      </c>
    </row>
    <row r="321" spans="1:12">
      <c r="A321" s="268">
        <v>219020</v>
      </c>
      <c r="B321" s="268">
        <v>218910</v>
      </c>
      <c r="C321" s="268">
        <v>230020</v>
      </c>
      <c r="D321" s="268">
        <v>230020</v>
      </c>
      <c r="E321">
        <v>3000</v>
      </c>
      <c r="F321" s="137">
        <v>1.32E-2</v>
      </c>
      <c r="G321" s="202">
        <v>44049</v>
      </c>
      <c r="H321" t="s">
        <v>6676</v>
      </c>
      <c r="I321" s="40" t="s">
        <v>6413</v>
      </c>
      <c r="L321" s="40" t="str">
        <f t="shared" si="6"/>
        <v>USD,20200806,229970,230020,229910,230020,1,1,1</v>
      </c>
    </row>
    <row r="322" spans="1:12">
      <c r="A322" s="268">
        <v>217000</v>
      </c>
      <c r="B322" s="268">
        <v>216910</v>
      </c>
      <c r="C322" s="268">
        <v>227020</v>
      </c>
      <c r="D322" s="268">
        <v>227020</v>
      </c>
      <c r="E322">
        <v>4060</v>
      </c>
      <c r="F322" s="137">
        <v>1.8200000000000001E-2</v>
      </c>
      <c r="G322" s="202">
        <v>44048</v>
      </c>
      <c r="H322" t="s">
        <v>6322</v>
      </c>
      <c r="I322" s="40" t="s">
        <v>6413</v>
      </c>
      <c r="L322" s="40" t="str">
        <f t="shared" si="6"/>
        <v>USD,20200805,223020,227020,222910,227020,1,1,1</v>
      </c>
    </row>
    <row r="323" spans="1:12">
      <c r="A323" s="268">
        <v>212940</v>
      </c>
      <c r="B323" s="268">
        <v>212910</v>
      </c>
      <c r="C323" s="268">
        <v>223020</v>
      </c>
      <c r="D323" s="268">
        <v>222960</v>
      </c>
      <c r="E323">
        <v>3970</v>
      </c>
      <c r="F323" s="137">
        <v>1.8100000000000002E-2</v>
      </c>
      <c r="G323" s="202">
        <v>44047</v>
      </c>
      <c r="H323" t="s">
        <v>6677</v>
      </c>
      <c r="I323" s="40" t="s">
        <v>6413</v>
      </c>
      <c r="L323" s="40" t="str">
        <f t="shared" si="6"/>
        <v>USD,20200804,219020,223020,218910,222960,1,1,1</v>
      </c>
    </row>
    <row r="324" spans="1:12">
      <c r="A324" s="268">
        <v>207940</v>
      </c>
      <c r="B324" s="268">
        <v>207910</v>
      </c>
      <c r="C324" s="268">
        <v>219020</v>
      </c>
      <c r="D324" s="268">
        <v>218990</v>
      </c>
      <c r="E324">
        <v>1970</v>
      </c>
      <c r="F324" s="137">
        <v>9.1000000000000004E-3</v>
      </c>
      <c r="G324" s="202">
        <v>44046</v>
      </c>
      <c r="H324" t="s">
        <v>6678</v>
      </c>
      <c r="I324" s="40" t="s">
        <v>6413</v>
      </c>
      <c r="L324" s="40" t="str">
        <f t="shared" si="6"/>
        <v>USD,20200803,217000,219020,216910,218990,1,1,1</v>
      </c>
    </row>
    <row r="325" spans="1:12">
      <c r="A325" s="268">
        <v>207990</v>
      </c>
      <c r="B325" s="268">
        <v>207910</v>
      </c>
      <c r="C325" s="268">
        <v>217020</v>
      </c>
      <c r="D325" s="268">
        <v>217020</v>
      </c>
      <c r="E325">
        <v>4000</v>
      </c>
      <c r="F325" s="137">
        <v>1.8800000000000001E-2</v>
      </c>
      <c r="G325" s="202">
        <v>44045</v>
      </c>
      <c r="H325" t="s">
        <v>6679</v>
      </c>
      <c r="I325" s="40" t="s">
        <v>6413</v>
      </c>
      <c r="L325" s="40" t="str">
        <f t="shared" si="6"/>
        <v>USD,20200802,212940,217020,212910,217020,1,1,1</v>
      </c>
    </row>
    <row r="326" spans="1:12">
      <c r="A326" s="268">
        <v>204930</v>
      </c>
      <c r="B326" s="268">
        <v>204910</v>
      </c>
      <c r="C326" s="268">
        <v>213020</v>
      </c>
      <c r="D326" s="268">
        <v>213020</v>
      </c>
      <c r="E326">
        <v>5000</v>
      </c>
      <c r="F326" s="137">
        <v>2.4E-2</v>
      </c>
      <c r="G326" s="202">
        <v>44044</v>
      </c>
      <c r="H326" t="s">
        <v>6680</v>
      </c>
      <c r="I326" s="40" t="s">
        <v>6413</v>
      </c>
      <c r="L326" s="40" t="str">
        <f t="shared" si="6"/>
        <v>USD,20200801,207940,213020,207910,213020,1,1,1</v>
      </c>
    </row>
    <row r="327" spans="1:12">
      <c r="A327" s="268">
        <v>205020</v>
      </c>
      <c r="B327" s="268">
        <v>204910</v>
      </c>
      <c r="C327" s="268">
        <v>208020</v>
      </c>
      <c r="D327" s="268">
        <v>208020</v>
      </c>
      <c r="E327">
        <v>3030</v>
      </c>
      <c r="F327" s="137">
        <v>1.4800000000000001E-2</v>
      </c>
      <c r="G327" s="202">
        <v>44042</v>
      </c>
      <c r="H327" t="s">
        <v>6681</v>
      </c>
      <c r="I327" s="40" t="s">
        <v>6413</v>
      </c>
      <c r="L327" s="40" t="str">
        <f t="shared" si="6"/>
        <v>USD,20200730,207990,208020,207910,208020,1,1,1</v>
      </c>
    </row>
    <row r="328" spans="1:12">
      <c r="A328" s="268">
        <v>202980</v>
      </c>
      <c r="B328" s="268">
        <v>202910</v>
      </c>
      <c r="C328" s="268">
        <v>205020</v>
      </c>
      <c r="D328" s="268">
        <v>204990</v>
      </c>
      <c r="E328">
        <v>70</v>
      </c>
      <c r="F328" s="137">
        <v>2.9999999999999997E-4</v>
      </c>
      <c r="G328" s="202">
        <v>44041</v>
      </c>
      <c r="H328" t="s">
        <v>6682</v>
      </c>
      <c r="I328" s="40" t="s">
        <v>6413</v>
      </c>
      <c r="L328" s="40" t="str">
        <f t="shared" si="6"/>
        <v>USD,20200729,204930,205020,204910,204990,1,1,1</v>
      </c>
    </row>
    <row r="329" spans="1:12">
      <c r="A329" s="268">
        <v>202940</v>
      </c>
      <c r="B329" s="268">
        <v>202910</v>
      </c>
      <c r="C329" s="268">
        <v>205020</v>
      </c>
      <c r="D329" s="268">
        <v>204920</v>
      </c>
      <c r="E329">
        <v>10</v>
      </c>
      <c r="F329" t="s">
        <v>6412</v>
      </c>
      <c r="G329" s="202">
        <v>44040</v>
      </c>
      <c r="H329" t="s">
        <v>6683</v>
      </c>
      <c r="I329" s="40" t="s">
        <v>6413</v>
      </c>
      <c r="L329" s="40" t="str">
        <f t="shared" si="6"/>
        <v>USD,20200728,205020,205020,204910,204920,1,1,1</v>
      </c>
    </row>
    <row r="330" spans="1:12">
      <c r="A330" s="268">
        <v>203020</v>
      </c>
      <c r="B330" s="268">
        <v>202910</v>
      </c>
      <c r="C330" s="268">
        <v>205020</v>
      </c>
      <c r="D330" s="268">
        <v>204910</v>
      </c>
      <c r="E330">
        <v>1960</v>
      </c>
      <c r="F330" s="137">
        <v>9.7000000000000003E-3</v>
      </c>
      <c r="G330" s="202">
        <v>44039</v>
      </c>
      <c r="H330" t="s">
        <v>6684</v>
      </c>
      <c r="I330" s="40" t="s">
        <v>6413</v>
      </c>
      <c r="L330" s="40" t="str">
        <f t="shared" si="6"/>
        <v>USD,20200727,202980,205020,202910,204910,1,1,1</v>
      </c>
    </row>
    <row r="331" spans="1:12">
      <c r="A331" s="268">
        <v>203000</v>
      </c>
      <c r="B331" s="268">
        <v>202910</v>
      </c>
      <c r="C331" s="268">
        <v>203020</v>
      </c>
      <c r="D331" s="268">
        <v>202950</v>
      </c>
      <c r="E331">
        <v>70</v>
      </c>
      <c r="F331" s="137">
        <v>2.9999999999999997E-4</v>
      </c>
      <c r="G331" s="202">
        <v>44038</v>
      </c>
      <c r="H331" t="s">
        <v>6685</v>
      </c>
      <c r="I331" s="40" t="s">
        <v>6413</v>
      </c>
      <c r="L331" s="40" t="str">
        <f t="shared" si="6"/>
        <v>USD,20200726,202940,203020,202910,202950,1,1,1</v>
      </c>
    </row>
    <row r="332" spans="1:12">
      <c r="A332" s="268">
        <v>204430</v>
      </c>
      <c r="B332" s="268">
        <v>203410</v>
      </c>
      <c r="C332" s="268">
        <v>203020</v>
      </c>
      <c r="D332" s="268">
        <v>203020</v>
      </c>
      <c r="E332">
        <v>110</v>
      </c>
      <c r="F332" s="137">
        <v>5.0000000000000001E-4</v>
      </c>
      <c r="G332" s="202">
        <v>44037</v>
      </c>
      <c r="H332" t="s">
        <v>6686</v>
      </c>
      <c r="I332" s="40" t="s">
        <v>6413</v>
      </c>
      <c r="L332" s="40" t="str">
        <f t="shared" si="6"/>
        <v>USD,20200725,203020,203020,202910,203020,1,1,1</v>
      </c>
    </row>
    <row r="333" spans="1:12">
      <c r="A333" s="268">
        <v>225920</v>
      </c>
      <c r="B333" s="268">
        <v>204410</v>
      </c>
      <c r="C333" s="268">
        <v>203020</v>
      </c>
      <c r="D333" s="268">
        <v>202910</v>
      </c>
      <c r="E333">
        <v>520</v>
      </c>
      <c r="F333" s="137">
        <v>2.5999999999999999E-3</v>
      </c>
      <c r="G333" s="202">
        <v>44035</v>
      </c>
      <c r="H333" t="s">
        <v>6687</v>
      </c>
      <c r="I333" s="40" t="s">
        <v>6413</v>
      </c>
      <c r="L333" s="40" t="str">
        <f t="shared" si="6"/>
        <v>USD,20200723,203000,203020,202910,202910,1,1,1</v>
      </c>
    </row>
    <row r="334" spans="1:12">
      <c r="A334" s="268">
        <v>279840</v>
      </c>
      <c r="B334" s="268">
        <v>279700</v>
      </c>
      <c r="C334" s="268">
        <v>204520</v>
      </c>
      <c r="D334" s="268">
        <v>203430</v>
      </c>
      <c r="E334">
        <v>1090</v>
      </c>
      <c r="F334" s="137">
        <v>5.4000000000000003E-3</v>
      </c>
      <c r="G334" s="202">
        <v>44034</v>
      </c>
      <c r="H334" t="s">
        <v>6688</v>
      </c>
      <c r="I334" s="40" t="s">
        <v>6413</v>
      </c>
      <c r="L334" s="40" t="str">
        <f t="shared" si="6"/>
        <v>USD,20200722,204430,204520,203410,203430,1,1,1</v>
      </c>
    </row>
    <row r="335" spans="1:12" ht="15.75" thickBot="1">
      <c r="A335" s="268">
        <v>278010</v>
      </c>
      <c r="B335" s="268">
        <v>277200</v>
      </c>
      <c r="C335" s="268">
        <v>226020</v>
      </c>
      <c r="D335" s="268">
        <v>204520</v>
      </c>
      <c r="E335">
        <v>21500</v>
      </c>
      <c r="F335" s="137">
        <v>0.1051</v>
      </c>
      <c r="G335" s="202">
        <v>44033</v>
      </c>
      <c r="H335" t="s">
        <v>6689</v>
      </c>
      <c r="I335" s="40" t="s">
        <v>6413</v>
      </c>
      <c r="L335" s="40" t="str">
        <f t="shared" si="6"/>
        <v>USD,20200721,225920,226020,204410,204520,1,1,1</v>
      </c>
    </row>
    <row r="336" spans="1:12" ht="15.75" thickBot="1">
      <c r="A336" s="390">
        <v>283180</v>
      </c>
      <c r="B336" s="391">
        <v>283100</v>
      </c>
      <c r="C336" s="391">
        <v>284480</v>
      </c>
      <c r="D336" s="391">
        <v>284240</v>
      </c>
      <c r="E336" s="392">
        <v>580</v>
      </c>
      <c r="F336" s="393">
        <v>2E-3</v>
      </c>
      <c r="G336" s="394">
        <v>44511</v>
      </c>
      <c r="H336" s="395" t="s">
        <v>6799</v>
      </c>
      <c r="I336" s="40" t="s">
        <v>6413</v>
      </c>
      <c r="L336" s="40" t="str">
        <f t="shared" si="6"/>
        <v>USD,20211111,279840,284480,279700,284240,1,1,1</v>
      </c>
    </row>
    <row r="337" spans="1:12" ht="15.75" thickBot="1">
      <c r="A337" s="378">
        <v>281760</v>
      </c>
      <c r="B337" s="379">
        <v>281400</v>
      </c>
      <c r="C337" s="379">
        <v>283880</v>
      </c>
      <c r="D337" s="379">
        <v>283660</v>
      </c>
      <c r="E337" s="380">
        <v>2600</v>
      </c>
      <c r="F337" s="381">
        <v>9.2999999999999992E-3</v>
      </c>
      <c r="G337" s="382">
        <v>44510</v>
      </c>
      <c r="H337" s="383" t="s">
        <v>6800</v>
      </c>
      <c r="I337" s="40" t="s">
        <v>6413</v>
      </c>
      <c r="L337" s="40" t="str">
        <f t="shared" si="6"/>
        <v>USD,20211110,278010,283880,277200,283660,1,1,1</v>
      </c>
    </row>
    <row r="338" spans="1:12" ht="15.75" thickBot="1">
      <c r="A338" s="384">
        <v>280230</v>
      </c>
      <c r="B338" s="385">
        <v>280200</v>
      </c>
      <c r="C338" s="385">
        <v>281780</v>
      </c>
      <c r="D338" s="385">
        <v>281060</v>
      </c>
      <c r="E338" s="386">
        <v>820</v>
      </c>
      <c r="F338" s="387">
        <v>2.8999999999999998E-3</v>
      </c>
      <c r="G338" s="388">
        <v>44509</v>
      </c>
      <c r="H338" s="389" t="s">
        <v>6801</v>
      </c>
      <c r="I338" s="40" t="s">
        <v>6413</v>
      </c>
      <c r="L338" s="40" t="str">
        <f t="shared" si="6"/>
        <v>USD,20211109,283180,281780,283100,281060,1,1,1</v>
      </c>
    </row>
    <row r="339" spans="1:12">
      <c r="A339" s="268"/>
      <c r="B339" s="268"/>
    </row>
    <row r="340" spans="1:12">
      <c r="A340" s="268"/>
      <c r="B340" s="268"/>
    </row>
    <row r="341" spans="1:12">
      <c r="A341" s="268"/>
      <c r="B341" s="268"/>
    </row>
    <row r="342" spans="1:12">
      <c r="A342" s="268"/>
      <c r="B342" s="268"/>
    </row>
    <row r="343" spans="1:12">
      <c r="A343" s="268"/>
      <c r="B343" s="268"/>
    </row>
    <row r="344" spans="1:12">
      <c r="A344" s="268"/>
      <c r="B344" s="268"/>
    </row>
    <row r="345" spans="1:12">
      <c r="A345" s="268"/>
      <c r="B345" s="268"/>
    </row>
    <row r="346" spans="1:12">
      <c r="A346" s="268"/>
      <c r="B346" s="268"/>
    </row>
    <row r="347" spans="1:12">
      <c r="A347" s="268"/>
      <c r="B347" s="268"/>
    </row>
    <row r="348" spans="1:12">
      <c r="A348" s="268"/>
      <c r="B348" s="268"/>
    </row>
    <row r="349" spans="1:12">
      <c r="A349" s="268"/>
      <c r="B349" s="268"/>
    </row>
    <row r="350" spans="1:12">
      <c r="A350" s="268"/>
      <c r="B350" s="268"/>
    </row>
    <row r="351" spans="1:12">
      <c r="A351" s="268"/>
      <c r="B351" s="268"/>
    </row>
    <row r="352" spans="1:12">
      <c r="A352" s="268"/>
      <c r="B352" s="268"/>
    </row>
    <row r="353" spans="1:2">
      <c r="A353" s="268"/>
      <c r="B353" s="268"/>
    </row>
    <row r="354" spans="1:2">
      <c r="A354" s="268"/>
      <c r="B354" s="268"/>
    </row>
    <row r="355" spans="1:2">
      <c r="A355" s="268"/>
      <c r="B355" s="268"/>
    </row>
    <row r="356" spans="1:2">
      <c r="A356" s="268"/>
      <c r="B356" s="268"/>
    </row>
    <row r="357" spans="1:2">
      <c r="A357" s="268"/>
      <c r="B357" s="268"/>
    </row>
    <row r="358" spans="1:2">
      <c r="A358" s="268"/>
      <c r="B358" s="268"/>
    </row>
    <row r="359" spans="1:2">
      <c r="A359" s="268"/>
      <c r="B359" s="268"/>
    </row>
    <row r="360" spans="1:2">
      <c r="A360" s="268"/>
      <c r="B360" s="268"/>
    </row>
    <row r="361" spans="1:2">
      <c r="A361" s="268"/>
      <c r="B361" s="268"/>
    </row>
    <row r="362" spans="1:2">
      <c r="A362" s="268"/>
      <c r="B362" s="268"/>
    </row>
    <row r="363" spans="1:2">
      <c r="A363" s="268"/>
      <c r="B363" s="268"/>
    </row>
    <row r="364" spans="1:2">
      <c r="A364" s="268"/>
      <c r="B364" s="268"/>
    </row>
    <row r="365" spans="1:2">
      <c r="A365" s="268"/>
      <c r="B365" s="268"/>
    </row>
    <row r="366" spans="1:2">
      <c r="A366" s="268"/>
      <c r="B366" s="268"/>
    </row>
    <row r="367" spans="1:2">
      <c r="A367" s="268"/>
      <c r="B367" s="268"/>
    </row>
    <row r="368" spans="1:2">
      <c r="A368" s="268"/>
      <c r="B368" s="268"/>
    </row>
    <row r="369" spans="1:2">
      <c r="A369" s="268"/>
      <c r="B369" s="268"/>
    </row>
    <row r="370" spans="1:2">
      <c r="A370" s="268"/>
      <c r="B370" s="268"/>
    </row>
    <row r="371" spans="1:2">
      <c r="A371" s="268"/>
      <c r="B371" s="268"/>
    </row>
    <row r="372" spans="1:2">
      <c r="A372" s="268"/>
      <c r="B372" s="268"/>
    </row>
    <row r="373" spans="1:2">
      <c r="A373" s="268"/>
      <c r="B373" s="268"/>
    </row>
    <row r="374" spans="1:2">
      <c r="A374" s="268"/>
      <c r="B374" s="268"/>
    </row>
    <row r="375" spans="1:2">
      <c r="A375" s="268"/>
      <c r="B375" s="268"/>
    </row>
    <row r="376" spans="1:2">
      <c r="A376" s="268"/>
      <c r="B376" s="268"/>
    </row>
    <row r="377" spans="1:2">
      <c r="A377" s="268"/>
      <c r="B377" s="268"/>
    </row>
    <row r="378" spans="1:2">
      <c r="A378" s="268"/>
      <c r="B378" s="268"/>
    </row>
    <row r="379" spans="1:2">
      <c r="A379" s="268"/>
      <c r="B379" s="268"/>
    </row>
    <row r="380" spans="1:2">
      <c r="A380" s="268"/>
      <c r="B380" s="268"/>
    </row>
    <row r="381" spans="1:2">
      <c r="A381" s="268"/>
      <c r="B381" s="268"/>
    </row>
    <row r="382" spans="1:2">
      <c r="A382" s="268"/>
      <c r="B382" s="268"/>
    </row>
    <row r="383" spans="1:2">
      <c r="A383" s="268"/>
      <c r="B383" s="26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12"/>
  <sheetViews>
    <sheetView workbookViewId="0">
      <selection activeCell="B13" sqref="B13"/>
    </sheetView>
  </sheetViews>
  <sheetFormatPr defaultRowHeight="15"/>
  <cols>
    <col min="1" max="1" width="9.28515625" bestFit="1" customWidth="1"/>
    <col min="2" max="2" width="24.85546875" bestFit="1" customWidth="1"/>
    <col min="3" max="3" width="22" bestFit="1" customWidth="1"/>
    <col min="4" max="4" width="8.42578125" bestFit="1" customWidth="1"/>
    <col min="5" max="5" width="26" bestFit="1" customWidth="1"/>
    <col min="6" max="6" width="15.140625" bestFit="1" customWidth="1"/>
    <col min="7" max="7" width="26.42578125" bestFit="1" customWidth="1"/>
  </cols>
  <sheetData>
    <row r="1" spans="1:7">
      <c r="A1" s="290" t="s">
        <v>6189</v>
      </c>
      <c r="B1" s="291" t="s">
        <v>6187</v>
      </c>
      <c r="C1" s="32" t="s">
        <v>6200</v>
      </c>
      <c r="D1" s="236" t="s">
        <v>1098</v>
      </c>
      <c r="E1" s="32" t="s">
        <v>6188</v>
      </c>
      <c r="F1" s="205" t="s">
        <v>5833</v>
      </c>
      <c r="G1" s="205" t="s">
        <v>6199</v>
      </c>
    </row>
    <row r="2" spans="1:7">
      <c r="A2" s="290">
        <v>1390</v>
      </c>
      <c r="B2" s="291">
        <v>354</v>
      </c>
      <c r="C2" s="32"/>
      <c r="D2" s="236">
        <v>1900</v>
      </c>
      <c r="E2" s="32">
        <f t="shared" ref="E2:E12" si="0">B2*1000/D2</f>
        <v>186.31578947368422</v>
      </c>
      <c r="F2" s="18">
        <v>700000</v>
      </c>
      <c r="G2" s="205">
        <f t="shared" ref="G2:G12" si="1">B2*1000*1000/F2</f>
        <v>505.71428571428572</v>
      </c>
    </row>
    <row r="3" spans="1:7">
      <c r="A3" s="290">
        <v>1391</v>
      </c>
      <c r="B3" s="291">
        <v>460</v>
      </c>
      <c r="C3" s="32">
        <f t="shared" ref="C3:C12" si="2">(B3-B2)*100/B2</f>
        <v>29.943502824858758</v>
      </c>
      <c r="D3" s="236">
        <v>3200</v>
      </c>
      <c r="E3" s="32">
        <f t="shared" si="0"/>
        <v>143.75</v>
      </c>
      <c r="F3" s="18">
        <v>1200000</v>
      </c>
      <c r="G3" s="205">
        <f t="shared" si="1"/>
        <v>383.33333333333331</v>
      </c>
    </row>
    <row r="4" spans="1:7">
      <c r="A4" s="290">
        <v>1392</v>
      </c>
      <c r="B4" s="291">
        <v>640</v>
      </c>
      <c r="C4" s="32">
        <f t="shared" si="2"/>
        <v>39.130434782608695</v>
      </c>
      <c r="D4" s="236">
        <v>3100</v>
      </c>
      <c r="E4" s="32">
        <f t="shared" si="0"/>
        <v>206.45161290322579</v>
      </c>
      <c r="F4" s="18">
        <v>970000</v>
      </c>
      <c r="G4" s="205">
        <f t="shared" si="1"/>
        <v>659.79381443298973</v>
      </c>
    </row>
    <row r="5" spans="1:7">
      <c r="A5" s="290">
        <v>1393</v>
      </c>
      <c r="B5" s="291">
        <v>782</v>
      </c>
      <c r="C5" s="32">
        <f t="shared" si="2"/>
        <v>22.1875</v>
      </c>
      <c r="D5" s="236">
        <v>3300</v>
      </c>
      <c r="E5" s="32">
        <f t="shared" si="0"/>
        <v>236.96969696969697</v>
      </c>
      <c r="F5" s="18">
        <v>1000000</v>
      </c>
      <c r="G5" s="205">
        <f t="shared" si="1"/>
        <v>782</v>
      </c>
    </row>
    <row r="6" spans="1:7">
      <c r="A6" s="290">
        <v>1394</v>
      </c>
      <c r="B6" s="291">
        <v>1017</v>
      </c>
      <c r="C6" s="32">
        <f t="shared" si="2"/>
        <v>30.051150895140665</v>
      </c>
      <c r="D6" s="236">
        <v>3500</v>
      </c>
      <c r="E6" s="32">
        <f t="shared" si="0"/>
        <v>290.57142857142856</v>
      </c>
      <c r="F6" s="18">
        <v>1000000</v>
      </c>
      <c r="G6" s="205">
        <f t="shared" si="1"/>
        <v>1017</v>
      </c>
    </row>
    <row r="7" spans="1:7">
      <c r="A7" s="290">
        <v>1395</v>
      </c>
      <c r="B7" s="291">
        <v>1253</v>
      </c>
      <c r="C7" s="32">
        <f t="shared" si="2"/>
        <v>23.2055063913471</v>
      </c>
      <c r="D7" s="236">
        <v>3800</v>
      </c>
      <c r="E7" s="32">
        <f t="shared" si="0"/>
        <v>329.73684210526318</v>
      </c>
      <c r="F7" s="18">
        <v>1100000</v>
      </c>
      <c r="G7" s="205">
        <f t="shared" si="1"/>
        <v>1139.090909090909</v>
      </c>
    </row>
    <row r="8" spans="1:7">
      <c r="A8" s="290">
        <v>1396</v>
      </c>
      <c r="B8" s="291">
        <v>1530</v>
      </c>
      <c r="C8" s="32">
        <f t="shared" si="2"/>
        <v>22.106943335993616</v>
      </c>
      <c r="D8" s="236">
        <v>4500</v>
      </c>
      <c r="E8" s="32">
        <f t="shared" si="0"/>
        <v>340</v>
      </c>
      <c r="F8" s="18">
        <v>1400000</v>
      </c>
      <c r="G8" s="205">
        <f t="shared" si="1"/>
        <v>1092.8571428571429</v>
      </c>
    </row>
    <row r="9" spans="1:7">
      <c r="A9" s="290">
        <v>1397</v>
      </c>
      <c r="B9" s="291">
        <v>1882</v>
      </c>
      <c r="C9" s="32">
        <f t="shared" si="2"/>
        <v>23.006535947712418</v>
      </c>
      <c r="D9" s="236">
        <v>12000</v>
      </c>
      <c r="E9" s="32">
        <f t="shared" si="0"/>
        <v>156.83333333333334</v>
      </c>
      <c r="F9" s="18">
        <v>4750000</v>
      </c>
      <c r="G9" s="205">
        <f t="shared" si="1"/>
        <v>396.21052631578948</v>
      </c>
    </row>
    <row r="10" spans="1:7">
      <c r="A10" s="290">
        <v>1398</v>
      </c>
      <c r="B10" s="291">
        <v>2472</v>
      </c>
      <c r="C10" s="32">
        <f t="shared" si="2"/>
        <v>31.349628055260361</v>
      </c>
      <c r="D10" s="236">
        <v>15000</v>
      </c>
      <c r="E10" s="32">
        <f t="shared" si="0"/>
        <v>164.8</v>
      </c>
      <c r="F10" s="18">
        <v>6600000</v>
      </c>
      <c r="G10" s="205">
        <f t="shared" si="1"/>
        <v>374.54545454545456</v>
      </c>
    </row>
    <row r="11" spans="1:7">
      <c r="A11" s="290">
        <v>1399</v>
      </c>
      <c r="B11" s="291">
        <v>3476</v>
      </c>
      <c r="C11" s="32">
        <f t="shared" si="2"/>
        <v>40.614886731391586</v>
      </c>
      <c r="D11" s="236">
        <v>25000</v>
      </c>
      <c r="E11" s="32">
        <f t="shared" si="0"/>
        <v>139.04</v>
      </c>
      <c r="F11" s="18">
        <v>12000000</v>
      </c>
      <c r="G11" s="205">
        <f t="shared" si="1"/>
        <v>289.66666666666669</v>
      </c>
    </row>
    <row r="12" spans="1:7">
      <c r="A12" s="290">
        <v>1400</v>
      </c>
      <c r="B12" s="291">
        <v>5000</v>
      </c>
      <c r="C12" s="32">
        <f t="shared" si="2"/>
        <v>43.843498273878019</v>
      </c>
      <c r="D12" s="236">
        <v>35000</v>
      </c>
      <c r="E12" s="32">
        <f t="shared" si="0"/>
        <v>142.85714285714286</v>
      </c>
      <c r="F12" s="18">
        <v>12000000</v>
      </c>
      <c r="G12" s="205">
        <f t="shared" si="1"/>
        <v>416.66666666666669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C618"/>
  <sheetViews>
    <sheetView tabSelected="1" topLeftCell="I30" zoomScale="85" zoomScaleNormal="85" workbookViewId="0">
      <selection activeCell="Q71" sqref="Q71"/>
    </sheetView>
  </sheetViews>
  <sheetFormatPr defaultRowHeight="15"/>
  <cols>
    <col min="1" max="1" width="5" bestFit="1" customWidth="1"/>
    <col min="2" max="2" width="3" bestFit="1" customWidth="1"/>
    <col min="3" max="3" width="16.140625" bestFit="1" customWidth="1"/>
    <col min="4" max="4" width="21.5703125" bestFit="1" customWidth="1"/>
    <col min="5" max="5" width="17.140625" bestFit="1" customWidth="1"/>
    <col min="6" max="6" width="27.28515625" customWidth="1"/>
    <col min="7" max="7" width="19.42578125" bestFit="1" customWidth="1"/>
    <col min="8" max="8" width="39.7109375" customWidth="1"/>
    <col min="9" max="9" width="33" bestFit="1" customWidth="1"/>
    <col min="10" max="10" width="40.7109375" customWidth="1"/>
    <col min="11" max="11" width="39.5703125" customWidth="1"/>
    <col min="12" max="12" width="20" bestFit="1" customWidth="1"/>
    <col min="13" max="13" width="46.28515625" bestFit="1" customWidth="1"/>
    <col min="14" max="14" width="20.7109375" bestFit="1" customWidth="1"/>
    <col min="15" max="15" width="16.28515625" customWidth="1"/>
    <col min="16" max="16" width="28.5703125" bestFit="1" customWidth="1"/>
    <col min="17" max="17" width="15.7109375" style="369" customWidth="1"/>
    <col min="18" max="18" width="37.5703125" bestFit="1" customWidth="1"/>
    <col min="19" max="19" width="20.140625" bestFit="1" customWidth="1"/>
    <col min="20" max="20" width="22.5703125" bestFit="1" customWidth="1"/>
    <col min="21" max="21" width="44.85546875" bestFit="1" customWidth="1"/>
    <col min="22" max="22" width="18.7109375" style="94" bestFit="1" customWidth="1"/>
    <col min="23" max="23" width="24" bestFit="1" customWidth="1"/>
    <col min="24" max="24" width="20.140625" style="94" bestFit="1" customWidth="1"/>
    <col min="25" max="25" width="20.5703125" customWidth="1"/>
    <col min="26" max="26" width="24" customWidth="1"/>
    <col min="27" max="27" width="16.140625" bestFit="1" customWidth="1"/>
    <col min="28" max="28" width="25.7109375" bestFit="1" customWidth="1"/>
    <col min="29" max="29" width="16.140625" bestFit="1" customWidth="1"/>
    <col min="30" max="30" width="17" customWidth="1"/>
    <col min="31" max="31" width="16.85546875" bestFit="1" customWidth="1"/>
    <col min="32" max="32" width="13.85546875" style="94" bestFit="1" customWidth="1"/>
    <col min="33" max="33" width="16.140625" style="94" bestFit="1" customWidth="1"/>
    <col min="36" max="36" width="21.42578125" bestFit="1" customWidth="1"/>
    <col min="37" max="37" width="18.7109375" bestFit="1" customWidth="1"/>
    <col min="38" max="38" width="19.140625" bestFit="1" customWidth="1"/>
    <col min="39" max="39" width="16.85546875" bestFit="1" customWidth="1"/>
    <col min="40" max="40" width="21.140625" customWidth="1"/>
    <col min="41" max="41" width="23.7109375" bestFit="1" customWidth="1"/>
    <col min="44" max="44" width="6.28515625" bestFit="1" customWidth="1"/>
    <col min="45" max="45" width="15.7109375" bestFit="1" customWidth="1"/>
    <col min="46" max="46" width="15.140625" bestFit="1" customWidth="1"/>
    <col min="47" max="47" width="40.42578125" style="94" bestFit="1" customWidth="1"/>
    <col min="48" max="48" width="38.42578125" style="94" bestFit="1" customWidth="1"/>
    <col min="49" max="49" width="15" bestFit="1" customWidth="1"/>
    <col min="50" max="50" width="15.140625" bestFit="1" customWidth="1"/>
    <col min="51" max="51" width="8.7109375" bestFit="1" customWidth="1"/>
    <col min="52" max="52" width="16.85546875" bestFit="1" customWidth="1"/>
    <col min="53" max="53" width="36.7109375" customWidth="1"/>
    <col min="54" max="54" width="15.140625" bestFit="1" customWidth="1"/>
    <col min="55" max="55" width="32.28515625" bestFit="1" customWidth="1"/>
  </cols>
  <sheetData>
    <row r="1" spans="1:46">
      <c r="A1" s="11" t="s">
        <v>448</v>
      </c>
      <c r="B1" s="11" t="s">
        <v>446</v>
      </c>
      <c r="C1" s="11" t="s">
        <v>705</v>
      </c>
      <c r="D1" s="11" t="s">
        <v>447</v>
      </c>
      <c r="E1" s="11" t="s">
        <v>544</v>
      </c>
      <c r="F1" s="11" t="s">
        <v>454</v>
      </c>
      <c r="G1" s="11" t="s">
        <v>455</v>
      </c>
      <c r="H1" s="11" t="s">
        <v>8</v>
      </c>
      <c r="K1" s="11" t="s">
        <v>449</v>
      </c>
      <c r="L1" s="11" t="s">
        <v>450</v>
      </c>
      <c r="M1" s="11" t="s">
        <v>4988</v>
      </c>
      <c r="N1" s="11" t="s">
        <v>452</v>
      </c>
      <c r="O1" s="11" t="s">
        <v>743</v>
      </c>
      <c r="P1" s="67" t="s">
        <v>8</v>
      </c>
      <c r="Q1" s="120"/>
      <c r="S1" s="113"/>
      <c r="T1" s="114"/>
      <c r="U1" s="114"/>
      <c r="V1" s="114"/>
      <c r="W1" s="113"/>
      <c r="X1" s="113"/>
      <c r="Y1" s="120"/>
      <c r="Z1" s="120"/>
      <c r="AA1" s="113"/>
    </row>
    <row r="2" spans="1:46">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916</v>
      </c>
      <c r="Q2" s="113"/>
      <c r="S2" s="113"/>
      <c r="T2" s="114"/>
      <c r="U2" s="114"/>
      <c r="V2" s="114"/>
      <c r="W2" s="113"/>
      <c r="X2" s="113"/>
      <c r="Y2" s="114"/>
      <c r="Z2" s="113"/>
      <c r="AA2" s="113"/>
    </row>
    <row r="3" spans="1:46">
      <c r="A3" s="23">
        <v>96</v>
      </c>
      <c r="B3" s="11">
        <v>1</v>
      </c>
      <c r="C3" s="44">
        <v>3000000</v>
      </c>
      <c r="D3" s="3">
        <v>2500000</v>
      </c>
      <c r="E3" s="3">
        <f t="shared" ref="E3:E14" si="1">E2*$L$2+C3-D3</f>
        <v>53540000</v>
      </c>
      <c r="F3" s="45">
        <v>54000000</v>
      </c>
      <c r="G3" s="29">
        <f t="shared" si="0"/>
        <v>-460000</v>
      </c>
      <c r="H3" s="11" t="s">
        <v>515</v>
      </c>
      <c r="M3" s="11" t="s">
        <v>1100</v>
      </c>
      <c r="N3" s="29">
        <v>46000000</v>
      </c>
      <c r="O3" s="29">
        <v>40000000</v>
      </c>
      <c r="P3" s="11" t="s">
        <v>914</v>
      </c>
      <c r="Q3" s="113"/>
      <c r="S3" s="113"/>
      <c r="T3" s="114"/>
      <c r="U3" s="114"/>
      <c r="V3" s="114"/>
      <c r="W3" s="113"/>
      <c r="X3" s="113"/>
      <c r="Y3" s="114"/>
      <c r="Z3" s="113"/>
      <c r="AA3" s="113"/>
    </row>
    <row r="4" spans="1:46">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Q4" s="113"/>
      <c r="S4" s="113"/>
      <c r="T4" s="114"/>
      <c r="U4" s="114"/>
      <c r="V4" s="114"/>
      <c r="W4" s="113"/>
      <c r="X4" s="113"/>
      <c r="Y4" s="114"/>
      <c r="Z4" s="113"/>
      <c r="AA4" s="113"/>
    </row>
    <row r="5" spans="1:46">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Q5" s="113"/>
      <c r="S5" s="113"/>
      <c r="T5" s="114"/>
      <c r="U5" s="114"/>
      <c r="V5" s="114"/>
      <c r="W5" s="113"/>
      <c r="X5" s="113"/>
      <c r="Y5" s="114"/>
      <c r="Z5" s="113"/>
      <c r="AA5" s="113"/>
      <c r="AR5" s="94"/>
      <c r="AS5" s="94"/>
      <c r="AT5" s="94"/>
    </row>
    <row r="6" spans="1:46">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915</v>
      </c>
      <c r="Q6" s="113"/>
      <c r="S6" s="113"/>
      <c r="T6" s="114"/>
      <c r="U6" s="114"/>
      <c r="V6" s="114"/>
      <c r="W6" s="113"/>
      <c r="X6" s="113"/>
      <c r="Y6" s="114"/>
      <c r="Z6" s="113"/>
      <c r="AA6" s="113"/>
      <c r="AR6" s="94"/>
      <c r="AS6" s="94"/>
      <c r="AT6" s="94"/>
    </row>
    <row r="7" spans="1:46">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Q7" s="113"/>
      <c r="S7" s="113"/>
      <c r="T7" s="114"/>
      <c r="U7" s="114"/>
      <c r="V7" s="114"/>
      <c r="W7" s="113"/>
      <c r="X7" s="113"/>
      <c r="Y7" s="114"/>
      <c r="Z7" s="113"/>
      <c r="AA7" s="113"/>
      <c r="AR7" s="94"/>
      <c r="AS7" s="94"/>
      <c r="AT7" s="94"/>
    </row>
    <row r="8" spans="1:46">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Q8" s="113"/>
      <c r="S8" s="113"/>
      <c r="T8" s="114"/>
      <c r="U8" s="114"/>
      <c r="V8" s="114"/>
      <c r="W8" s="113"/>
      <c r="X8" s="113"/>
      <c r="Y8" s="114"/>
      <c r="Z8" s="113"/>
      <c r="AA8" s="113"/>
      <c r="AR8" s="94"/>
      <c r="AS8" s="94"/>
      <c r="AT8" s="94"/>
    </row>
    <row r="9" spans="1:46">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Q9" s="113"/>
      <c r="S9" s="113"/>
      <c r="T9" s="114"/>
      <c r="U9" s="114"/>
      <c r="V9" s="114"/>
      <c r="W9" s="113"/>
      <c r="X9" s="113"/>
      <c r="Y9" s="114"/>
      <c r="Z9" s="113"/>
      <c r="AA9" s="113"/>
      <c r="AR9" s="94"/>
      <c r="AS9" s="94"/>
      <c r="AT9" s="94"/>
    </row>
    <row r="10" spans="1:46">
      <c r="A10" s="23">
        <v>96</v>
      </c>
      <c r="B10" s="11">
        <v>8</v>
      </c>
      <c r="C10" s="48">
        <f t="shared" si="2"/>
        <v>3216406.0563210296</v>
      </c>
      <c r="D10" s="3">
        <f t="shared" si="3"/>
        <v>2680338.3802675251</v>
      </c>
      <c r="E10" s="3">
        <f t="shared" si="1"/>
        <v>65366421.580827095</v>
      </c>
      <c r="F10" s="45">
        <v>66250000</v>
      </c>
      <c r="G10" s="29">
        <f t="shared" si="0"/>
        <v>-883578.41917290539</v>
      </c>
      <c r="H10" s="11" t="s">
        <v>767</v>
      </c>
      <c r="M10" s="11" t="s">
        <v>709</v>
      </c>
      <c r="N10" s="29">
        <f>SUM(N2:N6)</f>
        <v>133400004</v>
      </c>
      <c r="O10" s="29"/>
      <c r="P10" s="11"/>
      <c r="Q10" s="113"/>
      <c r="S10" s="113"/>
      <c r="T10" s="114"/>
      <c r="U10" s="114"/>
      <c r="V10" s="114"/>
      <c r="W10" s="113"/>
      <c r="X10" s="113"/>
      <c r="Y10" s="114"/>
      <c r="Z10" s="113"/>
      <c r="AA10" s="113"/>
      <c r="AR10" s="94"/>
      <c r="AS10" s="94"/>
      <c r="AT10" s="94"/>
    </row>
    <row r="11" spans="1:46"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799</v>
      </c>
      <c r="M11" s="11" t="s">
        <v>710</v>
      </c>
      <c r="N11" s="29">
        <f>SUM(N2:N9)</f>
        <v>233400004</v>
      </c>
      <c r="O11" s="29">
        <f>SUM(O2:O9)</f>
        <v>210000000</v>
      </c>
      <c r="P11" s="11"/>
      <c r="Q11" s="113"/>
      <c r="S11" s="113"/>
      <c r="T11" s="114"/>
      <c r="U11" s="114" t="s">
        <v>25</v>
      </c>
      <c r="V11" s="114"/>
      <c r="W11" s="113"/>
      <c r="X11" s="113"/>
      <c r="Y11" s="114"/>
      <c r="Z11" s="109"/>
      <c r="AA11" s="113"/>
      <c r="AR11" s="94"/>
      <c r="AS11" s="94"/>
      <c r="AT11" s="94"/>
    </row>
    <row r="12" spans="1:46">
      <c r="A12" s="23">
        <v>96</v>
      </c>
      <c r="B12" s="11">
        <v>10</v>
      </c>
      <c r="C12" s="3">
        <f t="shared" si="2"/>
        <v>3281055.8180530826</v>
      </c>
      <c r="D12" s="3">
        <f t="shared" si="3"/>
        <v>2734213.1817109021</v>
      </c>
      <c r="E12" s="3">
        <f t="shared" si="1"/>
        <v>69106324.568905011</v>
      </c>
      <c r="F12" s="45">
        <v>71000000</v>
      </c>
      <c r="G12" s="29">
        <f t="shared" si="0"/>
        <v>-1893675.4310949892</v>
      </c>
      <c r="H12" s="11" t="s">
        <v>841</v>
      </c>
      <c r="S12" s="113"/>
      <c r="T12" s="114"/>
      <c r="U12" s="114"/>
      <c r="V12" s="114"/>
      <c r="W12" s="113"/>
      <c r="X12" s="113"/>
      <c r="Y12" s="114"/>
      <c r="Z12" s="113"/>
      <c r="AA12" s="113"/>
      <c r="AR12" s="94"/>
      <c r="AS12" s="94"/>
      <c r="AT12" s="94"/>
    </row>
    <row r="13" spans="1:46">
      <c r="A13" s="23">
        <v>96</v>
      </c>
      <c r="B13" s="11">
        <v>11</v>
      </c>
      <c r="C13" s="3">
        <f t="shared" si="2"/>
        <v>3313866.3762336136</v>
      </c>
      <c r="D13" s="3">
        <f t="shared" si="3"/>
        <v>2761555.3135280111</v>
      </c>
      <c r="E13" s="3">
        <f t="shared" si="1"/>
        <v>71040762.122988701</v>
      </c>
      <c r="F13" s="45">
        <v>73900000</v>
      </c>
      <c r="G13" s="29">
        <f t="shared" si="0"/>
        <v>-2859237.8770112991</v>
      </c>
      <c r="H13" s="11" t="s">
        <v>878</v>
      </c>
      <c r="O13" s="112"/>
      <c r="S13" s="113"/>
      <c r="T13" s="114"/>
      <c r="U13" s="114"/>
      <c r="V13" s="114"/>
      <c r="W13" s="113"/>
      <c r="X13" s="113"/>
      <c r="Y13" s="114"/>
      <c r="Z13" s="113"/>
      <c r="AA13" s="113"/>
      <c r="AR13" s="94"/>
      <c r="AS13" s="94"/>
      <c r="AT13" s="94"/>
    </row>
    <row r="14" spans="1:46">
      <c r="A14" s="23">
        <v>96</v>
      </c>
      <c r="B14" s="11">
        <v>12</v>
      </c>
      <c r="C14" s="3">
        <f t="shared" si="2"/>
        <v>3347005.0399959497</v>
      </c>
      <c r="D14" s="3">
        <f t="shared" si="3"/>
        <v>2789170.8666632911</v>
      </c>
      <c r="E14" s="46">
        <f t="shared" si="1"/>
        <v>73019411.538781136</v>
      </c>
      <c r="F14" s="45">
        <v>91400000</v>
      </c>
      <c r="G14" s="29">
        <f t="shared" si="0"/>
        <v>-18380588.461218864</v>
      </c>
      <c r="H14" s="11" t="s">
        <v>1047</v>
      </c>
      <c r="L14" s="25"/>
      <c r="O14" s="25" t="s">
        <v>25</v>
      </c>
      <c r="P14" s="94" t="s">
        <v>25</v>
      </c>
      <c r="R14" s="166" t="s">
        <v>4330</v>
      </c>
      <c r="W14" s="113"/>
      <c r="X14" s="113"/>
      <c r="Y14" s="114"/>
      <c r="Z14" s="113"/>
      <c r="AA14" s="113"/>
      <c r="AR14" s="94"/>
      <c r="AS14" s="94"/>
      <c r="AT14" s="94"/>
    </row>
    <row r="15" spans="1:46">
      <c r="A15" s="58">
        <v>97</v>
      </c>
      <c r="B15" s="11">
        <v>13</v>
      </c>
      <c r="C15" s="44">
        <v>3650000</v>
      </c>
      <c r="D15" s="3">
        <v>2965000</v>
      </c>
      <c r="E15" s="3">
        <v>94553000</v>
      </c>
      <c r="F15" s="3">
        <v>90450000</v>
      </c>
      <c r="G15" s="29">
        <f t="shared" si="0"/>
        <v>4103000</v>
      </c>
      <c r="H15" s="11" t="s">
        <v>1137</v>
      </c>
      <c r="K15" s="166" t="s">
        <v>451</v>
      </c>
      <c r="L15" s="166" t="s">
        <v>452</v>
      </c>
      <c r="M15" s="166"/>
      <c r="N15" s="166" t="s">
        <v>743</v>
      </c>
      <c r="P15" s="94"/>
      <c r="R15" s="166">
        <v>28</v>
      </c>
      <c r="W15" s="113"/>
      <c r="X15" s="113"/>
      <c r="Y15" s="114"/>
      <c r="Z15" s="113"/>
      <c r="AA15" s="113"/>
      <c r="AR15" s="94"/>
      <c r="AS15" s="94"/>
      <c r="AT15" s="94"/>
    </row>
    <row r="16" spans="1:46">
      <c r="A16" s="58">
        <v>97</v>
      </c>
      <c r="B16" s="11">
        <v>14</v>
      </c>
      <c r="C16" s="44">
        <f t="shared" ref="C16:C62" si="4">C15*$K$2</f>
        <v>3686500</v>
      </c>
      <c r="D16" s="3">
        <f t="shared" ref="D16:D62" si="5">D15*$K$2</f>
        <v>2994650</v>
      </c>
      <c r="E16" s="3">
        <f>E15*$L$2+C16-D16</f>
        <v>97135910</v>
      </c>
      <c r="F16" s="3">
        <v>87000000</v>
      </c>
      <c r="G16" s="93">
        <f t="shared" si="0"/>
        <v>10135910</v>
      </c>
      <c r="H16" s="11" t="s">
        <v>3656</v>
      </c>
      <c r="K16" s="19" t="s">
        <v>299</v>
      </c>
      <c r="L16" s="115">
        <f>'مسکن ایلیا'!B422</f>
        <v>4641599</v>
      </c>
      <c r="M16" s="166" t="s">
        <v>744</v>
      </c>
      <c r="N16" s="111">
        <f>'مسکن مریم یاران'!B196</f>
        <v>88305</v>
      </c>
      <c r="P16" s="28" t="s">
        <v>25</v>
      </c>
      <c r="Q16" s="114"/>
      <c r="R16" s="25"/>
      <c r="S16" s="113"/>
      <c r="T16" s="114"/>
      <c r="U16" s="114"/>
      <c r="V16" s="114"/>
      <c r="W16" s="113"/>
      <c r="X16" s="113"/>
      <c r="Y16" s="114"/>
      <c r="Z16" s="113"/>
      <c r="AA16" s="113"/>
      <c r="AR16" s="94"/>
      <c r="AS16" s="94"/>
      <c r="AT16" s="94"/>
    </row>
    <row r="17" spans="1:55">
      <c r="A17" s="58">
        <v>97</v>
      </c>
      <c r="B17" s="11">
        <v>15</v>
      </c>
      <c r="C17" s="44">
        <f t="shared" si="4"/>
        <v>3723365</v>
      </c>
      <c r="D17" s="3">
        <f t="shared" si="5"/>
        <v>3024596.5</v>
      </c>
      <c r="E17" s="3">
        <f>E16*$L$2+C17-D17</f>
        <v>99777396.700000003</v>
      </c>
      <c r="F17" s="3">
        <v>90235000</v>
      </c>
      <c r="G17" s="29">
        <f t="shared" si="0"/>
        <v>9542396.700000003</v>
      </c>
      <c r="H17" s="11" t="s">
        <v>3775</v>
      </c>
      <c r="K17" s="166" t="s">
        <v>453</v>
      </c>
      <c r="L17" s="115">
        <f>'مسکن علی سید الشهدا'!B85</f>
        <v>64773</v>
      </c>
      <c r="M17" s="166" t="s">
        <v>649</v>
      </c>
      <c r="N17" s="111">
        <f>سارا!D371</f>
        <v>52748</v>
      </c>
      <c r="P17" s="28"/>
      <c r="Q17" s="114"/>
      <c r="R17" s="94"/>
      <c r="S17" s="94"/>
      <c r="T17" s="94"/>
      <c r="U17" s="94"/>
      <c r="W17" s="113"/>
      <c r="X17" s="113"/>
      <c r="Y17" s="114"/>
      <c r="Z17" s="113"/>
      <c r="AA17" s="113"/>
      <c r="AR17" s="94"/>
      <c r="AS17" s="94"/>
      <c r="AT17" s="94"/>
    </row>
    <row r="18" spans="1:55">
      <c r="A18" s="58">
        <v>97</v>
      </c>
      <c r="B18" s="11">
        <v>16</v>
      </c>
      <c r="C18" s="47">
        <f t="shared" si="4"/>
        <v>3760598.65</v>
      </c>
      <c r="D18" s="3">
        <f t="shared" si="5"/>
        <v>3054842.4649999999</v>
      </c>
      <c r="E18" s="3">
        <f>E17*$L$2+C18-D18</f>
        <v>102478700.81900001</v>
      </c>
      <c r="F18" s="3">
        <v>93000000</v>
      </c>
      <c r="G18" s="29">
        <f t="shared" si="0"/>
        <v>9478700.8190000057</v>
      </c>
      <c r="H18" s="11" t="s">
        <v>3937</v>
      </c>
      <c r="K18" s="166" t="s">
        <v>675</v>
      </c>
      <c r="L18" s="115">
        <v>1000000</v>
      </c>
      <c r="M18" s="166" t="s">
        <v>4060</v>
      </c>
      <c r="N18" s="111">
        <v>35695</v>
      </c>
      <c r="O18" t="s">
        <v>25</v>
      </c>
      <c r="P18" s="112" t="s">
        <v>25</v>
      </c>
      <c r="Q18" s="112"/>
      <c r="R18" s="166" t="s">
        <v>4265</v>
      </c>
      <c r="S18" s="166" t="s">
        <v>25</v>
      </c>
      <c r="T18" s="166"/>
      <c r="U18" s="111"/>
      <c r="V18" s="97"/>
      <c r="W18" s="97"/>
      <c r="X18" s="97"/>
      <c r="Y18" s="97"/>
      <c r="Z18" s="113"/>
      <c r="AA18" s="113"/>
      <c r="AQ18" s="94"/>
      <c r="AR18" s="94"/>
      <c r="AS18" s="94"/>
      <c r="AT18" s="94"/>
      <c r="AW18" s="94"/>
      <c r="AX18" s="94"/>
      <c r="AY18" s="94"/>
      <c r="AZ18" s="94"/>
      <c r="BA18" s="94"/>
      <c r="BB18" s="94"/>
      <c r="BC18" s="94"/>
    </row>
    <row r="19" spans="1:55" ht="18" customHeight="1">
      <c r="A19" s="58">
        <v>97</v>
      </c>
      <c r="B19" s="11">
        <v>17</v>
      </c>
      <c r="C19" s="47">
        <f t="shared" si="4"/>
        <v>3798204.6365</v>
      </c>
      <c r="D19" s="3">
        <f t="shared" si="5"/>
        <v>3085390.8896499998</v>
      </c>
      <c r="E19" s="3">
        <f>E18*$L$2+C19-D19</f>
        <v>105241088.58223</v>
      </c>
      <c r="F19" s="3">
        <v>101300000</v>
      </c>
      <c r="G19" s="29">
        <f t="shared" si="0"/>
        <v>3941088.5822300017</v>
      </c>
      <c r="H19" s="36" t="s">
        <v>4117</v>
      </c>
      <c r="K19" s="205"/>
      <c r="L19" s="115"/>
      <c r="M19" s="459"/>
      <c r="N19" s="460"/>
      <c r="O19" s="404"/>
      <c r="P19" s="112"/>
      <c r="R19" s="166" t="s">
        <v>267</v>
      </c>
      <c r="S19" s="166" t="s">
        <v>180</v>
      </c>
      <c r="T19" s="166" t="s">
        <v>183</v>
      </c>
      <c r="U19" s="166" t="s">
        <v>8</v>
      </c>
      <c r="V19" s="166" t="s">
        <v>4329</v>
      </c>
      <c r="W19" s="71" t="s">
        <v>4331</v>
      </c>
      <c r="X19" s="32">
        <v>2</v>
      </c>
      <c r="Y19" s="32">
        <v>4</v>
      </c>
      <c r="Z19" s="114"/>
      <c r="AA19" s="113"/>
      <c r="AI19" s="97" t="s">
        <v>3623</v>
      </c>
      <c r="AJ19" s="97" t="s">
        <v>180</v>
      </c>
      <c r="AK19" s="97" t="s">
        <v>267</v>
      </c>
      <c r="AL19" s="67" t="s">
        <v>4040</v>
      </c>
      <c r="AM19" s="67" t="s">
        <v>4032</v>
      </c>
      <c r="AN19" s="67" t="s">
        <v>282</v>
      </c>
      <c r="AO19" s="97" t="s">
        <v>452</v>
      </c>
      <c r="AQ19" s="94"/>
      <c r="AR19" s="94"/>
      <c r="AS19" s="94"/>
      <c r="AT19" s="94"/>
      <c r="AW19" s="94"/>
      <c r="AX19" s="94"/>
      <c r="AY19" s="94"/>
      <c r="AZ19" s="94"/>
      <c r="BA19" s="94"/>
      <c r="BB19" s="94"/>
      <c r="BC19" s="94"/>
    </row>
    <row r="20" spans="1:55" ht="21.75" customHeight="1">
      <c r="A20" s="58">
        <v>97</v>
      </c>
      <c r="B20" s="11">
        <v>18</v>
      </c>
      <c r="C20" s="47">
        <f t="shared" si="4"/>
        <v>3836186.6828649999</v>
      </c>
      <c r="D20" s="3">
        <f t="shared" si="5"/>
        <v>3116244.7985465</v>
      </c>
      <c r="E20" s="3">
        <f>E19*$L$2+C20-D20</f>
        <v>108065852.23819311</v>
      </c>
      <c r="F20" s="3">
        <v>95200000</v>
      </c>
      <c r="G20" s="29">
        <f t="shared" si="0"/>
        <v>12865852.23819311</v>
      </c>
      <c r="H20" s="36" t="s">
        <v>4118</v>
      </c>
      <c r="K20" s="205"/>
      <c r="L20" s="115"/>
      <c r="M20" s="97"/>
      <c r="N20" s="97"/>
      <c r="O20" s="97"/>
      <c r="P20" s="97"/>
      <c r="R20" s="167">
        <v>9268987</v>
      </c>
      <c r="S20" s="166" t="s">
        <v>4149</v>
      </c>
      <c r="T20" s="189">
        <f>T99</f>
        <v>1360</v>
      </c>
      <c r="U20" s="166" t="s">
        <v>4280</v>
      </c>
      <c r="V20" s="166">
        <v>192.1</v>
      </c>
      <c r="W20" s="166">
        <f t="shared" ref="W20:W60" si="6">V20*(1+$S$95+$R$15*T20/36500)</f>
        <v>395.4354816438356</v>
      </c>
      <c r="X20" s="32">
        <f t="shared" ref="X20:X26" si="7">W20*(1+$X$19/100)</f>
        <v>403.34419127671231</v>
      </c>
      <c r="Y20" s="32">
        <f t="shared" ref="Y20:Y26" si="8">W20*(1+$Y$19/100)</f>
        <v>411.25290090958902</v>
      </c>
      <c r="Z20" s="113">
        <v>48028</v>
      </c>
      <c r="AA20" s="113"/>
      <c r="AI20" s="97">
        <v>1</v>
      </c>
      <c r="AJ20" s="111" t="s">
        <v>1090</v>
      </c>
      <c r="AK20" s="111">
        <v>18000000</v>
      </c>
      <c r="AL20" s="97">
        <v>1</v>
      </c>
      <c r="AM20" s="97">
        <f>AM21+AL20</f>
        <v>1390</v>
      </c>
      <c r="AN20" s="111">
        <f>AK20*AM20</f>
        <v>25020000000</v>
      </c>
      <c r="AO20" s="97"/>
      <c r="AQ20" s="94"/>
      <c r="AR20" s="94"/>
      <c r="AS20" s="94"/>
      <c r="AT20" s="94"/>
      <c r="AW20" s="94"/>
      <c r="AX20" s="94"/>
      <c r="AY20" s="94"/>
      <c r="AZ20" s="94"/>
      <c r="BA20" s="94"/>
      <c r="BB20" s="94"/>
      <c r="BC20" s="94"/>
    </row>
    <row r="21" spans="1:55">
      <c r="A21" s="58">
        <v>97</v>
      </c>
      <c r="B21" s="11">
        <v>19</v>
      </c>
      <c r="C21" s="48">
        <f t="shared" si="4"/>
        <v>3874548.5496936501</v>
      </c>
      <c r="D21" s="115">
        <f t="shared" si="5"/>
        <v>3147407.2465319652</v>
      </c>
      <c r="E21" s="115">
        <v>262000000</v>
      </c>
      <c r="F21" s="115">
        <v>284066000</v>
      </c>
      <c r="G21" s="29">
        <f t="shared" si="0"/>
        <v>-22066000</v>
      </c>
      <c r="H21" s="11" t="s">
        <v>4180</v>
      </c>
      <c r="J21" s="25"/>
      <c r="K21" s="205"/>
      <c r="L21" s="115"/>
      <c r="M21" s="97" t="s">
        <v>6926</v>
      </c>
      <c r="N21" s="111">
        <v>1082</v>
      </c>
      <c r="O21" s="97"/>
      <c r="P21" s="97"/>
      <c r="R21" s="167">
        <v>1353959</v>
      </c>
      <c r="S21" s="166" t="s">
        <v>4388</v>
      </c>
      <c r="T21" s="194">
        <f>T20-59</f>
        <v>1301</v>
      </c>
      <c r="U21" s="19" t="s">
        <v>4421</v>
      </c>
      <c r="V21" s="166">
        <v>192.2</v>
      </c>
      <c r="W21" s="166">
        <f t="shared" si="6"/>
        <v>386.94230575342465</v>
      </c>
      <c r="X21" s="32">
        <f t="shared" si="7"/>
        <v>394.68115186849315</v>
      </c>
      <c r="Y21" s="32">
        <f t="shared" si="8"/>
        <v>402.41999798356164</v>
      </c>
      <c r="Z21" s="113">
        <v>7012</v>
      </c>
      <c r="AA21" s="113"/>
      <c r="AI21" s="97">
        <v>2</v>
      </c>
      <c r="AJ21" s="111" t="s">
        <v>1092</v>
      </c>
      <c r="AK21" s="111">
        <v>2500000</v>
      </c>
      <c r="AL21" s="97">
        <v>1</v>
      </c>
      <c r="AM21" s="97">
        <f t="shared" ref="AM21:AM63" si="9">AM22+AL21</f>
        <v>1389</v>
      </c>
      <c r="AN21" s="111">
        <f t="shared" ref="AN21:AN120" si="10">AK21*AM21</f>
        <v>3472500000</v>
      </c>
      <c r="AO21" s="97"/>
      <c r="AQ21" s="94"/>
      <c r="AR21" s="94"/>
      <c r="AS21" s="94"/>
      <c r="AT21" s="94"/>
      <c r="AW21" s="94"/>
      <c r="AX21" s="94"/>
      <c r="AY21" s="94"/>
      <c r="AZ21" s="94"/>
      <c r="BA21" s="94"/>
      <c r="BB21" s="94"/>
      <c r="BC21" s="94"/>
    </row>
    <row r="22" spans="1:55">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05"/>
      <c r="L22" s="115"/>
      <c r="M22" s="97" t="s">
        <v>6927</v>
      </c>
      <c r="N22" s="111">
        <f>O22*P22</f>
        <v>123289500</v>
      </c>
      <c r="O22" s="97">
        <v>82193</v>
      </c>
      <c r="P22" s="97">
        <f>P51</f>
        <v>1500</v>
      </c>
      <c r="R22" s="167">
        <v>1614398</v>
      </c>
      <c r="S22" s="166" t="s">
        <v>4394</v>
      </c>
      <c r="T22" s="166">
        <f>T21-3</f>
        <v>1298</v>
      </c>
      <c r="U22" s="19" t="s">
        <v>5588</v>
      </c>
      <c r="V22" s="166">
        <v>184.6</v>
      </c>
      <c r="W22" s="166">
        <f t="shared" si="6"/>
        <v>371.21694465753427</v>
      </c>
      <c r="X22" s="32">
        <f t="shared" si="7"/>
        <v>378.64128355068499</v>
      </c>
      <c r="Y22" s="32">
        <f t="shared" si="8"/>
        <v>386.06562244383565</v>
      </c>
      <c r="Z22" s="113">
        <v>8705</v>
      </c>
      <c r="AA22" s="113"/>
      <c r="AI22" s="97">
        <v>3</v>
      </c>
      <c r="AJ22" s="111" t="s">
        <v>1101</v>
      </c>
      <c r="AK22" s="111">
        <v>8000000</v>
      </c>
      <c r="AL22" s="97">
        <v>1</v>
      </c>
      <c r="AM22" s="97">
        <f t="shared" si="9"/>
        <v>1388</v>
      </c>
      <c r="AN22" s="111">
        <f t="shared" si="10"/>
        <v>11104000000</v>
      </c>
      <c r="AO22" s="97"/>
      <c r="AQ22" s="94"/>
      <c r="AR22" s="94"/>
      <c r="AS22" s="94"/>
      <c r="AT22" s="94"/>
      <c r="AW22" s="94"/>
      <c r="AX22" s="94"/>
      <c r="AY22" s="94"/>
      <c r="AZ22" s="94"/>
      <c r="BA22" s="94"/>
      <c r="BB22" s="94"/>
      <c r="BC22" s="94"/>
    </row>
    <row r="23" spans="1:55">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166"/>
      <c r="L23" s="115"/>
      <c r="M23" s="97" t="s">
        <v>6928</v>
      </c>
      <c r="N23" s="111">
        <f>O23*P23</f>
        <v>6610689</v>
      </c>
      <c r="O23" s="97">
        <v>11457</v>
      </c>
      <c r="P23" s="97">
        <f>P52</f>
        <v>577</v>
      </c>
      <c r="R23" s="167">
        <v>133576</v>
      </c>
      <c r="S23" s="166" t="s">
        <v>4458</v>
      </c>
      <c r="T23" s="193">
        <f>T22-22</f>
        <v>1276</v>
      </c>
      <c r="U23" s="166" t="s">
        <v>4459</v>
      </c>
      <c r="V23" s="166">
        <v>166.2</v>
      </c>
      <c r="W23" s="166">
        <f t="shared" si="6"/>
        <v>331.41099616438356</v>
      </c>
      <c r="X23" s="32">
        <f t="shared" si="7"/>
        <v>338.03921608767126</v>
      </c>
      <c r="Y23" s="32">
        <f t="shared" si="8"/>
        <v>344.66743601095891</v>
      </c>
      <c r="Z23" s="120">
        <v>800</v>
      </c>
      <c r="AA23" s="94"/>
      <c r="AI23" s="97">
        <v>4</v>
      </c>
      <c r="AJ23" s="111" t="s">
        <v>4036</v>
      </c>
      <c r="AK23" s="111">
        <v>-79552</v>
      </c>
      <c r="AL23" s="97">
        <v>1</v>
      </c>
      <c r="AM23" s="97">
        <f t="shared" si="9"/>
        <v>1387</v>
      </c>
      <c r="AN23" s="111">
        <f t="shared" si="10"/>
        <v>-110338624</v>
      </c>
      <c r="AO23" s="97"/>
      <c r="AQ23" s="94"/>
      <c r="AR23" s="94"/>
      <c r="AS23" s="94"/>
      <c r="AT23" s="94"/>
      <c r="AW23" s="94"/>
      <c r="AX23" s="94"/>
      <c r="AY23" s="94"/>
      <c r="AZ23" s="94"/>
      <c r="BA23" s="94"/>
      <c r="BB23" s="94"/>
      <c r="BC23" s="94"/>
    </row>
    <row r="24" spans="1:55">
      <c r="A24" s="58">
        <v>97</v>
      </c>
      <c r="B24" s="11">
        <v>22</v>
      </c>
      <c r="C24" s="3">
        <f t="shared" si="4"/>
        <v>3991951.2452979172</v>
      </c>
      <c r="D24" s="3">
        <f t="shared" si="5"/>
        <v>3242776.8335091299</v>
      </c>
      <c r="E24" s="3">
        <f t="shared" si="11"/>
        <v>280306345.38193864</v>
      </c>
      <c r="F24" s="3">
        <f>L68</f>
        <v>52853226.126917839</v>
      </c>
      <c r="G24" s="93">
        <f t="shared" si="0"/>
        <v>227453119.2550208</v>
      </c>
      <c r="H24" s="11"/>
      <c r="I24" s="94"/>
      <c r="J24" s="94"/>
      <c r="K24" s="205"/>
      <c r="L24" s="115"/>
      <c r="M24" s="97"/>
      <c r="N24" s="97"/>
      <c r="O24" s="97"/>
      <c r="P24" s="97"/>
      <c r="R24" s="167">
        <v>220803</v>
      </c>
      <c r="S24" s="166" t="s">
        <v>4204</v>
      </c>
      <c r="T24" s="193">
        <f>T23-1</f>
        <v>1275</v>
      </c>
      <c r="U24" s="166" t="s">
        <v>4465</v>
      </c>
      <c r="V24" s="166">
        <v>166</v>
      </c>
      <c r="W24" s="166">
        <f t="shared" si="6"/>
        <v>330.88484383561649</v>
      </c>
      <c r="X24" s="32">
        <f t="shared" si="7"/>
        <v>337.50254071232882</v>
      </c>
      <c r="Y24" s="32">
        <f t="shared" si="8"/>
        <v>344.12023758904115</v>
      </c>
      <c r="Z24" s="120">
        <v>1326</v>
      </c>
      <c r="AA24" s="94"/>
      <c r="AI24" s="97">
        <v>5</v>
      </c>
      <c r="AJ24" s="111" t="s">
        <v>1113</v>
      </c>
      <c r="AK24" s="111">
        <v>165500</v>
      </c>
      <c r="AL24" s="97">
        <v>12</v>
      </c>
      <c r="AM24" s="97">
        <f t="shared" si="9"/>
        <v>1386</v>
      </c>
      <c r="AN24" s="111">
        <f t="shared" si="10"/>
        <v>229383000</v>
      </c>
      <c r="AO24" s="97"/>
      <c r="AQ24" s="94"/>
      <c r="AR24" s="94"/>
      <c r="AS24" s="94"/>
      <c r="AT24" s="94"/>
      <c r="AW24" s="94"/>
      <c r="AX24" s="94"/>
      <c r="AY24" s="94"/>
      <c r="AZ24" s="94"/>
      <c r="BA24" s="94"/>
      <c r="BB24" s="94"/>
      <c r="BC24" s="94"/>
    </row>
    <row r="25" spans="1:55">
      <c r="A25" s="58">
        <v>97</v>
      </c>
      <c r="B25" s="11">
        <v>23</v>
      </c>
      <c r="C25" s="3">
        <f t="shared" si="4"/>
        <v>4031870.7577508963</v>
      </c>
      <c r="D25" s="3">
        <f t="shared" si="5"/>
        <v>3275204.6018442214</v>
      </c>
      <c r="E25" s="3">
        <f t="shared" si="11"/>
        <v>286669138.44548404</v>
      </c>
      <c r="F25" s="3"/>
      <c r="G25" s="11"/>
      <c r="H25" s="11"/>
      <c r="J25" s="25"/>
      <c r="K25" s="205"/>
      <c r="L25" s="115"/>
      <c r="M25" s="97"/>
      <c r="N25" s="97"/>
      <c r="O25" s="97"/>
      <c r="P25" s="97"/>
      <c r="R25" s="167">
        <v>1023940</v>
      </c>
      <c r="S25" s="166" t="s">
        <v>4466</v>
      </c>
      <c r="T25" s="193">
        <f>T24-2</f>
        <v>1273</v>
      </c>
      <c r="U25" s="166" t="s">
        <v>4472</v>
      </c>
      <c r="V25" s="166">
        <v>160.19999999999999</v>
      </c>
      <c r="W25" s="166">
        <f t="shared" si="6"/>
        <v>319.07802082191779</v>
      </c>
      <c r="X25" s="32">
        <f t="shared" si="7"/>
        <v>325.45958123835612</v>
      </c>
      <c r="Y25" s="32">
        <f t="shared" si="8"/>
        <v>331.84114165479451</v>
      </c>
      <c r="Z25" s="120">
        <v>6362</v>
      </c>
      <c r="AA25" s="94" t="s">
        <v>25</v>
      </c>
      <c r="AI25" s="97">
        <v>6</v>
      </c>
      <c r="AJ25" s="111" t="s">
        <v>1138</v>
      </c>
      <c r="AK25" s="111">
        <v>-28830327</v>
      </c>
      <c r="AL25" s="97">
        <v>6</v>
      </c>
      <c r="AM25" s="97">
        <f t="shared" si="9"/>
        <v>1374</v>
      </c>
      <c r="AN25" s="111">
        <f t="shared" si="10"/>
        <v>-39612869298</v>
      </c>
      <c r="AO25" s="97"/>
      <c r="AQ25" s="94"/>
      <c r="AR25" s="94"/>
      <c r="AS25" s="94"/>
      <c r="AT25" s="94"/>
      <c r="AW25" s="94"/>
      <c r="AX25" s="94"/>
      <c r="AY25" s="94"/>
      <c r="AZ25" s="94"/>
      <c r="BA25" s="94"/>
      <c r="BB25" s="94"/>
      <c r="BC25" s="94"/>
    </row>
    <row r="26" spans="1:55">
      <c r="A26" s="58">
        <v>97</v>
      </c>
      <c r="B26" s="11">
        <v>24</v>
      </c>
      <c r="C26" s="3">
        <f t="shared" si="4"/>
        <v>4072189.4653284051</v>
      </c>
      <c r="D26" s="3">
        <f t="shared" si="5"/>
        <v>3307956.6478626635</v>
      </c>
      <c r="E26" s="46">
        <f t="shared" si="11"/>
        <v>293166754.03185946</v>
      </c>
      <c r="F26" s="3"/>
      <c r="G26" s="11"/>
      <c r="H26" s="11"/>
      <c r="J26" s="25" t="s">
        <v>25</v>
      </c>
      <c r="K26" s="166"/>
      <c r="L26" s="115"/>
      <c r="M26" s="97"/>
      <c r="N26" s="97"/>
      <c r="O26" s="97"/>
      <c r="P26" s="97"/>
      <c r="R26" s="167">
        <v>168846</v>
      </c>
      <c r="S26" s="166" t="s">
        <v>3673</v>
      </c>
      <c r="T26" s="193">
        <f>T25-28</f>
        <v>1245</v>
      </c>
      <c r="U26" s="166" t="s">
        <v>4546</v>
      </c>
      <c r="V26" s="166">
        <v>172.2</v>
      </c>
      <c r="W26" s="166">
        <f t="shared" si="6"/>
        <v>339.28023452054794</v>
      </c>
      <c r="X26" s="32">
        <f t="shared" si="7"/>
        <v>346.06583921095893</v>
      </c>
      <c r="Y26" s="32">
        <f t="shared" si="8"/>
        <v>352.85144390136986</v>
      </c>
      <c r="Z26" s="120">
        <v>976</v>
      </c>
      <c r="AA26" s="94"/>
      <c r="AI26" s="97">
        <v>7</v>
      </c>
      <c r="AJ26" s="111" t="s">
        <v>1163</v>
      </c>
      <c r="AK26" s="111">
        <v>18500000</v>
      </c>
      <c r="AL26" s="97">
        <v>1</v>
      </c>
      <c r="AM26" s="97">
        <f t="shared" si="9"/>
        <v>1368</v>
      </c>
      <c r="AN26" s="111">
        <f t="shared" si="10"/>
        <v>25308000000</v>
      </c>
      <c r="AO26" s="97"/>
      <c r="AQ26" s="94"/>
      <c r="AR26" s="94"/>
      <c r="AS26" s="94"/>
      <c r="AT26" s="94"/>
      <c r="AW26" s="94"/>
      <c r="AX26" s="94"/>
      <c r="AY26" s="94"/>
      <c r="AZ26" s="94"/>
      <c r="BA26" s="94"/>
      <c r="BB26" s="94"/>
      <c r="BC26" s="94"/>
    </row>
    <row r="27" spans="1:55">
      <c r="A27" s="59">
        <v>98</v>
      </c>
      <c r="B27" s="11">
        <v>25</v>
      </c>
      <c r="C27" s="44">
        <f t="shared" si="4"/>
        <v>4112911.3599816891</v>
      </c>
      <c r="D27" s="3">
        <f t="shared" si="5"/>
        <v>3341036.2143412903</v>
      </c>
      <c r="E27" s="3">
        <f t="shared" si="11"/>
        <v>299801964.25813711</v>
      </c>
      <c r="F27" s="3"/>
      <c r="G27" s="11"/>
      <c r="H27" s="11"/>
      <c r="J27" s="25"/>
      <c r="K27" s="205"/>
      <c r="L27" s="115"/>
      <c r="M27" s="205" t="s">
        <v>6833</v>
      </c>
      <c r="N27" s="111">
        <v>1281</v>
      </c>
      <c r="O27" s="97"/>
      <c r="P27" s="93"/>
      <c r="R27" s="167">
        <v>1563192</v>
      </c>
      <c r="S27" s="205" t="s">
        <v>4639</v>
      </c>
      <c r="T27" s="193">
        <f>T26-33</f>
        <v>1212</v>
      </c>
      <c r="U27" s="205" t="s">
        <v>4640</v>
      </c>
      <c r="V27" s="205">
        <v>168.8</v>
      </c>
      <c r="W27" s="205">
        <f t="shared" si="6"/>
        <v>328.30813808219182</v>
      </c>
      <c r="X27" s="32">
        <f t="shared" ref="X27:X46" si="12">W27*(1+$X$19/100)</f>
        <v>334.87430084383567</v>
      </c>
      <c r="Y27" s="32">
        <f t="shared" ref="Y27:Y46" si="13">W27*(1+$Y$19/100)</f>
        <v>341.44046360547952</v>
      </c>
      <c r="Z27" s="120">
        <v>9222</v>
      </c>
      <c r="AA27" s="94"/>
      <c r="AI27" s="97">
        <v>8</v>
      </c>
      <c r="AJ27" s="111" t="s">
        <v>1172</v>
      </c>
      <c r="AK27" s="111">
        <v>-18550000</v>
      </c>
      <c r="AL27" s="97">
        <v>1</v>
      </c>
      <c r="AM27" s="97">
        <f t="shared" si="9"/>
        <v>1367</v>
      </c>
      <c r="AN27" s="111">
        <f t="shared" si="10"/>
        <v>-25357850000</v>
      </c>
      <c r="AO27" s="97"/>
      <c r="AQ27" s="94"/>
      <c r="AR27" s="94"/>
      <c r="AS27" s="94"/>
      <c r="AT27" s="94"/>
      <c r="AW27" s="94"/>
      <c r="AX27" s="94"/>
      <c r="AY27" s="94"/>
      <c r="AZ27" s="94"/>
      <c r="BA27" s="94"/>
      <c r="BB27" s="94"/>
      <c r="BC27" s="94"/>
    </row>
    <row r="28" spans="1:55">
      <c r="A28" s="59">
        <v>98</v>
      </c>
      <c r="B28" s="11">
        <v>26</v>
      </c>
      <c r="C28" s="44">
        <f t="shared" si="4"/>
        <v>4154040.4735815059</v>
      </c>
      <c r="D28" s="3">
        <f t="shared" si="5"/>
        <v>3374446.5764847035</v>
      </c>
      <c r="E28" s="3">
        <f t="shared" si="11"/>
        <v>306577597.44039667</v>
      </c>
      <c r="F28" s="3"/>
      <c r="G28" s="11"/>
      <c r="H28" s="11"/>
      <c r="K28" s="205"/>
      <c r="L28" s="115"/>
      <c r="M28" s="205" t="s">
        <v>6834</v>
      </c>
      <c r="N28" s="111">
        <f>O28*P28</f>
        <v>12649500</v>
      </c>
      <c r="O28" s="97">
        <v>8433</v>
      </c>
      <c r="P28" s="93">
        <f>P51</f>
        <v>1500</v>
      </c>
      <c r="R28" s="167">
        <v>1204691</v>
      </c>
      <c r="S28" s="205" t="s">
        <v>4841</v>
      </c>
      <c r="T28" s="193">
        <f>T27-76</f>
        <v>1136</v>
      </c>
      <c r="U28" s="205" t="s">
        <v>4842</v>
      </c>
      <c r="V28" s="205">
        <v>218.5</v>
      </c>
      <c r="W28" s="205">
        <f t="shared" si="6"/>
        <v>412.23347397260278</v>
      </c>
      <c r="X28" s="32">
        <f t="shared" si="12"/>
        <v>420.47814345205484</v>
      </c>
      <c r="Y28" s="32">
        <f t="shared" si="13"/>
        <v>428.72281293150689</v>
      </c>
      <c r="Z28" s="120">
        <v>5488</v>
      </c>
      <c r="AA28" s="94"/>
      <c r="AI28" s="97">
        <v>9</v>
      </c>
      <c r="AJ28" s="111" t="s">
        <v>1179</v>
      </c>
      <c r="AK28" s="111">
        <v>-64961</v>
      </c>
      <c r="AL28" s="97">
        <v>5</v>
      </c>
      <c r="AM28" s="97">
        <f t="shared" si="9"/>
        <v>1366</v>
      </c>
      <c r="AN28" s="111">
        <f t="shared" si="10"/>
        <v>-88736726</v>
      </c>
      <c r="AO28" s="97"/>
      <c r="AQ28" s="94"/>
      <c r="AR28" s="94"/>
      <c r="AS28" s="94"/>
      <c r="AT28" s="94"/>
      <c r="AW28" s="94"/>
      <c r="AX28" s="94"/>
      <c r="AY28" s="94"/>
      <c r="AZ28" s="94"/>
      <c r="BA28" s="94"/>
      <c r="BB28" s="94"/>
      <c r="BC28" s="94"/>
    </row>
    <row r="29" spans="1:55">
      <c r="A29" s="59">
        <v>98</v>
      </c>
      <c r="B29" s="11">
        <v>27</v>
      </c>
      <c r="C29" s="44">
        <f t="shared" si="4"/>
        <v>4195580.8783173207</v>
      </c>
      <c r="D29" s="3">
        <f t="shared" si="5"/>
        <v>3408191.0422495506</v>
      </c>
      <c r="E29" s="3">
        <f t="shared" si="11"/>
        <v>313496539.22527236</v>
      </c>
      <c r="F29" s="3"/>
      <c r="G29" s="11"/>
      <c r="H29" s="11"/>
      <c r="J29" t="s">
        <v>25</v>
      </c>
      <c r="K29" s="205"/>
      <c r="L29" s="115"/>
      <c r="M29" s="205" t="s">
        <v>6835</v>
      </c>
      <c r="N29" s="111">
        <f>O29*P29</f>
        <v>634519399</v>
      </c>
      <c r="O29" s="97">
        <v>1099687</v>
      </c>
      <c r="P29" s="93">
        <f>P52</f>
        <v>577</v>
      </c>
      <c r="R29" s="167">
        <v>15011877</v>
      </c>
      <c r="S29" s="205" t="s">
        <v>4844</v>
      </c>
      <c r="T29" s="193">
        <f>T28-3</f>
        <v>1133</v>
      </c>
      <c r="U29" s="205" t="s">
        <v>4848</v>
      </c>
      <c r="V29" s="205">
        <v>197.1</v>
      </c>
      <c r="W29" s="205">
        <f t="shared" si="6"/>
        <v>371.40552000000002</v>
      </c>
      <c r="X29" s="32">
        <f t="shared" si="12"/>
        <v>378.8336304</v>
      </c>
      <c r="Y29" s="32">
        <f t="shared" si="13"/>
        <v>386.26174080000004</v>
      </c>
      <c r="Z29" s="120">
        <v>75812</v>
      </c>
      <c r="AA29" s="94"/>
      <c r="AI29" s="97">
        <v>10</v>
      </c>
      <c r="AJ29" s="111" t="s">
        <v>1195</v>
      </c>
      <c r="AK29" s="111">
        <v>6400000</v>
      </c>
      <c r="AL29" s="97">
        <v>1</v>
      </c>
      <c r="AM29" s="97">
        <f t="shared" si="9"/>
        <v>1361</v>
      </c>
      <c r="AN29" s="111">
        <f t="shared" si="10"/>
        <v>8710400000</v>
      </c>
      <c r="AO29" s="97"/>
      <c r="AQ29" s="94"/>
      <c r="AR29" s="94"/>
      <c r="AS29" s="94"/>
      <c r="AT29" s="94"/>
      <c r="AW29" s="94"/>
      <c r="AX29" s="94"/>
      <c r="AY29" s="94"/>
      <c r="AZ29" s="94"/>
      <c r="BA29" s="94"/>
      <c r="BB29" s="94"/>
      <c r="BC29" s="94"/>
    </row>
    <row r="30" spans="1:55">
      <c r="A30" s="59">
        <v>98</v>
      </c>
      <c r="B30" s="11">
        <v>28</v>
      </c>
      <c r="C30" s="47">
        <f t="shared" si="4"/>
        <v>4237536.6871004943</v>
      </c>
      <c r="D30" s="3">
        <f t="shared" si="5"/>
        <v>3442272.9526720461</v>
      </c>
      <c r="E30" s="3">
        <f t="shared" si="11"/>
        <v>320561733.74420619</v>
      </c>
      <c r="F30" s="3"/>
      <c r="G30" s="11"/>
      <c r="H30" s="11"/>
      <c r="J30" s="25"/>
      <c r="K30" s="205"/>
      <c r="L30" s="115"/>
      <c r="M30" s="205"/>
      <c r="N30" s="111"/>
      <c r="O30" s="112"/>
      <c r="P30" s="404"/>
      <c r="R30" s="167">
        <v>7046042.5001907032</v>
      </c>
      <c r="S30" s="205" t="s">
        <v>4855</v>
      </c>
      <c r="T30" s="193">
        <f>T29-5</f>
        <v>1128</v>
      </c>
      <c r="U30" s="205" t="s">
        <v>5554</v>
      </c>
      <c r="V30" s="205">
        <v>194.4</v>
      </c>
      <c r="W30" s="205">
        <f t="shared" si="6"/>
        <v>365.57212931506848</v>
      </c>
      <c r="X30" s="32">
        <f t="shared" si="12"/>
        <v>372.88357190136986</v>
      </c>
      <c r="Y30" s="32">
        <f t="shared" si="13"/>
        <v>380.19501448767124</v>
      </c>
      <c r="Z30" s="120">
        <v>36073</v>
      </c>
      <c r="AA30" s="94"/>
      <c r="AI30" s="97">
        <v>11</v>
      </c>
      <c r="AJ30" s="111" t="s">
        <v>4037</v>
      </c>
      <c r="AK30" s="111">
        <v>-170000</v>
      </c>
      <c r="AL30" s="97">
        <v>5</v>
      </c>
      <c r="AM30" s="97">
        <f t="shared" si="9"/>
        <v>1360</v>
      </c>
      <c r="AN30" s="111">
        <f t="shared" si="10"/>
        <v>-231200000</v>
      </c>
      <c r="AO30" s="97"/>
      <c r="AQ30" s="94"/>
      <c r="AU30"/>
      <c r="AW30" s="94"/>
      <c r="AX30" s="94"/>
      <c r="AY30" s="94"/>
      <c r="AZ30" s="94"/>
      <c r="BA30" s="94"/>
      <c r="BB30" s="94"/>
      <c r="BC30" s="94"/>
    </row>
    <row r="31" spans="1:55">
      <c r="A31" s="59">
        <v>98</v>
      </c>
      <c r="B31" s="11">
        <v>29</v>
      </c>
      <c r="C31" s="47">
        <f t="shared" si="4"/>
        <v>4279912.0539714992</v>
      </c>
      <c r="D31" s="3">
        <f t="shared" si="5"/>
        <v>3476695.6821987666</v>
      </c>
      <c r="E31" s="3">
        <f t="shared" si="11"/>
        <v>327776184.79086304</v>
      </c>
      <c r="F31" s="3"/>
      <c r="G31" s="11"/>
      <c r="H31" s="11"/>
      <c r="J31" s="25"/>
      <c r="K31" s="205"/>
      <c r="L31" s="115"/>
      <c r="M31" s="166" t="s">
        <v>6953</v>
      </c>
      <c r="N31" s="111">
        <v>302</v>
      </c>
      <c r="O31" s="97" t="s">
        <v>920</v>
      </c>
      <c r="P31" s="97" t="s">
        <v>3911</v>
      </c>
      <c r="Q31" s="67"/>
      <c r="R31" s="167">
        <v>5368238</v>
      </c>
      <c r="S31" s="205" t="s">
        <v>5560</v>
      </c>
      <c r="T31" s="193">
        <f>T30-465</f>
        <v>663</v>
      </c>
      <c r="U31" s="205" t="s">
        <v>5561</v>
      </c>
      <c r="V31" s="205">
        <v>1843</v>
      </c>
      <c r="W31" s="205">
        <f t="shared" si="6"/>
        <v>2808.3684493150686</v>
      </c>
      <c r="X31" s="32">
        <f t="shared" si="12"/>
        <v>2864.53581830137</v>
      </c>
      <c r="Y31" s="32">
        <f t="shared" si="13"/>
        <v>2920.7031872876714</v>
      </c>
      <c r="Z31">
        <v>2902</v>
      </c>
      <c r="AB31" s="94"/>
      <c r="AI31" s="97">
        <v>12</v>
      </c>
      <c r="AJ31" s="111" t="s">
        <v>1215</v>
      </c>
      <c r="AK31" s="111">
        <v>-6300000</v>
      </c>
      <c r="AL31" s="97">
        <v>1</v>
      </c>
      <c r="AM31" s="97">
        <f>AM32+AL31</f>
        <v>1355</v>
      </c>
      <c r="AN31" s="111">
        <f t="shared" si="10"/>
        <v>-8536500000</v>
      </c>
      <c r="AO31" s="97"/>
      <c r="AQ31" s="94"/>
      <c r="AU31"/>
      <c r="AW31" s="94"/>
      <c r="AX31" s="94"/>
      <c r="AY31" s="94"/>
      <c r="AZ31" s="94"/>
      <c r="BA31" s="94"/>
      <c r="BB31" s="94"/>
      <c r="BC31" s="94"/>
    </row>
    <row r="32" spans="1:55">
      <c r="A32" s="59">
        <v>98</v>
      </c>
      <c r="B32" s="11">
        <v>30</v>
      </c>
      <c r="C32" s="47">
        <f t="shared" si="4"/>
        <v>4322711.1745112138</v>
      </c>
      <c r="D32" s="3">
        <f t="shared" si="5"/>
        <v>3511462.6390207545</v>
      </c>
      <c r="E32" s="3">
        <f t="shared" si="11"/>
        <v>335142957.02217078</v>
      </c>
      <c r="F32" s="3"/>
      <c r="G32" s="11"/>
      <c r="H32" s="11"/>
      <c r="J32" s="53"/>
      <c r="K32" s="205"/>
      <c r="L32" s="115"/>
      <c r="M32" s="205" t="s">
        <v>6255</v>
      </c>
      <c r="N32" s="111">
        <f t="shared" ref="N32:N37" si="14">O32*P32</f>
        <v>0</v>
      </c>
      <c r="O32" s="97">
        <v>0</v>
      </c>
      <c r="P32" s="183">
        <v>1</v>
      </c>
      <c r="Q32" s="67"/>
      <c r="R32" s="167">
        <v>40195775</v>
      </c>
      <c r="S32" s="205" t="s">
        <v>5562</v>
      </c>
      <c r="T32" s="193">
        <f>T31-3</f>
        <v>660</v>
      </c>
      <c r="U32" s="205" t="s">
        <v>5563</v>
      </c>
      <c r="V32" s="205">
        <v>1751</v>
      </c>
      <c r="W32" s="205">
        <f t="shared" si="6"/>
        <v>2664.148898630137</v>
      </c>
      <c r="X32" s="32">
        <f t="shared" si="12"/>
        <v>2717.4318766027395</v>
      </c>
      <c r="Y32" s="32">
        <f t="shared" si="13"/>
        <v>2770.7148545753425</v>
      </c>
      <c r="Z32">
        <v>22871</v>
      </c>
      <c r="AI32" s="97">
        <v>13</v>
      </c>
      <c r="AJ32" s="111" t="s">
        <v>1224</v>
      </c>
      <c r="AK32" s="111">
        <v>-52015</v>
      </c>
      <c r="AL32" s="97">
        <v>16</v>
      </c>
      <c r="AM32" s="97">
        <f t="shared" si="9"/>
        <v>1354</v>
      </c>
      <c r="AN32" s="111">
        <f t="shared" si="10"/>
        <v>-70428310</v>
      </c>
      <c r="AO32" s="97"/>
      <c r="AQ32" s="94"/>
      <c r="AU32" t="s">
        <v>25</v>
      </c>
      <c r="AW32" s="94"/>
      <c r="AX32" s="94"/>
      <c r="AY32" s="94"/>
      <c r="AZ32" s="94"/>
      <c r="BA32" s="94"/>
      <c r="BB32" s="94"/>
      <c r="BC32" s="94"/>
    </row>
    <row r="33" spans="1:55">
      <c r="A33" s="59">
        <v>98</v>
      </c>
      <c r="B33" s="11">
        <v>31</v>
      </c>
      <c r="C33" s="48">
        <f t="shared" si="4"/>
        <v>4365938.2862563264</v>
      </c>
      <c r="D33" s="3">
        <f t="shared" si="5"/>
        <v>3546577.265410962</v>
      </c>
      <c r="E33" s="3">
        <f t="shared" si="11"/>
        <v>342665177.18345958</v>
      </c>
      <c r="F33" s="3"/>
      <c r="G33" s="11"/>
      <c r="H33" s="11"/>
      <c r="J33" s="25"/>
      <c r="K33" s="205" t="s">
        <v>6698</v>
      </c>
      <c r="L33" s="115">
        <f>-'فروردین 98'!D176</f>
        <v>3846463</v>
      </c>
      <c r="M33" s="166" t="s">
        <v>4272</v>
      </c>
      <c r="N33" s="111">
        <f t="shared" si="14"/>
        <v>4321686000</v>
      </c>
      <c r="O33" s="97">
        <f>SUM(Z20:Z63)</f>
        <v>2881124</v>
      </c>
      <c r="P33" s="183">
        <f>P51</f>
        <v>1500</v>
      </c>
      <c r="Q33" s="67">
        <f>N33*100/$S$170</f>
        <v>33.466477503851507</v>
      </c>
      <c r="R33" s="167">
        <v>16176504</v>
      </c>
      <c r="S33" s="205" t="s">
        <v>5564</v>
      </c>
      <c r="T33" s="193">
        <f>T32-1</f>
        <v>659</v>
      </c>
      <c r="U33" s="205" t="s">
        <v>5565</v>
      </c>
      <c r="V33" s="205">
        <v>1730</v>
      </c>
      <c r="W33" s="205">
        <f t="shared" si="6"/>
        <v>2630.8702465753427</v>
      </c>
      <c r="X33" s="32">
        <f t="shared" si="12"/>
        <v>2683.4876515068495</v>
      </c>
      <c r="Y33" s="32">
        <f t="shared" si="13"/>
        <v>2736.1050564383563</v>
      </c>
      <c r="Z33">
        <v>9316</v>
      </c>
      <c r="AA33" t="s">
        <v>25</v>
      </c>
      <c r="AB33" s="94"/>
      <c r="AI33" s="97">
        <v>14</v>
      </c>
      <c r="AJ33" s="111" t="s">
        <v>3690</v>
      </c>
      <c r="AK33" s="111">
        <v>20017400</v>
      </c>
      <c r="AL33" s="97">
        <v>0</v>
      </c>
      <c r="AM33" s="97">
        <f t="shared" si="9"/>
        <v>1338</v>
      </c>
      <c r="AN33" s="111">
        <f t="shared" si="10"/>
        <v>26783281200</v>
      </c>
      <c r="AO33" s="97"/>
      <c r="AQ33" s="94"/>
      <c r="AW33" s="94"/>
      <c r="AX33" s="94"/>
      <c r="AY33" s="94"/>
      <c r="AZ33" s="94"/>
      <c r="BA33" s="94"/>
      <c r="BB33" s="94"/>
      <c r="BC33" s="94"/>
    </row>
    <row r="34" spans="1:55" ht="15" customHeight="1">
      <c r="A34" s="59">
        <v>98</v>
      </c>
      <c r="B34" s="11">
        <v>32</v>
      </c>
      <c r="C34" s="48">
        <f t="shared" si="4"/>
        <v>4409597.6691188896</v>
      </c>
      <c r="D34" s="3">
        <f t="shared" si="5"/>
        <v>3582043.0380650717</v>
      </c>
      <c r="E34" s="3">
        <f t="shared" si="11"/>
        <v>350346035.35818261</v>
      </c>
      <c r="F34" s="3"/>
      <c r="G34" s="11"/>
      <c r="H34" s="11"/>
      <c r="K34" s="205" t="s">
        <v>4419</v>
      </c>
      <c r="L34" s="115">
        <f>-X148</f>
        <v>44500391.126917839</v>
      </c>
      <c r="M34" s="205" t="s">
        <v>5259</v>
      </c>
      <c r="N34" s="111">
        <f t="shared" si="14"/>
        <v>311599041</v>
      </c>
      <c r="O34" s="97">
        <f>SUM(AB20:AB63)</f>
        <v>540033</v>
      </c>
      <c r="P34" s="183">
        <f>P52</f>
        <v>577</v>
      </c>
      <c r="Q34" s="67">
        <f>N34*100/$S$170</f>
        <v>2.4129754674097574</v>
      </c>
      <c r="R34" s="167">
        <v>47880291</v>
      </c>
      <c r="S34" s="205" t="s">
        <v>5571</v>
      </c>
      <c r="T34" s="193">
        <f>T33-8</f>
        <v>651</v>
      </c>
      <c r="U34" s="205" t="s">
        <v>5575</v>
      </c>
      <c r="V34" s="205">
        <v>1737.1</v>
      </c>
      <c r="W34" s="205">
        <f t="shared" si="6"/>
        <v>2631.006900821918</v>
      </c>
      <c r="X34" s="32">
        <f t="shared" si="12"/>
        <v>2683.6270388383564</v>
      </c>
      <c r="Y34" s="32">
        <f t="shared" si="13"/>
        <v>2736.2471768547948</v>
      </c>
      <c r="Z34">
        <v>27461</v>
      </c>
      <c r="AB34" s="94"/>
      <c r="AI34" s="97">
        <v>15</v>
      </c>
      <c r="AJ34" s="111" t="s">
        <v>3690</v>
      </c>
      <c r="AK34" s="111">
        <v>1014466</v>
      </c>
      <c r="AL34" s="97">
        <v>12</v>
      </c>
      <c r="AM34" s="97">
        <f t="shared" si="9"/>
        <v>1338</v>
      </c>
      <c r="AN34" s="111">
        <f t="shared" si="10"/>
        <v>1357355508</v>
      </c>
      <c r="AO34" s="97"/>
      <c r="AQ34" s="94"/>
      <c r="AR34" s="94"/>
      <c r="AS34" s="94"/>
      <c r="AT34" s="94"/>
      <c r="AW34" s="94"/>
      <c r="AX34" s="94"/>
      <c r="AY34" s="94"/>
      <c r="AZ34" s="94"/>
      <c r="BA34" s="94"/>
      <c r="BB34" s="94"/>
      <c r="BC34" s="94"/>
    </row>
    <row r="35" spans="1:55">
      <c r="A35" s="59">
        <v>98</v>
      </c>
      <c r="B35" s="11">
        <v>33</v>
      </c>
      <c r="C35" s="48">
        <f t="shared" si="4"/>
        <v>4453693.6458100788</v>
      </c>
      <c r="D35" s="3">
        <f t="shared" si="5"/>
        <v>3617863.4684457225</v>
      </c>
      <c r="E35" s="3">
        <f t="shared" si="11"/>
        <v>358188786.24271059</v>
      </c>
      <c r="F35" s="3"/>
      <c r="G35" s="11"/>
      <c r="H35" s="11"/>
      <c r="K35" s="205"/>
      <c r="L35" s="115"/>
      <c r="M35" s="205" t="s">
        <v>4651</v>
      </c>
      <c r="N35" s="111">
        <f t="shared" si="14"/>
        <v>0</v>
      </c>
      <c r="O35" s="97">
        <v>0</v>
      </c>
      <c r="P35" s="183">
        <f>P53</f>
        <v>793</v>
      </c>
      <c r="Q35" s="67"/>
      <c r="R35" s="167">
        <v>48859908</v>
      </c>
      <c r="S35" s="205" t="s">
        <v>5574</v>
      </c>
      <c r="T35" s="193">
        <f>T34-1</f>
        <v>650</v>
      </c>
      <c r="U35" s="205" t="s">
        <v>5578</v>
      </c>
      <c r="V35" s="205">
        <v>1730.1</v>
      </c>
      <c r="W35" s="205">
        <f t="shared" si="6"/>
        <v>2619.0775199999998</v>
      </c>
      <c r="X35" s="32">
        <f t="shared" si="12"/>
        <v>2671.4590703999997</v>
      </c>
      <c r="Y35" s="32">
        <f t="shared" si="13"/>
        <v>2723.8406208000001</v>
      </c>
      <c r="Z35">
        <v>28136</v>
      </c>
      <c r="AA35" t="s">
        <v>25</v>
      </c>
      <c r="AB35" s="94" t="s">
        <v>25</v>
      </c>
      <c r="AI35" s="97">
        <v>16</v>
      </c>
      <c r="AJ35" s="111" t="s">
        <v>1126</v>
      </c>
      <c r="AK35" s="111">
        <v>360000</v>
      </c>
      <c r="AL35" s="97">
        <v>2</v>
      </c>
      <c r="AM35" s="97">
        <f t="shared" si="9"/>
        <v>1326</v>
      </c>
      <c r="AN35" s="111">
        <f t="shared" si="10"/>
        <v>477360000</v>
      </c>
      <c r="AO35" s="97"/>
      <c r="AQ35" s="94"/>
      <c r="AR35" s="94"/>
      <c r="AS35" s="94"/>
      <c r="AT35" s="94"/>
      <c r="AW35" s="94"/>
      <c r="AX35" s="94"/>
      <c r="AY35" s="94"/>
      <c r="AZ35" s="94"/>
      <c r="BA35" s="94"/>
      <c r="BB35" s="94"/>
      <c r="BC35" s="94"/>
    </row>
    <row r="36" spans="1:55">
      <c r="A36" s="59">
        <v>98</v>
      </c>
      <c r="B36" s="11">
        <v>34</v>
      </c>
      <c r="C36" s="3">
        <f t="shared" si="4"/>
        <v>4498230.5822681794</v>
      </c>
      <c r="D36" s="3">
        <f t="shared" si="5"/>
        <v>3654042.1031301799</v>
      </c>
      <c r="E36" s="3">
        <f t="shared" si="11"/>
        <v>366196750.44670284</v>
      </c>
      <c r="F36" s="3"/>
      <c r="G36" s="11"/>
      <c r="H36" s="11"/>
      <c r="J36" t="s">
        <v>25</v>
      </c>
      <c r="K36" s="205" t="s">
        <v>902</v>
      </c>
      <c r="L36" s="115">
        <v>4800000</v>
      </c>
      <c r="M36" s="205" t="s">
        <v>4354</v>
      </c>
      <c r="N36" s="111">
        <f t="shared" si="14"/>
        <v>0</v>
      </c>
      <c r="O36" s="97">
        <v>0</v>
      </c>
      <c r="P36" s="183">
        <f>P54</f>
        <v>16919</v>
      </c>
      <c r="Q36" s="67"/>
      <c r="R36" s="167">
        <v>38191823</v>
      </c>
      <c r="S36" s="205" t="s">
        <v>5576</v>
      </c>
      <c r="T36" s="193">
        <f>T35-1</f>
        <v>649</v>
      </c>
      <c r="U36" s="205" t="s">
        <v>5577</v>
      </c>
      <c r="V36" s="205">
        <v>1646</v>
      </c>
      <c r="W36" s="205">
        <f t="shared" si="6"/>
        <v>2490.5017205479453</v>
      </c>
      <c r="X36" s="32">
        <f t="shared" si="12"/>
        <v>2540.3117549589042</v>
      </c>
      <c r="Y36" s="32">
        <f t="shared" si="13"/>
        <v>2590.1217893698631</v>
      </c>
      <c r="Z36">
        <v>23117</v>
      </c>
      <c r="AB36" s="94"/>
      <c r="AI36" s="97">
        <v>17</v>
      </c>
      <c r="AJ36" s="111" t="s">
        <v>3750</v>
      </c>
      <c r="AK36" s="111">
        <v>-350000</v>
      </c>
      <c r="AL36" s="97">
        <v>0</v>
      </c>
      <c r="AM36" s="97">
        <f t="shared" si="9"/>
        <v>1324</v>
      </c>
      <c r="AN36" s="111">
        <f t="shared" si="10"/>
        <v>-463400000</v>
      </c>
      <c r="AO36" s="97"/>
      <c r="AQ36" s="94"/>
      <c r="AR36" s="94"/>
      <c r="AS36" s="94"/>
      <c r="AT36" s="94"/>
      <c r="AW36" s="94"/>
      <c r="AX36" s="94"/>
      <c r="AY36" s="94"/>
      <c r="AZ36" s="94"/>
      <c r="BA36" s="94"/>
      <c r="BB36" s="94"/>
      <c r="BC36" s="94"/>
    </row>
    <row r="37" spans="1:55">
      <c r="A37" s="59">
        <v>98</v>
      </c>
      <c r="B37" s="11">
        <v>35</v>
      </c>
      <c r="C37" s="3">
        <f t="shared" si="4"/>
        <v>4543212.888090861</v>
      </c>
      <c r="D37" s="3">
        <f t="shared" si="5"/>
        <v>3690582.5241614818</v>
      </c>
      <c r="E37" s="3">
        <f t="shared" si="11"/>
        <v>374373315.81956631</v>
      </c>
      <c r="F37" s="3"/>
      <c r="G37" s="11"/>
      <c r="H37" s="11"/>
      <c r="J37" s="112"/>
      <c r="K37" s="205"/>
      <c r="L37" s="115"/>
      <c r="M37" s="205" t="s">
        <v>5813</v>
      </c>
      <c r="N37" s="111">
        <f t="shared" si="14"/>
        <v>0</v>
      </c>
      <c r="O37" s="97">
        <v>0</v>
      </c>
      <c r="P37" s="183">
        <f>P57</f>
        <v>8463</v>
      </c>
      <c r="Q37" s="67"/>
      <c r="R37" s="167">
        <v>70173463</v>
      </c>
      <c r="S37" s="205" t="s">
        <v>5579</v>
      </c>
      <c r="T37" s="193">
        <f>T36-3</f>
        <v>646</v>
      </c>
      <c r="U37" s="205" t="s">
        <v>5583</v>
      </c>
      <c r="V37" s="205">
        <v>1674.7</v>
      </c>
      <c r="W37" s="205">
        <f t="shared" si="6"/>
        <v>2530.0725249315074</v>
      </c>
      <c r="X37" s="32">
        <f t="shared" si="12"/>
        <v>2580.6739754301375</v>
      </c>
      <c r="Y37" s="32">
        <f t="shared" si="13"/>
        <v>2631.2754259287676</v>
      </c>
      <c r="Z37">
        <v>41747</v>
      </c>
      <c r="AA37" t="s">
        <v>25</v>
      </c>
      <c r="AB37" s="94"/>
      <c r="AI37" s="97">
        <v>18</v>
      </c>
      <c r="AJ37" s="111" t="s">
        <v>3750</v>
      </c>
      <c r="AK37" s="111">
        <v>1000</v>
      </c>
      <c r="AL37" s="97">
        <v>1</v>
      </c>
      <c r="AM37" s="97">
        <f t="shared" si="9"/>
        <v>1324</v>
      </c>
      <c r="AN37" s="111">
        <f t="shared" si="10"/>
        <v>1324000</v>
      </c>
      <c r="AO37" s="97"/>
      <c r="AQ37" s="94"/>
      <c r="AR37" s="94"/>
      <c r="AS37" s="94"/>
      <c r="AT37" s="94"/>
      <c r="AW37" s="94"/>
      <c r="AX37" s="94"/>
      <c r="AY37" s="94"/>
      <c r="AZ37" s="94"/>
      <c r="BA37" s="94"/>
      <c r="BB37" s="94"/>
      <c r="BC37" s="94"/>
    </row>
    <row r="38" spans="1:55">
      <c r="A38" s="59">
        <v>98</v>
      </c>
      <c r="B38" s="11">
        <v>36</v>
      </c>
      <c r="C38" s="3">
        <f t="shared" si="4"/>
        <v>4588645.0169717697</v>
      </c>
      <c r="D38" s="3">
        <f t="shared" si="5"/>
        <v>3727488.3494030968</v>
      </c>
      <c r="E38" s="46">
        <f t="shared" si="11"/>
        <v>382721938.80352634</v>
      </c>
      <c r="F38" s="3"/>
      <c r="G38" s="11"/>
      <c r="H38" s="11"/>
      <c r="J38" s="112"/>
      <c r="K38" s="205"/>
      <c r="L38" s="115"/>
      <c r="M38" s="166"/>
      <c r="N38" s="111"/>
      <c r="O38" s="67"/>
      <c r="P38" s="97"/>
      <c r="Q38" s="67"/>
      <c r="R38" s="167">
        <v>23283294</v>
      </c>
      <c r="S38" s="205" t="s">
        <v>5581</v>
      </c>
      <c r="T38" s="193">
        <f>T37-2</f>
        <v>644</v>
      </c>
      <c r="U38" s="205" t="s">
        <v>5582</v>
      </c>
      <c r="V38" s="205">
        <v>1663</v>
      </c>
      <c r="W38" s="205">
        <f t="shared" si="6"/>
        <v>2509.845161643836</v>
      </c>
      <c r="X38" s="32">
        <f t="shared" si="12"/>
        <v>2560.0420648767126</v>
      </c>
      <c r="Y38" s="32">
        <f t="shared" si="13"/>
        <v>2610.2389681095897</v>
      </c>
      <c r="Z38">
        <v>13949</v>
      </c>
      <c r="AA38" t="s">
        <v>25</v>
      </c>
      <c r="AB38" s="94"/>
      <c r="AI38" s="97">
        <v>19</v>
      </c>
      <c r="AJ38" s="111" t="s">
        <v>3754</v>
      </c>
      <c r="AK38" s="111">
        <v>33610000</v>
      </c>
      <c r="AL38" s="97">
        <v>4</v>
      </c>
      <c r="AM38" s="97">
        <f t="shared" si="9"/>
        <v>1323</v>
      </c>
      <c r="AN38" s="111">
        <f t="shared" si="10"/>
        <v>44466030000</v>
      </c>
      <c r="AO38" s="97"/>
      <c r="AQ38" s="94"/>
      <c r="AR38" s="94"/>
      <c r="AS38" s="94"/>
      <c r="AT38" s="94"/>
      <c r="AW38" s="94"/>
      <c r="AX38" s="94"/>
      <c r="AY38" s="94"/>
      <c r="AZ38" s="94"/>
      <c r="BA38" s="94"/>
      <c r="BB38" s="94"/>
      <c r="BC38" s="94"/>
    </row>
    <row r="39" spans="1:55">
      <c r="A39" s="60">
        <v>99</v>
      </c>
      <c r="B39" s="11">
        <v>37</v>
      </c>
      <c r="C39" s="44">
        <f t="shared" si="4"/>
        <v>4634531.4671414876</v>
      </c>
      <c r="D39" s="3">
        <f t="shared" si="5"/>
        <v>3764763.232897128</v>
      </c>
      <c r="E39" s="3">
        <f t="shared" si="11"/>
        <v>391246145.81384128</v>
      </c>
      <c r="F39" s="3"/>
      <c r="G39" s="11"/>
      <c r="H39" s="11"/>
      <c r="J39" s="112"/>
      <c r="K39" s="205" t="s">
        <v>6944</v>
      </c>
      <c r="L39" s="115">
        <v>-33000000</v>
      </c>
      <c r="M39" s="187" t="s">
        <v>4414</v>
      </c>
      <c r="N39" s="111">
        <v>169</v>
      </c>
      <c r="O39" s="252"/>
      <c r="P39" s="97" t="s">
        <v>25</v>
      </c>
      <c r="Q39" s="67"/>
      <c r="R39" s="167">
        <v>1611237.824</v>
      </c>
      <c r="S39" s="205" t="s">
        <v>5584</v>
      </c>
      <c r="T39" s="193">
        <f>T38-1</f>
        <v>643</v>
      </c>
      <c r="U39" s="205" t="s">
        <v>5589</v>
      </c>
      <c r="V39" s="205">
        <v>1580</v>
      </c>
      <c r="W39" s="205">
        <f t="shared" si="6"/>
        <v>2383.3672328767125</v>
      </c>
      <c r="X39" s="32">
        <f t="shared" si="12"/>
        <v>2431.0345775342466</v>
      </c>
      <c r="Y39" s="32">
        <f t="shared" si="13"/>
        <v>2478.7019221917813</v>
      </c>
      <c r="Z39">
        <v>1016</v>
      </c>
      <c r="AB39" s="94" t="s">
        <v>25</v>
      </c>
      <c r="AC39" s="94"/>
      <c r="AD39" s="94"/>
      <c r="AE39" s="94"/>
      <c r="AI39" s="97">
        <v>20</v>
      </c>
      <c r="AJ39" s="111" t="s">
        <v>4038</v>
      </c>
      <c r="AK39" s="111">
        <v>-15600000</v>
      </c>
      <c r="AL39" s="97">
        <v>3</v>
      </c>
      <c r="AM39" s="97">
        <f t="shared" si="9"/>
        <v>1319</v>
      </c>
      <c r="AN39" s="111">
        <f t="shared" si="10"/>
        <v>-20576400000</v>
      </c>
      <c r="AO39" s="97"/>
      <c r="AQ39" s="94"/>
      <c r="AR39" s="94"/>
      <c r="AS39" s="94"/>
      <c r="AT39" s="94"/>
      <c r="AW39" s="94"/>
      <c r="AX39" s="94"/>
      <c r="AY39" s="94"/>
      <c r="AZ39" s="94"/>
      <c r="BA39" s="94"/>
      <c r="BB39" s="94"/>
      <c r="BC39" s="94"/>
    </row>
    <row r="40" spans="1:55">
      <c r="A40" s="60">
        <v>99</v>
      </c>
      <c r="B40" s="11">
        <v>38</v>
      </c>
      <c r="C40" s="44">
        <f t="shared" si="4"/>
        <v>4680876.7818129025</v>
      </c>
      <c r="D40" s="3">
        <f t="shared" si="5"/>
        <v>3802410.8652260993</v>
      </c>
      <c r="E40" s="3">
        <f t="shared" si="11"/>
        <v>399949534.64670491</v>
      </c>
      <c r="F40" s="3"/>
      <c r="G40" s="11"/>
      <c r="H40" s="11"/>
      <c r="J40" s="112"/>
      <c r="K40" s="205"/>
      <c r="L40" s="205"/>
      <c r="M40" s="187" t="s">
        <v>4395</v>
      </c>
      <c r="N40" s="111">
        <f>O40*P40</f>
        <v>434121000</v>
      </c>
      <c r="O40" s="67">
        <f>SUM(Z69:Z89)</f>
        <v>289414</v>
      </c>
      <c r="P40" s="97">
        <f>P51</f>
        <v>1500</v>
      </c>
      <c r="Q40" s="67">
        <f>N40*100/$S$170</f>
        <v>3.3617668383240988</v>
      </c>
      <c r="R40" s="167">
        <v>563902380</v>
      </c>
      <c r="S40" s="205" t="s">
        <v>5591</v>
      </c>
      <c r="T40" s="193">
        <f>T39-5</f>
        <v>638</v>
      </c>
      <c r="U40" s="205" t="s">
        <v>5593</v>
      </c>
      <c r="V40" s="205">
        <v>1560.1</v>
      </c>
      <c r="W40" s="205">
        <f t="shared" si="6"/>
        <v>2347.3649282191782</v>
      </c>
      <c r="X40" s="32">
        <f t="shared" si="12"/>
        <v>2394.312226783562</v>
      </c>
      <c r="Y40" s="32">
        <f t="shared" si="13"/>
        <v>2441.2595253479453</v>
      </c>
      <c r="Z40">
        <v>360127</v>
      </c>
      <c r="AA40" s="113"/>
      <c r="AC40" s="94"/>
      <c r="AD40" s="94"/>
      <c r="AE40" s="94"/>
      <c r="AI40" s="97">
        <v>21</v>
      </c>
      <c r="AJ40" s="111" t="s">
        <v>3768</v>
      </c>
      <c r="AK40" s="111">
        <v>7500000</v>
      </c>
      <c r="AL40" s="97">
        <v>4</v>
      </c>
      <c r="AM40" s="97">
        <f t="shared" si="9"/>
        <v>1316</v>
      </c>
      <c r="AN40" s="111">
        <f t="shared" si="10"/>
        <v>9870000000</v>
      </c>
      <c r="AO40" s="97"/>
      <c r="AQ40" s="94"/>
      <c r="AR40" s="94"/>
      <c r="AS40" s="94"/>
      <c r="AT40" s="94"/>
      <c r="AW40" s="94"/>
      <c r="AX40" s="94"/>
      <c r="AY40" s="94"/>
      <c r="AZ40" s="94"/>
      <c r="BA40" s="94"/>
      <c r="BB40" s="94"/>
      <c r="BC40" s="94"/>
    </row>
    <row r="41" spans="1:55">
      <c r="A41" s="60">
        <v>99</v>
      </c>
      <c r="B41" s="11">
        <v>39</v>
      </c>
      <c r="C41" s="44">
        <f t="shared" si="4"/>
        <v>4727685.5496310312</v>
      </c>
      <c r="D41" s="3">
        <f t="shared" si="5"/>
        <v>3840434.9738783604</v>
      </c>
      <c r="E41" s="3">
        <f t="shared" si="11"/>
        <v>408835775.91539168</v>
      </c>
      <c r="F41" s="3"/>
      <c r="G41" s="11"/>
      <c r="H41" s="11"/>
      <c r="J41" s="112"/>
      <c r="K41" s="205"/>
      <c r="L41" s="205"/>
      <c r="M41" s="187" t="s">
        <v>5259</v>
      </c>
      <c r="N41" s="111">
        <f>O41*P41</f>
        <v>47773869</v>
      </c>
      <c r="O41" s="67">
        <f>SUM(AB70:AB89)</f>
        <v>82797</v>
      </c>
      <c r="P41" s="97">
        <f>P52</f>
        <v>577</v>
      </c>
      <c r="Q41" s="67">
        <f>N41*100/$S$170</f>
        <v>0.36995355797724522</v>
      </c>
      <c r="R41" s="167">
        <v>814638349</v>
      </c>
      <c r="S41" s="205" t="s">
        <v>5598</v>
      </c>
      <c r="T41" s="193">
        <f>T40-8</f>
        <v>630</v>
      </c>
      <c r="U41" s="205" t="s">
        <v>5599</v>
      </c>
      <c r="V41" s="205">
        <v>1667</v>
      </c>
      <c r="W41" s="205">
        <f t="shared" si="6"/>
        <v>2497.9789479452056</v>
      </c>
      <c r="X41" s="32">
        <f t="shared" si="12"/>
        <v>2547.9385269041099</v>
      </c>
      <c r="Y41" s="32">
        <f t="shared" si="13"/>
        <v>2597.8981058630138</v>
      </c>
      <c r="Z41">
        <v>486878</v>
      </c>
      <c r="AA41" s="113"/>
      <c r="AC41" s="94"/>
      <c r="AD41" s="94"/>
      <c r="AE41" s="94"/>
      <c r="AI41" s="97">
        <v>22</v>
      </c>
      <c r="AJ41" s="111" t="s">
        <v>4039</v>
      </c>
      <c r="AK41" s="111">
        <v>-98000</v>
      </c>
      <c r="AL41" s="97">
        <v>1</v>
      </c>
      <c r="AM41" s="97">
        <f t="shared" si="9"/>
        <v>1312</v>
      </c>
      <c r="AN41" s="111">
        <f t="shared" si="10"/>
        <v>-128576000</v>
      </c>
      <c r="AO41" s="97"/>
      <c r="AQ41" s="94"/>
      <c r="AR41" s="94"/>
      <c r="AS41" s="94"/>
      <c r="AT41" s="94"/>
      <c r="AW41" s="94"/>
      <c r="AX41" s="94"/>
      <c r="AY41" s="94"/>
      <c r="AZ41" s="94"/>
      <c r="BA41" s="94"/>
      <c r="BB41" s="94"/>
      <c r="BC41" s="94"/>
    </row>
    <row r="42" spans="1:55">
      <c r="A42" s="60">
        <v>99</v>
      </c>
      <c r="B42" s="11">
        <v>40</v>
      </c>
      <c r="C42" s="47">
        <f t="shared" si="4"/>
        <v>4774962.4051273419</v>
      </c>
      <c r="D42" s="3">
        <f t="shared" si="5"/>
        <v>3878839.323617144</v>
      </c>
      <c r="E42" s="3">
        <f t="shared" si="11"/>
        <v>417908614.51520973</v>
      </c>
      <c r="F42" s="3"/>
      <c r="G42" s="11"/>
      <c r="H42" s="11"/>
      <c r="J42" s="112"/>
      <c r="K42" s="205" t="s">
        <v>6969</v>
      </c>
      <c r="L42" s="115">
        <v>2000000</v>
      </c>
      <c r="M42" s="166"/>
      <c r="N42" s="111"/>
      <c r="P42" t="s">
        <v>25</v>
      </c>
      <c r="Q42" s="67"/>
      <c r="R42" s="167">
        <v>2537951</v>
      </c>
      <c r="S42" s="205" t="s">
        <v>5613</v>
      </c>
      <c r="T42" s="193">
        <f>T41-5</f>
        <v>625</v>
      </c>
      <c r="U42" s="205" t="s">
        <v>5614</v>
      </c>
      <c r="V42" s="205">
        <v>1768.2</v>
      </c>
      <c r="W42" s="205">
        <f t="shared" si="6"/>
        <v>2642.8437632876712</v>
      </c>
      <c r="X42" s="32">
        <f t="shared" si="12"/>
        <v>2695.7006385534246</v>
      </c>
      <c r="Y42" s="32">
        <f t="shared" si="13"/>
        <v>2748.557513819178</v>
      </c>
      <c r="Z42">
        <v>1430</v>
      </c>
      <c r="AA42" s="113"/>
      <c r="AC42" s="113"/>
      <c r="AD42" s="113"/>
      <c r="AE42" s="113"/>
      <c r="AF42" s="113"/>
      <c r="AG42" s="113"/>
      <c r="AI42" s="97">
        <v>23</v>
      </c>
      <c r="AJ42" s="111" t="s">
        <v>4033</v>
      </c>
      <c r="AK42" s="111">
        <v>-26000000</v>
      </c>
      <c r="AL42" s="97">
        <v>0</v>
      </c>
      <c r="AM42" s="97">
        <f t="shared" si="9"/>
        <v>1311</v>
      </c>
      <c r="AN42" s="111">
        <f t="shared" si="10"/>
        <v>-34086000000</v>
      </c>
      <c r="AO42" s="97"/>
      <c r="AQ42" s="94"/>
      <c r="AR42" s="94"/>
      <c r="AS42" s="94"/>
      <c r="AT42" s="94"/>
      <c r="AW42" s="94"/>
      <c r="AX42" s="94"/>
      <c r="AY42" s="94"/>
      <c r="AZ42" s="94"/>
      <c r="BA42" s="94"/>
      <c r="BB42" s="94"/>
      <c r="BC42" s="94"/>
    </row>
    <row r="43" spans="1:55">
      <c r="A43" s="60">
        <v>99</v>
      </c>
      <c r="B43" s="11">
        <v>41</v>
      </c>
      <c r="C43" s="47">
        <f t="shared" si="4"/>
        <v>4822712.0291786157</v>
      </c>
      <c r="D43" s="3">
        <f t="shared" si="5"/>
        <v>3917627.7168533155</v>
      </c>
      <c r="E43" s="3">
        <f t="shared" si="11"/>
        <v>427171871.11783922</v>
      </c>
      <c r="F43" s="3"/>
      <c r="G43" s="11"/>
      <c r="H43" s="11"/>
      <c r="J43" s="112"/>
      <c r="K43" s="4"/>
      <c r="L43" s="115"/>
      <c r="R43" s="167">
        <v>67414766</v>
      </c>
      <c r="S43" s="205" t="s">
        <v>5622</v>
      </c>
      <c r="T43" s="193">
        <f>T42-3</f>
        <v>622</v>
      </c>
      <c r="U43" s="205" t="s">
        <v>5629</v>
      </c>
      <c r="V43" s="205">
        <v>1582.3</v>
      </c>
      <c r="W43" s="205">
        <f t="shared" si="6"/>
        <v>2361.3464887671234</v>
      </c>
      <c r="X43" s="32">
        <f t="shared" si="12"/>
        <v>2408.5734185424658</v>
      </c>
      <c r="Y43" s="32">
        <f t="shared" si="13"/>
        <v>2455.8003483178086</v>
      </c>
      <c r="Z43" s="94">
        <v>42448</v>
      </c>
      <c r="AA43" s="120"/>
      <c r="AC43" s="113"/>
      <c r="AD43" s="113"/>
      <c r="AE43" s="113"/>
      <c r="AF43" s="113"/>
      <c r="AG43" s="113"/>
      <c r="AI43" s="97">
        <v>24</v>
      </c>
      <c r="AJ43" s="111" t="s">
        <v>4033</v>
      </c>
      <c r="AK43" s="111">
        <v>25000000</v>
      </c>
      <c r="AL43" s="97">
        <v>1</v>
      </c>
      <c r="AM43" s="97">
        <f t="shared" si="9"/>
        <v>1311</v>
      </c>
      <c r="AN43" s="111">
        <f t="shared" si="10"/>
        <v>32775000000</v>
      </c>
      <c r="AO43" s="97"/>
      <c r="AQ43" s="94"/>
      <c r="AR43" s="94"/>
      <c r="AS43" s="94"/>
      <c r="AT43" s="94"/>
      <c r="AW43" s="94"/>
      <c r="AX43" s="94"/>
      <c r="AY43" s="94"/>
      <c r="AZ43" s="94"/>
      <c r="BA43" s="94"/>
      <c r="BB43" s="94"/>
      <c r="BC43" s="94"/>
    </row>
    <row r="44" spans="1:55">
      <c r="A44" s="60">
        <v>99</v>
      </c>
      <c r="B44" s="11">
        <v>42</v>
      </c>
      <c r="C44" s="47">
        <f t="shared" si="4"/>
        <v>4870939.1494704019</v>
      </c>
      <c r="D44" s="3">
        <f t="shared" si="5"/>
        <v>3956803.9940218488</v>
      </c>
      <c r="E44" s="3">
        <f t="shared" si="11"/>
        <v>436629443.69564456</v>
      </c>
      <c r="F44" s="3"/>
      <c r="G44" s="11"/>
      <c r="H44" s="11"/>
      <c r="K44" s="205"/>
      <c r="L44" s="115"/>
      <c r="M44" s="166" t="s">
        <v>747</v>
      </c>
      <c r="N44" s="111">
        <v>3000000</v>
      </c>
      <c r="P44" t="s">
        <v>25</v>
      </c>
      <c r="Q44" s="67"/>
      <c r="R44" s="167">
        <v>23400057</v>
      </c>
      <c r="S44" s="205" t="s">
        <v>5626</v>
      </c>
      <c r="T44" s="193">
        <f>T43-1</f>
        <v>621</v>
      </c>
      <c r="U44" s="205" t="s">
        <v>5630</v>
      </c>
      <c r="V44" s="205">
        <v>1610.6</v>
      </c>
      <c r="W44" s="205">
        <f t="shared" si="6"/>
        <v>2402.3444843835618</v>
      </c>
      <c r="X44" s="32">
        <f t="shared" si="12"/>
        <v>2450.3913740712333</v>
      </c>
      <c r="Y44" s="32">
        <f t="shared" si="13"/>
        <v>2498.4382637589042</v>
      </c>
      <c r="Z44" s="94">
        <v>14475</v>
      </c>
      <c r="AA44" s="120" t="s">
        <v>25</v>
      </c>
      <c r="AC44" s="113"/>
      <c r="AD44" s="113"/>
      <c r="AE44" s="113" t="s">
        <v>25</v>
      </c>
      <c r="AF44" s="113"/>
      <c r="AG44" s="113"/>
      <c r="AI44" s="97">
        <v>25</v>
      </c>
      <c r="AJ44" s="111" t="s">
        <v>4034</v>
      </c>
      <c r="AK44" s="111">
        <v>110000</v>
      </c>
      <c r="AL44" s="97">
        <v>1</v>
      </c>
      <c r="AM44" s="97">
        <f t="shared" si="9"/>
        <v>1310</v>
      </c>
      <c r="AN44" s="111">
        <f t="shared" si="10"/>
        <v>144100000</v>
      </c>
      <c r="AO44" s="97"/>
      <c r="AR44" s="94"/>
      <c r="AS44" s="94"/>
      <c r="AT44" s="94"/>
      <c r="AW44" s="94"/>
    </row>
    <row r="45" spans="1:55">
      <c r="A45" s="60">
        <v>99</v>
      </c>
      <c r="B45" s="11">
        <v>43</v>
      </c>
      <c r="C45" s="48">
        <f t="shared" si="4"/>
        <v>4919648.5409651063</v>
      </c>
      <c r="D45" s="3">
        <f t="shared" si="5"/>
        <v>3996372.0339620672</v>
      </c>
      <c r="E45" s="3">
        <f t="shared" si="11"/>
        <v>446285309.07656044</v>
      </c>
      <c r="F45" s="3"/>
      <c r="G45" s="11"/>
      <c r="H45" s="11"/>
      <c r="J45" s="112"/>
      <c r="K45" s="205"/>
      <c r="L45" s="115"/>
      <c r="M45" s="166" t="s">
        <v>751</v>
      </c>
      <c r="N45" s="111">
        <v>1200000</v>
      </c>
      <c r="O45" s="112"/>
      <c r="P45" t="s">
        <v>25</v>
      </c>
      <c r="Q45" s="67"/>
      <c r="R45" s="167"/>
      <c r="S45" s="205" t="s">
        <v>5632</v>
      </c>
      <c r="T45" s="193">
        <f>T44-4</f>
        <v>617</v>
      </c>
      <c r="U45" s="205" t="s">
        <v>5633</v>
      </c>
      <c r="V45" s="205">
        <v>1582</v>
      </c>
      <c r="W45" s="205">
        <f t="shared" si="6"/>
        <v>2354.8308383561643</v>
      </c>
      <c r="X45" s="32">
        <f t="shared" si="12"/>
        <v>2401.9274551232875</v>
      </c>
      <c r="Y45" s="32">
        <f t="shared" si="13"/>
        <v>2449.0240718904111</v>
      </c>
      <c r="Z45" s="94">
        <v>71983</v>
      </c>
      <c r="AA45" s="120"/>
      <c r="AB45" s="94"/>
      <c r="AC45" s="113"/>
      <c r="AD45" s="113" t="s">
        <v>25</v>
      </c>
      <c r="AE45" s="113" t="s">
        <v>25</v>
      </c>
      <c r="AF45" s="113"/>
      <c r="AG45" s="113" t="s">
        <v>25</v>
      </c>
      <c r="AI45" s="97">
        <v>26</v>
      </c>
      <c r="AJ45" s="111" t="s">
        <v>3783</v>
      </c>
      <c r="AK45" s="111">
        <v>380000</v>
      </c>
      <c r="AL45" s="97">
        <v>7</v>
      </c>
      <c r="AM45" s="97">
        <f t="shared" si="9"/>
        <v>1309</v>
      </c>
      <c r="AN45" s="111">
        <f t="shared" si="10"/>
        <v>497420000</v>
      </c>
      <c r="AO45" s="97"/>
      <c r="AR45" s="94"/>
      <c r="AS45" s="94"/>
      <c r="AT45" s="94"/>
      <c r="AW45" s="94"/>
    </row>
    <row r="46" spans="1:55">
      <c r="A46" s="60">
        <v>99</v>
      </c>
      <c r="B46" s="11">
        <v>44</v>
      </c>
      <c r="C46" s="48">
        <f t="shared" si="4"/>
        <v>4968845.0263747573</v>
      </c>
      <c r="D46" s="3">
        <f t="shared" si="5"/>
        <v>4036335.7543016877</v>
      </c>
      <c r="E46" s="3">
        <f t="shared" si="11"/>
        <v>456143524.53016472</v>
      </c>
      <c r="F46" s="3"/>
      <c r="G46" s="11"/>
      <c r="H46" s="11"/>
      <c r="I46" s="94"/>
      <c r="J46" s="112"/>
      <c r="K46" s="205"/>
      <c r="L46" s="115"/>
      <c r="M46" s="166" t="s">
        <v>6402</v>
      </c>
      <c r="N46" s="111">
        <v>-14000000</v>
      </c>
      <c r="O46" t="s">
        <v>25</v>
      </c>
      <c r="P46" t="s">
        <v>25</v>
      </c>
      <c r="Q46" s="67"/>
      <c r="R46" s="167"/>
      <c r="S46" s="205" t="s">
        <v>5634</v>
      </c>
      <c r="T46" s="193">
        <f>T45-1</f>
        <v>616</v>
      </c>
      <c r="U46" s="205" t="s">
        <v>5635</v>
      </c>
      <c r="V46" s="205">
        <v>1530</v>
      </c>
      <c r="W46" s="205">
        <f t="shared" si="6"/>
        <v>2276.2543561643838</v>
      </c>
      <c r="X46" s="32">
        <f t="shared" si="12"/>
        <v>2321.7794432876717</v>
      </c>
      <c r="Y46" s="32">
        <f t="shared" si="13"/>
        <v>2367.3045304109592</v>
      </c>
      <c r="Z46" s="94">
        <v>2971</v>
      </c>
      <c r="AA46" s="120"/>
      <c r="AB46" s="94"/>
      <c r="AC46" s="113"/>
      <c r="AD46" s="113"/>
      <c r="AE46" s="113"/>
      <c r="AF46" s="113"/>
      <c r="AG46" s="113"/>
      <c r="AI46" s="97">
        <v>27</v>
      </c>
      <c r="AJ46" s="111" t="s">
        <v>3869</v>
      </c>
      <c r="AK46" s="111">
        <v>450000</v>
      </c>
      <c r="AL46" s="97">
        <v>6</v>
      </c>
      <c r="AM46" s="97">
        <f t="shared" si="9"/>
        <v>1302</v>
      </c>
      <c r="AN46" s="111">
        <f t="shared" si="10"/>
        <v>585900000</v>
      </c>
      <c r="AO46" s="97"/>
      <c r="AR46" s="94"/>
      <c r="AS46" s="94"/>
      <c r="AT46" s="94"/>
      <c r="AW46" s="94"/>
    </row>
    <row r="47" spans="1:55">
      <c r="A47" s="60">
        <v>99</v>
      </c>
      <c r="B47" s="11">
        <v>45</v>
      </c>
      <c r="C47" s="48">
        <f t="shared" si="4"/>
        <v>5018533.4766385052</v>
      </c>
      <c r="D47" s="3">
        <f t="shared" si="5"/>
        <v>4076699.1118447045</v>
      </c>
      <c r="E47" s="3">
        <f t="shared" si="11"/>
        <v>466208229.38556182</v>
      </c>
      <c r="F47" s="3"/>
      <c r="G47" s="11"/>
      <c r="H47" s="11"/>
      <c r="J47" s="112"/>
      <c r="K47" s="205"/>
      <c r="L47" s="115"/>
      <c r="M47" s="166" t="s">
        <v>6403</v>
      </c>
      <c r="N47" s="111">
        <v>-34200000</v>
      </c>
      <c r="O47" s="273"/>
      <c r="P47" s="94" t="s">
        <v>25</v>
      </c>
      <c r="Q47" s="67"/>
      <c r="R47" s="167"/>
      <c r="S47" s="205" t="s">
        <v>5637</v>
      </c>
      <c r="T47" s="193">
        <f>T46-2</f>
        <v>614</v>
      </c>
      <c r="U47" s="205" t="s">
        <v>5638</v>
      </c>
      <c r="V47" s="205"/>
      <c r="W47" s="205">
        <f t="shared" si="6"/>
        <v>0</v>
      </c>
      <c r="X47" s="32">
        <f t="shared" ref="X47:X55" si="15">W47*(1+$X$19/100)</f>
        <v>0</v>
      </c>
      <c r="Y47" s="32">
        <f t="shared" ref="Y47:Y55" si="16">W47*(1+$Y$19/100)</f>
        <v>0</v>
      </c>
      <c r="Z47" s="94">
        <v>32899</v>
      </c>
      <c r="AA47" s="120"/>
      <c r="AB47" s="94"/>
      <c r="AC47" s="113"/>
      <c r="AD47" s="113"/>
      <c r="AE47" s="113" t="s">
        <v>25</v>
      </c>
      <c r="AF47" s="113"/>
      <c r="AG47" s="113"/>
      <c r="AI47" s="97">
        <v>28</v>
      </c>
      <c r="AJ47" s="111" t="s">
        <v>3893</v>
      </c>
      <c r="AK47" s="111">
        <v>2800000</v>
      </c>
      <c r="AL47" s="97">
        <v>1</v>
      </c>
      <c r="AM47" s="97">
        <f t="shared" si="9"/>
        <v>1296</v>
      </c>
      <c r="AN47" s="111">
        <f t="shared" si="10"/>
        <v>3628800000</v>
      </c>
      <c r="AO47" s="97"/>
      <c r="AR47" s="94"/>
      <c r="AS47" s="94"/>
      <c r="AT47" s="94"/>
    </row>
    <row r="48" spans="1:55">
      <c r="A48" s="62">
        <v>99</v>
      </c>
      <c r="B48" s="62">
        <v>46</v>
      </c>
      <c r="C48" s="63">
        <f t="shared" si="4"/>
        <v>5068718.8114048904</v>
      </c>
      <c r="D48" s="63">
        <f t="shared" si="5"/>
        <v>4117466.1029631514</v>
      </c>
      <c r="E48" s="63">
        <f t="shared" si="11"/>
        <v>476483646.68171477</v>
      </c>
      <c r="F48" s="3"/>
      <c r="G48" s="11"/>
      <c r="H48" s="11" t="s">
        <v>605</v>
      </c>
      <c r="J48" s="112"/>
      <c r="K48" s="241" t="s">
        <v>6963</v>
      </c>
      <c r="L48" s="115">
        <v>25000000</v>
      </c>
      <c r="M48" s="166"/>
      <c r="N48" s="111"/>
      <c r="O48" s="112"/>
      <c r="P48" s="94"/>
      <c r="Q48" s="67"/>
      <c r="R48" s="167"/>
      <c r="S48" s="205" t="s">
        <v>5653</v>
      </c>
      <c r="T48" s="193">
        <f>T47-19</f>
        <v>595</v>
      </c>
      <c r="U48" s="205" t="s">
        <v>5654</v>
      </c>
      <c r="V48" s="205">
        <v>1160</v>
      </c>
      <c r="W48" s="205">
        <f t="shared" si="6"/>
        <v>1707.1004931506852</v>
      </c>
      <c r="X48" s="32">
        <f t="shared" si="15"/>
        <v>1741.242503013699</v>
      </c>
      <c r="Y48" s="32">
        <f t="shared" si="16"/>
        <v>1775.3845128767127</v>
      </c>
      <c r="Z48" s="94">
        <v>53136</v>
      </c>
      <c r="AA48" s="120"/>
      <c r="AB48" s="94"/>
      <c r="AC48" s="113" t="s">
        <v>25</v>
      </c>
      <c r="AD48" s="113"/>
      <c r="AE48" s="113"/>
      <c r="AF48" s="113"/>
      <c r="AG48" s="113"/>
      <c r="AI48" s="97">
        <v>29</v>
      </c>
      <c r="AJ48" s="111" t="s">
        <v>3894</v>
      </c>
      <c r="AK48" s="111">
        <v>-1500000</v>
      </c>
      <c r="AL48" s="97">
        <v>0</v>
      </c>
      <c r="AM48" s="97">
        <f t="shared" si="9"/>
        <v>1295</v>
      </c>
      <c r="AN48" s="111">
        <f t="shared" si="10"/>
        <v>-1942500000</v>
      </c>
      <c r="AO48" s="97"/>
      <c r="AR48" s="94"/>
      <c r="AS48" s="94"/>
      <c r="AT48" s="94"/>
    </row>
    <row r="49" spans="1:46">
      <c r="A49" s="60">
        <v>99</v>
      </c>
      <c r="B49" s="11">
        <v>47</v>
      </c>
      <c r="C49" s="3">
        <f t="shared" si="4"/>
        <v>5119405.9995189393</v>
      </c>
      <c r="D49" s="3">
        <f t="shared" si="5"/>
        <v>4158640.7639927831</v>
      </c>
      <c r="E49" s="3">
        <f t="shared" si="11"/>
        <v>486974084.8508752</v>
      </c>
      <c r="F49" s="3"/>
      <c r="G49" s="11"/>
      <c r="H49" s="11"/>
      <c r="J49" s="112"/>
      <c r="K49" s="205"/>
      <c r="L49" s="115"/>
      <c r="Q49" s="67"/>
      <c r="R49" s="167"/>
      <c r="S49" s="205" t="s">
        <v>5655</v>
      </c>
      <c r="T49" s="193">
        <f>T48-1</f>
        <v>594</v>
      </c>
      <c r="U49" s="205" t="s">
        <v>5656</v>
      </c>
      <c r="V49" s="205"/>
      <c r="W49" s="205">
        <f t="shared" si="6"/>
        <v>0</v>
      </c>
      <c r="X49" s="32">
        <f t="shared" si="15"/>
        <v>0</v>
      </c>
      <c r="Y49" s="32">
        <f t="shared" si="16"/>
        <v>0</v>
      </c>
      <c r="Z49" s="94">
        <v>152397</v>
      </c>
      <c r="AA49" s="120"/>
      <c r="AB49" s="94"/>
      <c r="AD49" t="s">
        <v>25</v>
      </c>
      <c r="AE49" t="s">
        <v>25</v>
      </c>
      <c r="AG49" s="113"/>
      <c r="AI49" s="97">
        <v>30</v>
      </c>
      <c r="AJ49" s="111" t="s">
        <v>3894</v>
      </c>
      <c r="AK49" s="111">
        <v>3050000</v>
      </c>
      <c r="AL49" s="97">
        <v>3</v>
      </c>
      <c r="AM49" s="97">
        <f>AM50+AL49</f>
        <v>1295</v>
      </c>
      <c r="AN49" s="111">
        <f t="shared" si="10"/>
        <v>3949750000</v>
      </c>
      <c r="AO49" s="97"/>
      <c r="AR49" s="94"/>
      <c r="AS49" s="94"/>
      <c r="AT49" s="94"/>
    </row>
    <row r="50" spans="1:46">
      <c r="A50" s="60">
        <v>99</v>
      </c>
      <c r="B50" s="11">
        <v>48</v>
      </c>
      <c r="C50" s="49">
        <f t="shared" si="4"/>
        <v>5170600.0595141286</v>
      </c>
      <c r="D50" s="49">
        <f t="shared" si="5"/>
        <v>4200227.1716327108</v>
      </c>
      <c r="E50" s="50">
        <f t="shared" si="11"/>
        <v>497683939.43577409</v>
      </c>
      <c r="F50" s="49"/>
      <c r="G50" s="11"/>
      <c r="H50" s="97"/>
      <c r="I50" s="190"/>
      <c r="J50" s="126"/>
      <c r="K50" s="205"/>
      <c r="L50" s="205"/>
      <c r="M50" s="166" t="s">
        <v>4413</v>
      </c>
      <c r="N50" s="293">
        <v>78685</v>
      </c>
      <c r="O50" s="112"/>
      <c r="P50" t="s">
        <v>25</v>
      </c>
      <c r="Q50" s="67"/>
      <c r="R50" s="167"/>
      <c r="S50" s="205" t="s">
        <v>5657</v>
      </c>
      <c r="T50" s="193">
        <f>T49-1</f>
        <v>593</v>
      </c>
      <c r="U50" s="205" t="s">
        <v>5658</v>
      </c>
      <c r="V50" s="205"/>
      <c r="W50" s="205">
        <f t="shared" si="6"/>
        <v>0</v>
      </c>
      <c r="X50" s="32">
        <f t="shared" si="15"/>
        <v>0</v>
      </c>
      <c r="Y50" s="32">
        <f t="shared" si="16"/>
        <v>0</v>
      </c>
      <c r="Z50" s="94">
        <v>173628</v>
      </c>
      <c r="AA50" s="120"/>
      <c r="AB50" s="94"/>
      <c r="AI50" s="97">
        <v>31</v>
      </c>
      <c r="AJ50" s="111" t="s">
        <v>3918</v>
      </c>
      <c r="AK50" s="111">
        <v>-8299612</v>
      </c>
      <c r="AL50" s="97">
        <v>2</v>
      </c>
      <c r="AM50" s="97">
        <f t="shared" si="9"/>
        <v>1292</v>
      </c>
      <c r="AN50" s="111">
        <f t="shared" si="10"/>
        <v>-10723098704</v>
      </c>
      <c r="AO50" s="97"/>
      <c r="AR50" s="94"/>
      <c r="AS50" s="94"/>
      <c r="AT50" s="94"/>
    </row>
    <row r="51" spans="1:46">
      <c r="A51" s="61">
        <v>1400</v>
      </c>
      <c r="B51" s="11">
        <v>49</v>
      </c>
      <c r="C51" s="44">
        <f t="shared" si="4"/>
        <v>5222306.0601092698</v>
      </c>
      <c r="D51" s="3">
        <f t="shared" si="5"/>
        <v>4242229.4433490383</v>
      </c>
      <c r="E51" s="3">
        <f t="shared" si="11"/>
        <v>508617694.84124976</v>
      </c>
      <c r="F51" s="3"/>
      <c r="G51" s="11"/>
      <c r="H51" s="97"/>
      <c r="I51" s="190"/>
      <c r="J51" s="126"/>
      <c r="K51" s="205"/>
      <c r="L51" s="205"/>
      <c r="M51" s="19" t="s">
        <v>4156</v>
      </c>
      <c r="N51" s="111">
        <f>O51*P51</f>
        <v>4611880500</v>
      </c>
      <c r="O51" s="97">
        <f>SUM(Z99:Z130)</f>
        <v>3074587</v>
      </c>
      <c r="P51" s="97">
        <v>1500</v>
      </c>
      <c r="Q51" s="67">
        <f>N51*100/$S$170</f>
        <v>35.713699469073283</v>
      </c>
      <c r="R51" s="167"/>
      <c r="S51" s="205" t="s">
        <v>5659</v>
      </c>
      <c r="T51" s="193">
        <f>T50-3</f>
        <v>590</v>
      </c>
      <c r="U51" s="205" t="s">
        <v>5660</v>
      </c>
      <c r="V51" s="205"/>
      <c r="W51" s="205">
        <f t="shared" si="6"/>
        <v>0</v>
      </c>
      <c r="X51" s="32">
        <f t="shared" si="15"/>
        <v>0</v>
      </c>
      <c r="Y51" s="32">
        <f t="shared" si="16"/>
        <v>0</v>
      </c>
      <c r="Z51" s="94">
        <v>79504</v>
      </c>
      <c r="AA51" s="120"/>
      <c r="AB51" s="94"/>
      <c r="AI51" s="97">
        <v>32</v>
      </c>
      <c r="AJ51" s="111" t="s">
        <v>3913</v>
      </c>
      <c r="AK51" s="111">
        <v>5000000</v>
      </c>
      <c r="AL51" s="97">
        <v>14</v>
      </c>
      <c r="AM51" s="97">
        <f t="shared" si="9"/>
        <v>1290</v>
      </c>
      <c r="AN51" s="111">
        <f t="shared" si="10"/>
        <v>6450000000</v>
      </c>
      <c r="AO51" s="97"/>
      <c r="AR51" s="94"/>
      <c r="AS51" s="94"/>
      <c r="AT51" s="94"/>
    </row>
    <row r="52" spans="1:46">
      <c r="A52" s="61">
        <v>1400</v>
      </c>
      <c r="B52" s="11">
        <v>50</v>
      </c>
      <c r="C52" s="44">
        <f t="shared" si="4"/>
        <v>5274529.1207103627</v>
      </c>
      <c r="D52" s="3">
        <f t="shared" si="5"/>
        <v>4284651.7377825286</v>
      </c>
      <c r="E52" s="3">
        <f t="shared" si="11"/>
        <v>519779926.12100261</v>
      </c>
      <c r="F52" s="3"/>
      <c r="G52" s="11"/>
      <c r="H52" s="97"/>
      <c r="I52" s="190"/>
      <c r="J52" s="126"/>
      <c r="K52" s="205"/>
      <c r="L52" s="115"/>
      <c r="M52" s="19" t="s">
        <v>5259</v>
      </c>
      <c r="N52" s="111">
        <f t="shared" ref="N52:N58" si="17">O52*P52</f>
        <v>3186168035</v>
      </c>
      <c r="O52" s="97">
        <f>SUM(AB99:AB130)</f>
        <v>5521955</v>
      </c>
      <c r="P52" s="97">
        <v>577</v>
      </c>
      <c r="Q52" s="67">
        <f>N52*100/$S$170</f>
        <v>24.673199502883428</v>
      </c>
      <c r="R52" s="167"/>
      <c r="S52" s="205" t="s">
        <v>5662</v>
      </c>
      <c r="T52" s="193">
        <f>T51-2</f>
        <v>588</v>
      </c>
      <c r="U52" s="205" t="s">
        <v>5663</v>
      </c>
      <c r="V52" s="205"/>
      <c r="W52" s="205">
        <f t="shared" si="6"/>
        <v>0</v>
      </c>
      <c r="X52" s="32">
        <f t="shared" si="15"/>
        <v>0</v>
      </c>
      <c r="Y52" s="32">
        <f t="shared" si="16"/>
        <v>0</v>
      </c>
      <c r="Z52" s="94">
        <v>19196</v>
      </c>
      <c r="AA52" s="120"/>
      <c r="AB52" s="94"/>
      <c r="AI52" s="97">
        <v>33</v>
      </c>
      <c r="AJ52" s="111" t="s">
        <v>973</v>
      </c>
      <c r="AK52" s="111">
        <v>-90000</v>
      </c>
      <c r="AL52" s="97">
        <v>1</v>
      </c>
      <c r="AM52" s="97">
        <f t="shared" si="9"/>
        <v>1276</v>
      </c>
      <c r="AN52" s="111">
        <f t="shared" si="10"/>
        <v>-114840000</v>
      </c>
      <c r="AO52" s="97"/>
      <c r="AR52" s="94"/>
      <c r="AS52" s="94"/>
      <c r="AT52" s="94"/>
    </row>
    <row r="53" spans="1:46">
      <c r="A53" s="61">
        <v>1400</v>
      </c>
      <c r="B53" s="11">
        <v>51</v>
      </c>
      <c r="C53" s="44">
        <f t="shared" si="4"/>
        <v>5327274.4119174667</v>
      </c>
      <c r="D53" s="3">
        <f t="shared" si="5"/>
        <v>4327498.2551603541</v>
      </c>
      <c r="E53" s="3">
        <f t="shared" si="11"/>
        <v>531175300.80017978</v>
      </c>
      <c r="F53" s="3"/>
      <c r="G53" s="11"/>
      <c r="H53" s="97"/>
      <c r="I53" s="190"/>
      <c r="J53" s="126"/>
      <c r="K53" s="205"/>
      <c r="L53" s="115"/>
      <c r="M53" s="19" t="s">
        <v>6930</v>
      </c>
      <c r="N53" s="111">
        <f t="shared" si="17"/>
        <v>0</v>
      </c>
      <c r="O53" s="97">
        <v>0</v>
      </c>
      <c r="P53" s="97">
        <f>P51-707</f>
        <v>793</v>
      </c>
      <c r="Q53" s="67"/>
      <c r="R53" s="167" t="s">
        <v>25</v>
      </c>
      <c r="S53" s="205" t="s">
        <v>5665</v>
      </c>
      <c r="T53" s="193">
        <f>T52-7</f>
        <v>581</v>
      </c>
      <c r="U53" s="205" t="s">
        <v>6252</v>
      </c>
      <c r="V53" s="205">
        <v>1100</v>
      </c>
      <c r="W53" s="205">
        <f t="shared" si="6"/>
        <v>1606.9884931506851</v>
      </c>
      <c r="X53" s="32">
        <f t="shared" si="15"/>
        <v>1639.1282630136989</v>
      </c>
      <c r="Y53" s="32">
        <f t="shared" si="16"/>
        <v>1671.2680328767126</v>
      </c>
      <c r="Z53" s="94">
        <v>101322</v>
      </c>
      <c r="AA53" s="120"/>
      <c r="AB53" s="94"/>
      <c r="AI53" s="97">
        <v>34</v>
      </c>
      <c r="AJ53" s="111" t="s">
        <v>4035</v>
      </c>
      <c r="AK53" s="111">
        <v>5600000</v>
      </c>
      <c r="AL53" s="97">
        <v>4</v>
      </c>
      <c r="AM53" s="97">
        <f t="shared" si="9"/>
        <v>1275</v>
      </c>
      <c r="AN53" s="111">
        <f t="shared" si="10"/>
        <v>7140000000</v>
      </c>
      <c r="AO53" s="97"/>
    </row>
    <row r="54" spans="1:46">
      <c r="A54" s="61">
        <v>1400</v>
      </c>
      <c r="B54" s="11">
        <v>52</v>
      </c>
      <c r="C54" s="47">
        <f t="shared" si="4"/>
        <v>5380547.1560366414</v>
      </c>
      <c r="D54" s="3">
        <f t="shared" si="5"/>
        <v>4370773.2377119577</v>
      </c>
      <c r="E54" s="3">
        <f t="shared" si="11"/>
        <v>542808580.73450804</v>
      </c>
      <c r="F54" s="3"/>
      <c r="G54" s="11"/>
      <c r="H54" s="97"/>
      <c r="I54" s="190"/>
      <c r="J54" s="126"/>
      <c r="K54" s="241"/>
      <c r="L54" s="115"/>
      <c r="M54" s="19" t="s">
        <v>4354</v>
      </c>
      <c r="N54" s="115">
        <f t="shared" si="17"/>
        <v>0</v>
      </c>
      <c r="O54" s="67">
        <v>0</v>
      </c>
      <c r="P54" s="67">
        <v>16919</v>
      </c>
      <c r="Q54" s="67"/>
      <c r="R54" s="167"/>
      <c r="S54" s="205" t="s">
        <v>963</v>
      </c>
      <c r="T54" s="281">
        <f>T53-20</f>
        <v>561</v>
      </c>
      <c r="U54" s="205" t="s">
        <v>5687</v>
      </c>
      <c r="V54" s="205"/>
      <c r="W54" s="205">
        <f t="shared" si="6"/>
        <v>0</v>
      </c>
      <c r="X54" s="32">
        <f t="shared" si="15"/>
        <v>0</v>
      </c>
      <c r="Y54" s="32">
        <f t="shared" si="16"/>
        <v>0</v>
      </c>
      <c r="Z54" s="94">
        <v>948</v>
      </c>
      <c r="AA54" s="120"/>
      <c r="AB54" s="94"/>
      <c r="AI54" s="97">
        <v>35</v>
      </c>
      <c r="AJ54" s="111" t="s">
        <v>3963</v>
      </c>
      <c r="AK54" s="111">
        <v>750000</v>
      </c>
      <c r="AL54" s="97">
        <v>2</v>
      </c>
      <c r="AM54" s="97">
        <f t="shared" si="9"/>
        <v>1271</v>
      </c>
      <c r="AN54" s="111">
        <f t="shared" si="10"/>
        <v>953250000</v>
      </c>
      <c r="AO54" s="97"/>
    </row>
    <row r="55" spans="1:46">
      <c r="A55" s="61">
        <v>1400</v>
      </c>
      <c r="B55" s="11">
        <v>53</v>
      </c>
      <c r="C55" s="47">
        <f t="shared" si="4"/>
        <v>5434352.6275970079</v>
      </c>
      <c r="D55" s="3">
        <f t="shared" si="5"/>
        <v>4414480.970089077</v>
      </c>
      <c r="E55" s="3">
        <f t="shared" si="11"/>
        <v>554684624.00670612</v>
      </c>
      <c r="F55" s="3"/>
      <c r="G55" s="11"/>
      <c r="H55" s="97"/>
      <c r="I55" s="190"/>
      <c r="J55" s="126"/>
      <c r="K55" s="205"/>
      <c r="L55" s="115"/>
      <c r="M55" s="19" t="s">
        <v>4358</v>
      </c>
      <c r="N55" s="115">
        <f t="shared" si="17"/>
        <v>0</v>
      </c>
      <c r="O55" s="67">
        <v>0</v>
      </c>
      <c r="P55" s="67">
        <v>19445</v>
      </c>
      <c r="Q55" s="67"/>
      <c r="R55" s="167" t="s">
        <v>25</v>
      </c>
      <c r="S55" s="205" t="s">
        <v>5718</v>
      </c>
      <c r="T55" s="193">
        <f>T54-22</f>
        <v>539</v>
      </c>
      <c r="U55" s="205" t="s">
        <v>6952</v>
      </c>
      <c r="V55" s="205">
        <v>1302</v>
      </c>
      <c r="W55" s="205">
        <f t="shared" si="6"/>
        <v>1860.1406465753428</v>
      </c>
      <c r="X55" s="32">
        <f t="shared" si="15"/>
        <v>1897.3434595068497</v>
      </c>
      <c r="Y55" s="32">
        <f t="shared" si="16"/>
        <v>1934.5462724383565</v>
      </c>
      <c r="Z55">
        <v>85137</v>
      </c>
      <c r="AA55" s="120" t="s">
        <v>25</v>
      </c>
      <c r="AB55" s="94"/>
      <c r="AI55" s="169">
        <v>36</v>
      </c>
      <c r="AJ55" s="168" t="s">
        <v>3973</v>
      </c>
      <c r="AK55" s="168">
        <v>-4242000</v>
      </c>
      <c r="AL55" s="169">
        <v>2</v>
      </c>
      <c r="AM55" s="169">
        <f t="shared" si="9"/>
        <v>1269</v>
      </c>
      <c r="AN55" s="168">
        <f t="shared" si="10"/>
        <v>-5383098000</v>
      </c>
      <c r="AO55" s="169" t="s">
        <v>4044</v>
      </c>
    </row>
    <row r="56" spans="1:46">
      <c r="A56" s="61">
        <v>1400</v>
      </c>
      <c r="B56" s="11">
        <v>54</v>
      </c>
      <c r="C56" s="47">
        <f t="shared" si="4"/>
        <v>5488696.1538729779</v>
      </c>
      <c r="D56" s="3">
        <f t="shared" si="5"/>
        <v>4458625.7797899675</v>
      </c>
      <c r="E56" s="3">
        <f t="shared" si="11"/>
        <v>566808386.86092329</v>
      </c>
      <c r="F56" s="3"/>
      <c r="G56" s="11"/>
      <c r="H56" s="97"/>
      <c r="I56" s="190"/>
      <c r="J56" s="126"/>
      <c r="K56" s="205"/>
      <c r="L56" s="115"/>
      <c r="M56" s="19" t="s">
        <v>5834</v>
      </c>
      <c r="N56" s="111">
        <f t="shared" si="17"/>
        <v>0</v>
      </c>
      <c r="O56" s="97">
        <v>0</v>
      </c>
      <c r="P56" s="97">
        <v>3420</v>
      </c>
      <c r="Q56" s="67"/>
      <c r="R56" s="167"/>
      <c r="S56" s="205" t="s">
        <v>6251</v>
      </c>
      <c r="T56" s="193">
        <f>T55-196</f>
        <v>343</v>
      </c>
      <c r="U56" s="205" t="s">
        <v>6958</v>
      </c>
      <c r="V56" s="205">
        <v>1343</v>
      </c>
      <c r="W56" s="205">
        <f t="shared" si="6"/>
        <v>1716.7881753424658</v>
      </c>
      <c r="X56" s="32">
        <f t="shared" ref="X56:X57" si="18">W56*(1+$X$19/100)</f>
        <v>1751.1239388493152</v>
      </c>
      <c r="Y56" s="32">
        <f t="shared" ref="Y56:Y57" si="19">W56*(1+$Y$19/100)</f>
        <v>1785.4597023561646</v>
      </c>
      <c r="Z56" s="120"/>
      <c r="AA56" s="120">
        <v>11006</v>
      </c>
      <c r="AB56" s="94">
        <f>AA56*3</f>
        <v>33018</v>
      </c>
      <c r="AI56" s="97">
        <v>37</v>
      </c>
      <c r="AJ56" s="111" t="s">
        <v>3973</v>
      </c>
      <c r="AK56" s="111">
        <v>4100000</v>
      </c>
      <c r="AL56" s="97">
        <v>0</v>
      </c>
      <c r="AM56" s="97">
        <f t="shared" si="9"/>
        <v>1267</v>
      </c>
      <c r="AN56" s="111">
        <f t="shared" si="10"/>
        <v>5194700000</v>
      </c>
      <c r="AO56" s="97"/>
    </row>
    <row r="57" spans="1:46">
      <c r="A57" s="61">
        <v>1400</v>
      </c>
      <c r="B57" s="11">
        <v>55</v>
      </c>
      <c r="C57" s="48">
        <f t="shared" si="4"/>
        <v>5543583.1154117081</v>
      </c>
      <c r="D57" s="3">
        <f t="shared" si="5"/>
        <v>4503212.0375878671</v>
      </c>
      <c r="E57" s="3">
        <f t="shared" si="11"/>
        <v>579184925.67596567</v>
      </c>
      <c r="F57" s="3"/>
      <c r="G57" s="11"/>
      <c r="H57" s="97"/>
      <c r="I57" s="190"/>
      <c r="J57" s="126"/>
      <c r="K57" s="205"/>
      <c r="L57" s="115"/>
      <c r="M57" s="19" t="s">
        <v>5813</v>
      </c>
      <c r="N57" s="111">
        <f t="shared" si="17"/>
        <v>0</v>
      </c>
      <c r="O57" s="97">
        <v>0</v>
      </c>
      <c r="P57" s="97">
        <v>8463</v>
      </c>
      <c r="Q57" s="67"/>
      <c r="R57" s="167"/>
      <c r="S57" s="205" t="s">
        <v>6253</v>
      </c>
      <c r="T57" s="193">
        <f>T56-1</f>
        <v>342</v>
      </c>
      <c r="U57" s="205" t="s">
        <v>6957</v>
      </c>
      <c r="V57" s="205">
        <v>1350.4</v>
      </c>
      <c r="W57" s="205">
        <f t="shared" si="6"/>
        <v>1725.211844383562</v>
      </c>
      <c r="X57" s="32">
        <f t="shared" si="18"/>
        <v>1759.7160812712334</v>
      </c>
      <c r="Y57" s="32">
        <f t="shared" si="19"/>
        <v>1794.2203181589045</v>
      </c>
      <c r="Z57" s="120"/>
      <c r="AA57" s="120">
        <v>48370</v>
      </c>
      <c r="AB57" s="401">
        <v>74758</v>
      </c>
      <c r="AI57" s="97">
        <v>38</v>
      </c>
      <c r="AJ57" s="111" t="s">
        <v>3979</v>
      </c>
      <c r="AK57" s="111">
        <v>4100000</v>
      </c>
      <c r="AL57" s="97">
        <v>1</v>
      </c>
      <c r="AM57" s="97">
        <f t="shared" si="9"/>
        <v>1267</v>
      </c>
      <c r="AN57" s="111">
        <f t="shared" si="10"/>
        <v>5194700000</v>
      </c>
      <c r="AO57" s="97"/>
    </row>
    <row r="58" spans="1:46" ht="18.75">
      <c r="A58" s="61">
        <v>1400</v>
      </c>
      <c r="B58" s="11">
        <v>56</v>
      </c>
      <c r="C58" s="48">
        <f t="shared" si="4"/>
        <v>5599018.9465658255</v>
      </c>
      <c r="D58" s="3">
        <f t="shared" si="5"/>
        <v>4548244.1579637462</v>
      </c>
      <c r="E58" s="3">
        <f t="shared" si="11"/>
        <v>591819398.97808707</v>
      </c>
      <c r="F58" s="3"/>
      <c r="G58" s="11"/>
      <c r="H58" s="97"/>
      <c r="I58" s="346"/>
      <c r="J58" s="347"/>
      <c r="K58" s="205"/>
      <c r="L58" s="115"/>
      <c r="M58" s="166" t="s">
        <v>6255</v>
      </c>
      <c r="N58" s="111">
        <f t="shared" si="17"/>
        <v>0</v>
      </c>
      <c r="O58" s="97">
        <v>0</v>
      </c>
      <c r="P58" s="97">
        <v>1</v>
      </c>
      <c r="R58" s="167"/>
      <c r="S58" s="205" t="s">
        <v>6954</v>
      </c>
      <c r="T58" s="193">
        <f>T99-1332</f>
        <v>28</v>
      </c>
      <c r="U58" s="205" t="s">
        <v>6955</v>
      </c>
      <c r="V58" s="205">
        <v>1526</v>
      </c>
      <c r="W58" s="205">
        <f t="shared" si="6"/>
        <v>1581.9728438356167</v>
      </c>
      <c r="X58" s="32">
        <f t="shared" ref="X58:X63" si="20">W58*(1+$X$19/100)</f>
        <v>1613.612300712329</v>
      </c>
      <c r="Y58" s="32">
        <f t="shared" ref="Y58:Y63" si="21">W58*(1+$Y$19/100)</f>
        <v>1645.2517575890415</v>
      </c>
      <c r="Z58" s="120">
        <v>48177</v>
      </c>
      <c r="AA58" s="120"/>
      <c r="AB58" s="467"/>
      <c r="AI58" s="97">
        <v>39</v>
      </c>
      <c r="AJ58" s="111" t="s">
        <v>3988</v>
      </c>
      <c r="AK58" s="111">
        <v>790000</v>
      </c>
      <c r="AL58" s="97">
        <v>15</v>
      </c>
      <c r="AM58" s="97">
        <f t="shared" si="9"/>
        <v>1266</v>
      </c>
      <c r="AN58" s="111">
        <f t="shared" si="10"/>
        <v>1000140000</v>
      </c>
      <c r="AO58" s="97"/>
    </row>
    <row r="59" spans="1:46">
      <c r="A59" s="61">
        <v>1400</v>
      </c>
      <c r="B59" s="11">
        <v>57</v>
      </c>
      <c r="C59" s="48">
        <f t="shared" si="4"/>
        <v>5655009.1360314842</v>
      </c>
      <c r="D59" s="3">
        <f t="shared" si="5"/>
        <v>4593726.5995433833</v>
      </c>
      <c r="E59" s="3">
        <f t="shared" si="11"/>
        <v>604717069.49413705</v>
      </c>
      <c r="F59" s="3"/>
      <c r="G59" s="11"/>
      <c r="H59" s="11"/>
      <c r="J59" s="112"/>
      <c r="K59" s="205"/>
      <c r="L59" s="205"/>
      <c r="M59" s="21" t="s">
        <v>1068</v>
      </c>
      <c r="N59" s="115">
        <f>O59*P59</f>
        <v>0</v>
      </c>
      <c r="O59" s="67">
        <v>0</v>
      </c>
      <c r="P59" s="67">
        <v>1549000</v>
      </c>
      <c r="R59" s="167"/>
      <c r="S59" s="205" t="s">
        <v>6956</v>
      </c>
      <c r="T59" s="193">
        <f>T99-1333</f>
        <v>27</v>
      </c>
      <c r="U59" s="205" t="s">
        <v>6980</v>
      </c>
      <c r="V59" s="205">
        <v>1552</v>
      </c>
      <c r="W59" s="205">
        <f t="shared" si="6"/>
        <v>1607.7359342465757</v>
      </c>
      <c r="X59" s="32">
        <f t="shared" si="20"/>
        <v>1639.8906529315072</v>
      </c>
      <c r="Y59" s="32">
        <f t="shared" si="21"/>
        <v>1672.0453716164388</v>
      </c>
      <c r="Z59" s="120">
        <v>784149</v>
      </c>
      <c r="AA59" s="120"/>
      <c r="AB59" s="466"/>
      <c r="AC59" s="94"/>
      <c r="AD59" s="94"/>
      <c r="AI59" s="169">
        <v>40</v>
      </c>
      <c r="AJ59" s="168" t="s">
        <v>4019</v>
      </c>
      <c r="AK59" s="168">
        <v>-3865000</v>
      </c>
      <c r="AL59" s="169">
        <v>6</v>
      </c>
      <c r="AM59" s="169">
        <f t="shared" si="9"/>
        <v>1251</v>
      </c>
      <c r="AN59" s="170">
        <f t="shared" si="10"/>
        <v>-4835115000</v>
      </c>
      <c r="AO59" s="169" t="s">
        <v>4045</v>
      </c>
    </row>
    <row r="60" spans="1:46">
      <c r="A60" s="61">
        <v>1400</v>
      </c>
      <c r="B60" s="11">
        <v>58</v>
      </c>
      <c r="C60" s="3">
        <f t="shared" si="4"/>
        <v>5711559.227391799</v>
      </c>
      <c r="D60" s="3">
        <f t="shared" si="5"/>
        <v>4639663.8655388169</v>
      </c>
      <c r="E60" s="3">
        <f t="shared" si="11"/>
        <v>617883306.24587286</v>
      </c>
      <c r="F60" s="3"/>
      <c r="G60" s="11"/>
      <c r="H60" s="11"/>
      <c r="K60" s="4"/>
      <c r="L60" s="115" t="s">
        <v>25</v>
      </c>
      <c r="M60" s="71" t="s">
        <v>5047</v>
      </c>
      <c r="N60" s="115">
        <f>O60*P60</f>
        <v>0</v>
      </c>
      <c r="O60" s="67">
        <v>0</v>
      </c>
      <c r="P60" s="67">
        <v>28531</v>
      </c>
      <c r="R60" s="167"/>
      <c r="S60" s="205" t="s">
        <v>6978</v>
      </c>
      <c r="T60" s="193">
        <f>T99-1353</f>
        <v>7</v>
      </c>
      <c r="U60" s="205" t="s">
        <v>6979</v>
      </c>
      <c r="V60" s="205">
        <v>536</v>
      </c>
      <c r="W60" s="205">
        <f t="shared" si="6"/>
        <v>547.02544657534258</v>
      </c>
      <c r="X60" s="32">
        <f t="shared" si="20"/>
        <v>557.96595550684947</v>
      </c>
      <c r="Y60" s="32">
        <f t="shared" si="21"/>
        <v>568.90646443835635</v>
      </c>
      <c r="Z60" s="120"/>
      <c r="AA60" s="120"/>
      <c r="AB60" s="479">
        <v>432257</v>
      </c>
      <c r="AC60" s="94"/>
      <c r="AD60" s="94"/>
      <c r="AI60" s="20">
        <v>41</v>
      </c>
      <c r="AJ60" s="115" t="s">
        <v>4049</v>
      </c>
      <c r="AK60" s="115">
        <v>18800000</v>
      </c>
      <c r="AL60" s="20">
        <v>3</v>
      </c>
      <c r="AM60" s="97">
        <f t="shared" si="9"/>
        <v>1245</v>
      </c>
      <c r="AN60" s="111">
        <f t="shared" si="10"/>
        <v>23406000000</v>
      </c>
      <c r="AO60" s="20"/>
    </row>
    <row r="61" spans="1:46">
      <c r="A61" s="61">
        <v>1400</v>
      </c>
      <c r="B61" s="11">
        <v>59</v>
      </c>
      <c r="C61" s="3">
        <f t="shared" si="4"/>
        <v>5768674.819665717</v>
      </c>
      <c r="D61" s="3">
        <f t="shared" si="5"/>
        <v>4686060.5041942047</v>
      </c>
      <c r="E61" s="3">
        <f t="shared" si="11"/>
        <v>631323586.68626177</v>
      </c>
      <c r="F61" s="3"/>
      <c r="G61" s="11"/>
      <c r="H61" s="11"/>
      <c r="K61" s="205"/>
      <c r="L61" s="115"/>
      <c r="M61" s="166" t="s">
        <v>1134</v>
      </c>
      <c r="N61" s="115">
        <v>14908</v>
      </c>
      <c r="O61" s="72">
        <v>1</v>
      </c>
      <c r="P61" t="s">
        <v>25</v>
      </c>
      <c r="R61" s="167"/>
      <c r="S61" s="205"/>
      <c r="T61" s="193"/>
      <c r="U61" s="205"/>
      <c r="V61" s="205"/>
      <c r="W61" s="205"/>
      <c r="X61" s="32"/>
      <c r="Y61" s="32"/>
      <c r="Z61" s="120"/>
      <c r="AA61" s="120"/>
      <c r="AB61" s="479"/>
      <c r="AC61" s="94"/>
      <c r="AD61" s="94"/>
      <c r="AI61" s="20">
        <v>42</v>
      </c>
      <c r="AJ61" s="115" t="s">
        <v>4065</v>
      </c>
      <c r="AK61" s="115">
        <v>500000</v>
      </c>
      <c r="AL61" s="20">
        <v>1</v>
      </c>
      <c r="AM61" s="97">
        <f t="shared" si="9"/>
        <v>1242</v>
      </c>
      <c r="AN61" s="111">
        <f t="shared" si="10"/>
        <v>621000000</v>
      </c>
      <c r="AO61" s="20"/>
    </row>
    <row r="62" spans="1:46">
      <c r="A62" s="61">
        <v>1400</v>
      </c>
      <c r="B62" s="11">
        <v>60</v>
      </c>
      <c r="C62" s="3">
        <f t="shared" si="4"/>
        <v>5826361.5678623738</v>
      </c>
      <c r="D62" s="3">
        <f t="shared" si="5"/>
        <v>4732921.1092361463</v>
      </c>
      <c r="E62" s="46">
        <f t="shared" si="11"/>
        <v>645043498.87861323</v>
      </c>
      <c r="F62" s="3"/>
      <c r="G62" s="11"/>
      <c r="H62" s="11"/>
      <c r="K62" s="205"/>
      <c r="L62" s="205"/>
      <c r="M62" s="166" t="s">
        <v>1135</v>
      </c>
      <c r="N62" s="115">
        <v>5282</v>
      </c>
      <c r="O62" s="94"/>
      <c r="P62" t="s">
        <v>25</v>
      </c>
      <c r="R62" s="167"/>
      <c r="S62" s="205"/>
      <c r="T62" s="193"/>
      <c r="U62" s="205"/>
      <c r="V62" s="205"/>
      <c r="W62" s="205"/>
      <c r="X62" s="32"/>
      <c r="Y62" s="32"/>
      <c r="Z62" s="120"/>
      <c r="AA62" s="120"/>
      <c r="AB62" s="466"/>
      <c r="AC62" s="94"/>
      <c r="AD62" s="94"/>
      <c r="AI62" s="20">
        <v>43</v>
      </c>
      <c r="AJ62" s="115" t="s">
        <v>4069</v>
      </c>
      <c r="AK62" s="115">
        <v>200000</v>
      </c>
      <c r="AL62" s="20">
        <v>3</v>
      </c>
      <c r="AM62" s="97">
        <f>AM63+AL62</f>
        <v>1241</v>
      </c>
      <c r="AN62" s="111">
        <f t="shared" si="10"/>
        <v>248200000</v>
      </c>
      <c r="AO62" s="20"/>
    </row>
    <row r="63" spans="1:46">
      <c r="E63" s="26"/>
      <c r="J63" s="112"/>
      <c r="K63" s="205"/>
      <c r="L63" s="115"/>
      <c r="M63" s="166"/>
      <c r="N63" s="111"/>
      <c r="P63" t="s">
        <v>25</v>
      </c>
      <c r="Q63" s="113"/>
      <c r="R63" s="167"/>
      <c r="S63" s="166" t="s">
        <v>25</v>
      </c>
      <c r="T63" s="166" t="s">
        <v>25</v>
      </c>
      <c r="U63" s="166" t="s">
        <v>25</v>
      </c>
      <c r="V63" s="166"/>
      <c r="W63" s="205" t="e">
        <f>V63*(1+$S$95+$R$15*T63/36500)</f>
        <v>#VALUE!</v>
      </c>
      <c r="X63" s="32" t="e">
        <f t="shared" si="20"/>
        <v>#VALUE!</v>
      </c>
      <c r="Y63" s="32" t="e">
        <f t="shared" si="21"/>
        <v>#VALUE!</v>
      </c>
      <c r="Z63" s="120"/>
      <c r="AA63" s="120" t="s">
        <v>25</v>
      </c>
      <c r="AB63" s="94"/>
      <c r="AC63" s="94" t="s">
        <v>25</v>
      </c>
      <c r="AD63" s="94"/>
      <c r="AI63" s="20">
        <v>44</v>
      </c>
      <c r="AJ63" s="115" t="s">
        <v>4076</v>
      </c>
      <c r="AK63" s="115">
        <v>1000000</v>
      </c>
      <c r="AL63" s="20">
        <v>3</v>
      </c>
      <c r="AM63" s="97">
        <f t="shared" si="9"/>
        <v>1238</v>
      </c>
      <c r="AN63" s="111">
        <f t="shared" si="10"/>
        <v>1238000000</v>
      </c>
      <c r="AO63" s="20"/>
    </row>
    <row r="64" spans="1:46" ht="30">
      <c r="E64" s="26"/>
      <c r="J64" s="112"/>
      <c r="K64" s="205" t="s">
        <v>5494</v>
      </c>
      <c r="L64" s="115"/>
      <c r="M64" s="166" t="s">
        <v>4401</v>
      </c>
      <c r="N64" s="111">
        <f>-X141</f>
        <v>-128735343.76044835</v>
      </c>
      <c r="P64" s="22" t="s">
        <v>6959</v>
      </c>
      <c r="Q64" s="234" t="s">
        <v>6960</v>
      </c>
      <c r="R64" s="167">
        <f>SUM(N33:N36)-SUM(R20:R63)</f>
        <v>2831040692.6758094</v>
      </c>
      <c r="S64" s="166" t="s">
        <v>25</v>
      </c>
      <c r="T64" s="166" t="s">
        <v>25</v>
      </c>
      <c r="U64" s="166" t="s">
        <v>25</v>
      </c>
      <c r="V64" s="166"/>
      <c r="W64" s="166"/>
      <c r="X64" s="32"/>
      <c r="Y64" s="32"/>
      <c r="Z64" t="s">
        <v>25</v>
      </c>
      <c r="AA64" s="120"/>
      <c r="AB64" t="s">
        <v>25</v>
      </c>
      <c r="AC64" s="94" t="s">
        <v>25</v>
      </c>
      <c r="AD64" s="94"/>
      <c r="AI64" s="20">
        <v>45</v>
      </c>
      <c r="AJ64" s="115" t="s">
        <v>4088</v>
      </c>
      <c r="AK64" s="115">
        <v>1300000</v>
      </c>
      <c r="AL64" s="20">
        <v>0</v>
      </c>
      <c r="AM64" s="97">
        <f>AM65+AL64</f>
        <v>1235</v>
      </c>
      <c r="AN64" s="111">
        <f t="shared" si="10"/>
        <v>1605500000</v>
      </c>
      <c r="AO64" s="20"/>
    </row>
    <row r="65" spans="1:41" ht="45">
      <c r="J65" s="112"/>
      <c r="K65" s="241" t="s">
        <v>5516</v>
      </c>
      <c r="L65" s="115">
        <v>-1605910</v>
      </c>
      <c r="M65" s="166"/>
      <c r="N65" s="111"/>
      <c r="P65">
        <f>O22+O28+O33+O51+(O23+O29+O34+O52)*P52/P51</f>
        <v>8805601.7760000005</v>
      </c>
      <c r="Q65">
        <f>(O22+O28+O33+O51)*P51/P52+O23+O29+O34+O52</f>
        <v>22891512.415944539</v>
      </c>
      <c r="S65" s="113" t="s">
        <v>25</v>
      </c>
      <c r="T65" s="113" t="s">
        <v>25</v>
      </c>
      <c r="U65" s="120" t="s">
        <v>25</v>
      </c>
      <c r="V65" s="113" t="s">
        <v>25</v>
      </c>
      <c r="W65" s="113" t="s">
        <v>25</v>
      </c>
      <c r="X65" s="190" t="s">
        <v>25</v>
      </c>
      <c r="Y65" s="190"/>
      <c r="AA65" s="120" t="s">
        <v>25</v>
      </c>
      <c r="AB65" t="s">
        <v>25</v>
      </c>
      <c r="AD65" s="94"/>
      <c r="AI65" s="20">
        <v>45</v>
      </c>
      <c r="AJ65" s="115" t="s">
        <v>4088</v>
      </c>
      <c r="AK65" s="115">
        <v>995000</v>
      </c>
      <c r="AL65" s="20">
        <v>2</v>
      </c>
      <c r="AM65" s="97">
        <f t="shared" ref="AM65:AM92" si="22">AM66+AL65</f>
        <v>1235</v>
      </c>
      <c r="AN65" s="111">
        <f t="shared" si="10"/>
        <v>1228825000</v>
      </c>
      <c r="AO65" s="20"/>
    </row>
    <row r="66" spans="1:41">
      <c r="K66" s="205"/>
      <c r="L66" s="115"/>
      <c r="M66" s="166"/>
      <c r="N66" s="111"/>
      <c r="P66">
        <f>O22+O28+O33+O51</f>
        <v>6046337</v>
      </c>
      <c r="Q66" s="113">
        <f>O23+O29+O34+O52</f>
        <v>7173132</v>
      </c>
      <c r="R66" s="94" t="s">
        <v>25</v>
      </c>
      <c r="S66" s="113" t="s">
        <v>25</v>
      </c>
      <c r="T66" s="113"/>
      <c r="U66" s="113" t="s">
        <v>25</v>
      </c>
      <c r="V66" s="113" t="s">
        <v>25</v>
      </c>
      <c r="W66" s="120" t="s">
        <v>25</v>
      </c>
      <c r="X66" s="190"/>
      <c r="Y66" s="190" t="s">
        <v>25</v>
      </c>
      <c r="Z66" s="120" t="s">
        <v>25</v>
      </c>
      <c r="AA66" s="120" t="s">
        <v>25</v>
      </c>
      <c r="AB66" t="s">
        <v>25</v>
      </c>
      <c r="AD66" s="94"/>
      <c r="AI66" s="20">
        <v>46</v>
      </c>
      <c r="AJ66" s="115" t="s">
        <v>4097</v>
      </c>
      <c r="AK66" s="115">
        <v>13000000</v>
      </c>
      <c r="AL66" s="20">
        <v>2</v>
      </c>
      <c r="AM66" s="97">
        <f t="shared" si="22"/>
        <v>1233</v>
      </c>
      <c r="AN66" s="111">
        <f t="shared" si="10"/>
        <v>16029000000</v>
      </c>
      <c r="AO66" s="20"/>
    </row>
    <row r="67" spans="1:41">
      <c r="A67" t="s">
        <v>25</v>
      </c>
      <c r="F67" t="s">
        <v>310</v>
      </c>
      <c r="G67" s="9" t="s">
        <v>4080</v>
      </c>
      <c r="I67" s="94" t="s">
        <v>6182</v>
      </c>
      <c r="K67" s="205"/>
      <c r="L67" s="115"/>
      <c r="M67" s="166"/>
      <c r="N67" s="111">
        <f>SUM(N16:N66)</f>
        <v>13517840646.239552</v>
      </c>
      <c r="P67">
        <f>P66*100/P65</f>
        <v>68.664665446029133</v>
      </c>
      <c r="Q67" s="113">
        <f>Q66*100/Q65</f>
        <v>31.335334553970867</v>
      </c>
      <c r="R67" s="166" t="s">
        <v>649</v>
      </c>
      <c r="S67" s="166"/>
      <c r="T67" s="166"/>
      <c r="U67" s="166"/>
      <c r="V67" s="166"/>
      <c r="W67" s="166"/>
      <c r="X67" s="32"/>
      <c r="Y67" s="32"/>
      <c r="AA67" t="s">
        <v>25</v>
      </c>
      <c r="AB67" s="113"/>
      <c r="AD67" s="94"/>
      <c r="AI67" s="20">
        <v>47</v>
      </c>
      <c r="AJ67" s="115" t="s">
        <v>4110</v>
      </c>
      <c r="AK67" s="115">
        <v>-3100000</v>
      </c>
      <c r="AL67" s="20">
        <v>3</v>
      </c>
      <c r="AM67" s="97">
        <f t="shared" si="22"/>
        <v>1231</v>
      </c>
      <c r="AN67" s="111">
        <f t="shared" si="10"/>
        <v>-3816100000</v>
      </c>
      <c r="AO67" s="20"/>
    </row>
    <row r="68" spans="1:41" ht="30">
      <c r="F68" t="s">
        <v>4084</v>
      </c>
      <c r="G68" s="9" t="s">
        <v>4079</v>
      </c>
      <c r="I68" s="120" t="s">
        <v>6183</v>
      </c>
      <c r="K68" s="205" t="s">
        <v>592</v>
      </c>
      <c r="L68" s="111">
        <f>SUM(L16:L49)</f>
        <v>52853226.126917839</v>
      </c>
      <c r="M68" s="166"/>
      <c r="N68" s="111">
        <f>N16+N17</f>
        <v>141053</v>
      </c>
      <c r="P68" t="s">
        <v>25</v>
      </c>
      <c r="R68" s="166" t="s">
        <v>267</v>
      </c>
      <c r="S68" s="166" t="s">
        <v>180</v>
      </c>
      <c r="T68" s="166" t="s">
        <v>183</v>
      </c>
      <c r="U68" s="166" t="s">
        <v>8</v>
      </c>
      <c r="V68" s="166" t="s">
        <v>4329</v>
      </c>
      <c r="W68" s="71" t="s">
        <v>4331</v>
      </c>
      <c r="X68" s="32">
        <v>2</v>
      </c>
      <c r="Y68" s="32">
        <v>4</v>
      </c>
      <c r="AB68" s="113" t="s">
        <v>25</v>
      </c>
      <c r="AD68" s="94"/>
      <c r="AI68" s="20">
        <v>48</v>
      </c>
      <c r="AJ68" s="115" t="s">
        <v>4125</v>
      </c>
      <c r="AK68" s="115">
        <v>45640000</v>
      </c>
      <c r="AL68" s="20">
        <v>1</v>
      </c>
      <c r="AM68" s="97">
        <f t="shared" si="22"/>
        <v>1228</v>
      </c>
      <c r="AN68" s="111">
        <f t="shared" si="10"/>
        <v>56045920000</v>
      </c>
      <c r="AO68" s="20"/>
    </row>
    <row r="69" spans="1:41">
      <c r="F69" t="s">
        <v>4085</v>
      </c>
      <c r="G69" s="9" t="s">
        <v>4081</v>
      </c>
      <c r="I69" s="112" t="s">
        <v>6184</v>
      </c>
      <c r="K69" s="205" t="s">
        <v>593</v>
      </c>
      <c r="L69" s="111">
        <f>L16+L17+L34</f>
        <v>49206763.126917839</v>
      </c>
      <c r="M69" s="111"/>
      <c r="N69" s="166"/>
      <c r="O69" s="487"/>
      <c r="P69" s="487"/>
      <c r="Q69" s="487"/>
      <c r="R69" s="166">
        <v>0</v>
      </c>
      <c r="S69" s="166" t="s">
        <v>4149</v>
      </c>
      <c r="T69" s="166">
        <f>T99</f>
        <v>1360</v>
      </c>
      <c r="U69" s="166"/>
      <c r="V69" s="166"/>
      <c r="W69" s="71"/>
      <c r="X69" s="32"/>
      <c r="Y69" s="32"/>
      <c r="AD69" s="94"/>
      <c r="AI69" s="20">
        <v>49</v>
      </c>
      <c r="AJ69" s="115" t="s">
        <v>4129</v>
      </c>
      <c r="AK69" s="115">
        <v>33500000</v>
      </c>
      <c r="AL69" s="20">
        <v>1</v>
      </c>
      <c r="AM69" s="97">
        <f t="shared" si="22"/>
        <v>1227</v>
      </c>
      <c r="AN69" s="111">
        <f t="shared" si="10"/>
        <v>41104500000</v>
      </c>
      <c r="AO69" s="20"/>
    </row>
    <row r="70" spans="1:41">
      <c r="G70" t="s">
        <v>4082</v>
      </c>
      <c r="I70" s="120" t="s">
        <v>6190</v>
      </c>
      <c r="K70" s="54" t="s">
        <v>708</v>
      </c>
      <c r="L70" s="111">
        <f>L68+N7</f>
        <v>152853226.12691784</v>
      </c>
      <c r="O70" s="486" t="s">
        <v>6993</v>
      </c>
      <c r="P70" s="486">
        <v>8805601</v>
      </c>
      <c r="Q70" s="486">
        <v>22891512</v>
      </c>
      <c r="R70" s="167">
        <v>863944</v>
      </c>
      <c r="S70" s="166" t="s">
        <v>4394</v>
      </c>
      <c r="T70" s="166">
        <f>T69-62</f>
        <v>1298</v>
      </c>
      <c r="U70" s="188" t="s">
        <v>4452</v>
      </c>
      <c r="V70" s="166">
        <v>184.6</v>
      </c>
      <c r="W70" s="166">
        <f t="shared" ref="W70:W86" si="23">V70*(1+$S$95+$R$15*T70/36500)</f>
        <v>371.21694465753427</v>
      </c>
      <c r="X70" s="32">
        <f t="shared" ref="X70:X77" si="24">W70*(1+$X$19/100)</f>
        <v>378.64128355068499</v>
      </c>
      <c r="Y70" s="32">
        <f t="shared" ref="Y70:Y77" si="25">W70*(1+$Y$19/100)</f>
        <v>386.06562244383565</v>
      </c>
      <c r="Z70" s="94">
        <v>4661</v>
      </c>
      <c r="AB70" s="113"/>
      <c r="AI70" s="20">
        <v>50</v>
      </c>
      <c r="AJ70" s="115" t="s">
        <v>4134</v>
      </c>
      <c r="AK70" s="115">
        <v>12000000</v>
      </c>
      <c r="AL70" s="20">
        <v>1</v>
      </c>
      <c r="AM70" s="97">
        <f t="shared" si="22"/>
        <v>1226</v>
      </c>
      <c r="AN70" s="115">
        <f t="shared" si="10"/>
        <v>14712000000</v>
      </c>
      <c r="AO70" s="20"/>
    </row>
    <row r="71" spans="1:41">
      <c r="G71" t="s">
        <v>4083</v>
      </c>
      <c r="M71" s="25"/>
      <c r="O71" t="s">
        <v>6989</v>
      </c>
      <c r="P71">
        <v>8781893</v>
      </c>
      <c r="Q71" s="369">
        <v>23027738</v>
      </c>
      <c r="R71" s="167">
        <v>1692313</v>
      </c>
      <c r="S71" s="166" t="s">
        <v>4455</v>
      </c>
      <c r="T71" s="193">
        <f>T70-21</f>
        <v>1277</v>
      </c>
      <c r="U71" s="187" t="s">
        <v>4456</v>
      </c>
      <c r="V71" s="166">
        <v>168.5</v>
      </c>
      <c r="W71" s="166">
        <f t="shared" si="23"/>
        <v>336.12656986301369</v>
      </c>
      <c r="X71" s="32">
        <f t="shared" si="24"/>
        <v>342.84910126027398</v>
      </c>
      <c r="Y71" s="32">
        <f t="shared" si="25"/>
        <v>349.57163265753422</v>
      </c>
      <c r="Z71" s="94">
        <v>10000</v>
      </c>
      <c r="AB71" s="113"/>
      <c r="AI71" s="20">
        <v>51</v>
      </c>
      <c r="AJ71" s="115" t="s">
        <v>4139</v>
      </c>
      <c r="AK71" s="115">
        <v>15500000</v>
      </c>
      <c r="AL71" s="20">
        <v>4</v>
      </c>
      <c r="AM71" s="97">
        <f t="shared" si="22"/>
        <v>1225</v>
      </c>
      <c r="AN71" s="115">
        <f t="shared" si="10"/>
        <v>18987500000</v>
      </c>
      <c r="AO71" s="20"/>
    </row>
    <row r="72" spans="1:41">
      <c r="G72" t="s">
        <v>4087</v>
      </c>
      <c r="O72" s="471" t="s">
        <v>6977</v>
      </c>
      <c r="P72" s="471">
        <v>8795917</v>
      </c>
      <c r="Q72" s="471">
        <v>22935150</v>
      </c>
      <c r="R72" s="167">
        <v>101153</v>
      </c>
      <c r="S72" s="166" t="s">
        <v>4458</v>
      </c>
      <c r="T72" s="193">
        <f>T71-1</f>
        <v>1276</v>
      </c>
      <c r="U72" s="187" t="s">
        <v>4460</v>
      </c>
      <c r="V72" s="166">
        <v>166.7</v>
      </c>
      <c r="W72" s="166">
        <f t="shared" si="23"/>
        <v>332.40802082191783</v>
      </c>
      <c r="X72" s="32">
        <f t="shared" si="24"/>
        <v>339.0561812383562</v>
      </c>
      <c r="Y72" s="32">
        <f t="shared" si="25"/>
        <v>345.70434165479458</v>
      </c>
      <c r="Z72" s="94">
        <v>604</v>
      </c>
      <c r="AB72" s="120" t="s">
        <v>25</v>
      </c>
      <c r="AC72" t="s">
        <v>25</v>
      </c>
      <c r="AI72" s="20">
        <v>52</v>
      </c>
      <c r="AJ72" s="115" t="s">
        <v>4143</v>
      </c>
      <c r="AK72" s="115">
        <v>150000</v>
      </c>
      <c r="AL72" s="20">
        <v>1</v>
      </c>
      <c r="AM72" s="97">
        <f t="shared" si="22"/>
        <v>1221</v>
      </c>
      <c r="AN72" s="115">
        <f t="shared" si="10"/>
        <v>183150000</v>
      </c>
      <c r="AO72" s="20"/>
    </row>
    <row r="73" spans="1:41">
      <c r="G73" t="s">
        <v>4086</v>
      </c>
      <c r="O73" s="470" t="s">
        <v>6964</v>
      </c>
      <c r="P73" s="470">
        <v>8867443</v>
      </c>
      <c r="Q73" s="470">
        <v>22289254</v>
      </c>
      <c r="R73" s="167">
        <v>183105</v>
      </c>
      <c r="S73" s="166" t="s">
        <v>4204</v>
      </c>
      <c r="T73" s="193">
        <f>T72-1</f>
        <v>1275</v>
      </c>
      <c r="U73" s="187" t="s">
        <v>4464</v>
      </c>
      <c r="V73" s="166">
        <v>166.6</v>
      </c>
      <c r="W73" s="166">
        <f t="shared" si="23"/>
        <v>332.08081315068495</v>
      </c>
      <c r="X73" s="32">
        <f t="shared" si="24"/>
        <v>338.72242941369865</v>
      </c>
      <c r="Y73" s="32">
        <f t="shared" si="25"/>
        <v>345.36404567671235</v>
      </c>
      <c r="Z73" s="94">
        <v>1094</v>
      </c>
      <c r="AB73" s="113" t="s">
        <v>25</v>
      </c>
      <c r="AI73" s="177">
        <v>53</v>
      </c>
      <c r="AJ73" s="178" t="s">
        <v>4149</v>
      </c>
      <c r="AK73" s="178">
        <v>29000000</v>
      </c>
      <c r="AL73" s="177">
        <v>15</v>
      </c>
      <c r="AM73" s="177">
        <f t="shared" si="22"/>
        <v>1220</v>
      </c>
      <c r="AN73" s="178">
        <f t="shared" si="10"/>
        <v>35380000000</v>
      </c>
      <c r="AO73" s="177" t="s">
        <v>4159</v>
      </c>
    </row>
    <row r="74" spans="1:41">
      <c r="J74" s="205" t="s">
        <v>4479</v>
      </c>
      <c r="K74" s="205" t="s">
        <v>4594</v>
      </c>
      <c r="L74" s="32" t="s">
        <v>4596</v>
      </c>
      <c r="M74" s="32" t="s">
        <v>4571</v>
      </c>
      <c r="N74" s="205" t="s">
        <v>4572</v>
      </c>
      <c r="O74" t="s">
        <v>6961</v>
      </c>
      <c r="P74">
        <v>8821867</v>
      </c>
      <c r="Q74" s="369">
        <v>22669798</v>
      </c>
      <c r="R74" s="167">
        <v>168846</v>
      </c>
      <c r="S74" s="166" t="s">
        <v>3673</v>
      </c>
      <c r="T74" s="193">
        <f>T73-30</f>
        <v>1245</v>
      </c>
      <c r="U74" s="187" t="s">
        <v>4546</v>
      </c>
      <c r="V74" s="166">
        <v>172.2</v>
      </c>
      <c r="W74" s="166">
        <f t="shared" si="23"/>
        <v>339.28023452054794</v>
      </c>
      <c r="X74" s="32">
        <f t="shared" si="24"/>
        <v>346.06583921095893</v>
      </c>
      <c r="Y74" s="32">
        <f t="shared" si="25"/>
        <v>352.85144390136986</v>
      </c>
      <c r="Z74" s="94">
        <v>976</v>
      </c>
      <c r="AB74" s="113"/>
      <c r="AC74" s="94"/>
      <c r="AD74" t="s">
        <v>25</v>
      </c>
      <c r="AI74" s="20">
        <v>54</v>
      </c>
      <c r="AJ74" s="115" t="s">
        <v>4183</v>
      </c>
      <c r="AK74" s="115">
        <v>-130000</v>
      </c>
      <c r="AL74" s="20">
        <v>7</v>
      </c>
      <c r="AM74" s="97">
        <f t="shared" si="22"/>
        <v>1205</v>
      </c>
      <c r="AN74" s="115">
        <f t="shared" si="10"/>
        <v>-156650000</v>
      </c>
      <c r="AO74" s="20" t="s">
        <v>4185</v>
      </c>
    </row>
    <row r="75" spans="1:41">
      <c r="H75" s="25"/>
      <c r="I75" s="94"/>
      <c r="J75" s="206" t="s">
        <v>4216</v>
      </c>
      <c r="K75" s="195">
        <v>837</v>
      </c>
      <c r="L75" s="207">
        <f t="shared" ref="L75:L80" si="26">K75*$L$83</f>
        <v>12965130000</v>
      </c>
      <c r="M75" s="207">
        <f>N33+N40+N51</f>
        <v>9367687500</v>
      </c>
      <c r="N75" s="181">
        <f t="shared" ref="N75:N80" si="27">L75-M75</f>
        <v>3597442500</v>
      </c>
      <c r="O75" s="113" t="s">
        <v>6956</v>
      </c>
      <c r="P75" s="113">
        <v>8772830</v>
      </c>
      <c r="Q75" s="369">
        <v>23080898</v>
      </c>
      <c r="R75" s="167">
        <v>19918023</v>
      </c>
      <c r="S75" s="5" t="s">
        <v>4765</v>
      </c>
      <c r="T75" s="193">
        <f>T74-75</f>
        <v>1170</v>
      </c>
      <c r="U75" s="187" t="s">
        <v>4767</v>
      </c>
      <c r="V75" s="205">
        <v>183</v>
      </c>
      <c r="W75" s="205">
        <f t="shared" si="23"/>
        <v>350.0303671232877</v>
      </c>
      <c r="X75" s="32">
        <f t="shared" si="24"/>
        <v>357.03097446575345</v>
      </c>
      <c r="Y75" s="32">
        <f t="shared" si="25"/>
        <v>364.03158180821924</v>
      </c>
      <c r="Z75" s="94">
        <v>108344</v>
      </c>
      <c r="AA75" s="113"/>
      <c r="AB75" s="113"/>
      <c r="AC75" s="94"/>
      <c r="AI75" s="20">
        <v>55</v>
      </c>
      <c r="AJ75" s="115" t="s">
        <v>4231</v>
      </c>
      <c r="AK75" s="115">
        <v>232000</v>
      </c>
      <c r="AL75" s="20">
        <v>2</v>
      </c>
      <c r="AM75" s="97">
        <f t="shared" si="22"/>
        <v>1198</v>
      </c>
      <c r="AN75" s="115">
        <f>AK75*AM75</f>
        <v>277936000</v>
      </c>
      <c r="AO75" s="20" t="s">
        <v>4233</v>
      </c>
    </row>
    <row r="76" spans="1:41">
      <c r="D76" s="3"/>
      <c r="E76" s="11" t="s">
        <v>304</v>
      </c>
      <c r="H76" s="175"/>
      <c r="I76" s="94"/>
      <c r="J76" s="32" t="s">
        <v>5259</v>
      </c>
      <c r="K76" s="205">
        <v>229</v>
      </c>
      <c r="L76" s="1">
        <f t="shared" si="26"/>
        <v>3547210000</v>
      </c>
      <c r="M76" s="1">
        <f>N52+N41+N34</f>
        <v>3545540945</v>
      </c>
      <c r="N76" s="111">
        <f t="shared" si="27"/>
        <v>1669055</v>
      </c>
      <c r="Q76" s="113"/>
      <c r="R76" s="167">
        <v>1200301</v>
      </c>
      <c r="S76" s="19" t="s">
        <v>4841</v>
      </c>
      <c r="T76" s="193">
        <f>T75-34</f>
        <v>1136</v>
      </c>
      <c r="U76" s="187" t="s">
        <v>4843</v>
      </c>
      <c r="V76" s="205">
        <v>218.5</v>
      </c>
      <c r="W76" s="205">
        <f t="shared" si="23"/>
        <v>412.23347397260278</v>
      </c>
      <c r="X76" s="32">
        <f t="shared" si="24"/>
        <v>420.47814345205484</v>
      </c>
      <c r="Y76" s="32">
        <f t="shared" si="25"/>
        <v>428.72281293150689</v>
      </c>
      <c r="Z76" s="94">
        <v>5468</v>
      </c>
      <c r="AA76" s="113"/>
      <c r="AB76" s="113"/>
      <c r="AC76" s="94" t="s">
        <v>25</v>
      </c>
      <c r="AI76" s="20">
        <v>56</v>
      </c>
      <c r="AJ76" s="115" t="s">
        <v>4241</v>
      </c>
      <c r="AK76" s="115">
        <v>-170000</v>
      </c>
      <c r="AL76" s="20">
        <v>3</v>
      </c>
      <c r="AM76" s="97">
        <f t="shared" si="22"/>
        <v>1196</v>
      </c>
      <c r="AN76" s="115">
        <f t="shared" si="10"/>
        <v>-203320000</v>
      </c>
      <c r="AO76" s="20"/>
    </row>
    <row r="77" spans="1:41">
      <c r="D77" s="1" t="s">
        <v>305</v>
      </c>
      <c r="E77" s="1">
        <v>70000</v>
      </c>
      <c r="H77" s="94"/>
      <c r="I77" s="94"/>
      <c r="J77" s="206" t="s">
        <v>4358</v>
      </c>
      <c r="K77" s="195">
        <v>0</v>
      </c>
      <c r="L77" s="207">
        <f t="shared" si="26"/>
        <v>0</v>
      </c>
      <c r="M77" s="207">
        <f>N55</f>
        <v>0</v>
      </c>
      <c r="N77" s="181">
        <f t="shared" si="27"/>
        <v>0</v>
      </c>
      <c r="R77" s="167">
        <v>5837196.2537021004</v>
      </c>
      <c r="S77" s="19" t="s">
        <v>4865</v>
      </c>
      <c r="T77" s="193">
        <f>T76-16</f>
        <v>1120</v>
      </c>
      <c r="U77" s="187" t="s">
        <v>5587</v>
      </c>
      <c r="V77" s="205">
        <v>196.2</v>
      </c>
      <c r="W77" s="205">
        <f t="shared" si="23"/>
        <v>367.75297972602743</v>
      </c>
      <c r="X77" s="32">
        <f t="shared" si="24"/>
        <v>375.10803932054802</v>
      </c>
      <c r="Y77" s="32">
        <f t="shared" si="25"/>
        <v>382.46309891506854</v>
      </c>
      <c r="Z77" s="94">
        <v>29619</v>
      </c>
      <c r="AA77" s="113"/>
      <c r="AB77" s="113"/>
      <c r="AI77" s="20">
        <v>57</v>
      </c>
      <c r="AJ77" s="115" t="s">
        <v>4255</v>
      </c>
      <c r="AK77" s="115">
        <v>-300000</v>
      </c>
      <c r="AL77" s="20">
        <v>3</v>
      </c>
      <c r="AM77" s="97">
        <f t="shared" si="22"/>
        <v>1193</v>
      </c>
      <c r="AN77" s="115">
        <f t="shared" si="10"/>
        <v>-357900000</v>
      </c>
      <c r="AO77" s="20"/>
    </row>
    <row r="78" spans="1:41">
      <c r="D78" s="1" t="s">
        <v>321</v>
      </c>
      <c r="E78" s="1">
        <v>100000</v>
      </c>
      <c r="H78" s="120" t="s">
        <v>4372</v>
      </c>
      <c r="J78" s="260" t="s">
        <v>5280</v>
      </c>
      <c r="K78" s="187">
        <v>0</v>
      </c>
      <c r="L78" s="261">
        <f t="shared" si="26"/>
        <v>0</v>
      </c>
      <c r="M78" s="261">
        <f>N31+N39+N50</f>
        <v>79156</v>
      </c>
      <c r="N78" s="186">
        <f>L78-M78</f>
        <v>-79156</v>
      </c>
      <c r="O78" t="s">
        <v>6992</v>
      </c>
      <c r="P78" s="369">
        <v>11457</v>
      </c>
      <c r="Q78" s="111">
        <f>P78*$O$83</f>
        <v>744705</v>
      </c>
      <c r="R78" s="167">
        <v>2948152</v>
      </c>
      <c r="S78" s="19" t="s">
        <v>5622</v>
      </c>
      <c r="T78" s="193">
        <f>T77-498</f>
        <v>622</v>
      </c>
      <c r="U78" s="187" t="s">
        <v>5623</v>
      </c>
      <c r="V78" s="205">
        <v>1550</v>
      </c>
      <c r="W78" s="205">
        <f t="shared" si="23"/>
        <v>2313.1435616438357</v>
      </c>
      <c r="X78" s="32">
        <f t="shared" ref="X78:X84" si="28">W78*(1+$X$19/100)</f>
        <v>2359.4064328767126</v>
      </c>
      <c r="Y78" s="32">
        <f t="shared" ref="Y78:Y84" si="29">W78*(1+$Y$19/100)</f>
        <v>2405.6693041095891</v>
      </c>
      <c r="Z78" s="94">
        <v>1895</v>
      </c>
      <c r="AE78" s="113"/>
      <c r="AF78" s="113"/>
      <c r="AI78" s="20">
        <v>58</v>
      </c>
      <c r="AJ78" s="115" t="s">
        <v>4264</v>
      </c>
      <c r="AK78" s="115">
        <v>-11400000</v>
      </c>
      <c r="AL78" s="20">
        <v>13</v>
      </c>
      <c r="AM78" s="97">
        <f t="shared" ref="AM78:AM83" si="30">AM79+AL78</f>
        <v>1190</v>
      </c>
      <c r="AN78" s="115">
        <f t="shared" si="10"/>
        <v>-13566000000</v>
      </c>
      <c r="AO78" s="20"/>
    </row>
    <row r="79" spans="1:41">
      <c r="D79" s="1" t="s">
        <v>306</v>
      </c>
      <c r="E79" s="1">
        <v>80000</v>
      </c>
      <c r="H79" s="120"/>
      <c r="I79" s="94"/>
      <c r="J79" s="206" t="s">
        <v>314</v>
      </c>
      <c r="K79" s="195">
        <v>0</v>
      </c>
      <c r="L79" s="207">
        <f t="shared" si="26"/>
        <v>0</v>
      </c>
      <c r="M79" s="207">
        <f>N53+N35+N58+N32</f>
        <v>0</v>
      </c>
      <c r="N79" s="181">
        <f t="shared" si="27"/>
        <v>0</v>
      </c>
      <c r="O79" t="s">
        <v>5403</v>
      </c>
      <c r="P79" s="369">
        <v>1099687</v>
      </c>
      <c r="Q79" s="111">
        <f t="shared" ref="Q79:Q82" si="31">P79*$O$83</f>
        <v>71479655</v>
      </c>
      <c r="R79" s="167"/>
      <c r="S79" s="19" t="s">
        <v>5718</v>
      </c>
      <c r="T79" s="193">
        <f>T78-83</f>
        <v>539</v>
      </c>
      <c r="U79" s="187" t="s">
        <v>5719</v>
      </c>
      <c r="V79" s="205">
        <v>1275</v>
      </c>
      <c r="W79" s="205">
        <f t="shared" si="23"/>
        <v>1821.5663013698634</v>
      </c>
      <c r="X79" s="32">
        <f t="shared" si="28"/>
        <v>1857.9976273972607</v>
      </c>
      <c r="Y79" s="32">
        <f t="shared" si="29"/>
        <v>1894.4289534246579</v>
      </c>
      <c r="Z79" s="94">
        <v>48654</v>
      </c>
      <c r="AD79" s="113" t="s">
        <v>25</v>
      </c>
      <c r="AE79" s="113"/>
      <c r="AF79" s="113"/>
      <c r="AG79"/>
      <c r="AI79" s="20">
        <v>59</v>
      </c>
      <c r="AJ79" s="115" t="s">
        <v>4313</v>
      </c>
      <c r="AK79" s="115">
        <v>-10000000</v>
      </c>
      <c r="AL79" s="20">
        <v>1</v>
      </c>
      <c r="AM79" s="97">
        <f t="shared" si="30"/>
        <v>1177</v>
      </c>
      <c r="AN79" s="115">
        <f>AK79*AM79</f>
        <v>-11770000000</v>
      </c>
      <c r="AO79" s="20"/>
    </row>
    <row r="80" spans="1:41">
      <c r="D80" s="31" t="s">
        <v>307</v>
      </c>
      <c r="E80" s="1">
        <v>150000</v>
      </c>
      <c r="H80" s="120" t="s">
        <v>4513</v>
      </c>
      <c r="I80" s="94"/>
      <c r="J80" s="236" t="s">
        <v>6839</v>
      </c>
      <c r="K80" s="189">
        <v>-233</v>
      </c>
      <c r="L80" s="237">
        <f t="shared" si="26"/>
        <v>-3609170000</v>
      </c>
      <c r="M80" s="237">
        <v>0</v>
      </c>
      <c r="N80" s="84">
        <f t="shared" si="27"/>
        <v>-3609170000</v>
      </c>
      <c r="O80" t="s">
        <v>1069</v>
      </c>
      <c r="P80" s="369">
        <v>82797</v>
      </c>
      <c r="Q80" s="111">
        <f t="shared" si="31"/>
        <v>5381805</v>
      </c>
      <c r="R80" s="167"/>
      <c r="S80" s="19" t="s">
        <v>5726</v>
      </c>
      <c r="T80" s="193">
        <f>T79-5</f>
        <v>534</v>
      </c>
      <c r="U80" s="187" t="s">
        <v>5727</v>
      </c>
      <c r="V80" s="205">
        <v>1210</v>
      </c>
      <c r="W80" s="205">
        <f t="shared" si="23"/>
        <v>1724.0610410958905</v>
      </c>
      <c r="X80" s="32">
        <f t="shared" si="28"/>
        <v>1758.5422619178082</v>
      </c>
      <c r="Y80" s="32">
        <f t="shared" si="29"/>
        <v>1793.0234827397262</v>
      </c>
      <c r="Z80" s="94">
        <v>450</v>
      </c>
      <c r="AA80" s="94"/>
      <c r="AB80" s="94"/>
      <c r="AC80" s="113"/>
      <c r="AD80" s="113"/>
      <c r="AE80" s="113"/>
      <c r="AF80" s="113"/>
      <c r="AG80"/>
      <c r="AI80" s="20">
        <v>60</v>
      </c>
      <c r="AJ80" s="115" t="s">
        <v>4314</v>
      </c>
      <c r="AK80" s="115">
        <v>-2450000</v>
      </c>
      <c r="AL80" s="20">
        <v>5</v>
      </c>
      <c r="AM80" s="97">
        <f t="shared" si="30"/>
        <v>1176</v>
      </c>
      <c r="AN80" s="115">
        <f>AK80*AM80</f>
        <v>-2881200000</v>
      </c>
      <c r="AO80" s="20"/>
    </row>
    <row r="81" spans="4:53" ht="45">
      <c r="D81" s="31" t="s">
        <v>308</v>
      </c>
      <c r="E81" s="1">
        <v>300000</v>
      </c>
      <c r="H81" s="201" t="s">
        <v>4609</v>
      </c>
      <c r="I81" s="94"/>
      <c r="J81" s="32"/>
      <c r="K81" s="205"/>
      <c r="L81" s="1"/>
      <c r="M81" s="1"/>
      <c r="N81" s="111"/>
      <c r="O81" t="s">
        <v>743</v>
      </c>
      <c r="P81" s="113">
        <v>540033</v>
      </c>
      <c r="Q81" s="111">
        <f t="shared" si="31"/>
        <v>35102145</v>
      </c>
      <c r="R81" s="167"/>
      <c r="S81" s="19" t="s">
        <v>5732</v>
      </c>
      <c r="T81" s="193">
        <f>T80-4</f>
        <v>530</v>
      </c>
      <c r="U81" s="187" t="s">
        <v>5733</v>
      </c>
      <c r="V81" s="205">
        <v>1175</v>
      </c>
      <c r="W81" s="205">
        <f t="shared" si="23"/>
        <v>1670.5860273972605</v>
      </c>
      <c r="X81" s="32">
        <f t="shared" si="28"/>
        <v>1703.9977479452057</v>
      </c>
      <c r="Y81" s="32">
        <f t="shared" si="29"/>
        <v>1737.4094684931511</v>
      </c>
      <c r="Z81" s="94">
        <v>27754</v>
      </c>
      <c r="AA81" s="94"/>
      <c r="AB81" s="94"/>
      <c r="AC81" s="113" t="s">
        <v>25</v>
      </c>
      <c r="AE81" s="113"/>
      <c r="AF81" s="113"/>
      <c r="AG81" s="113"/>
      <c r="AI81" s="20">
        <v>61</v>
      </c>
      <c r="AJ81" s="115" t="s">
        <v>4338</v>
      </c>
      <c r="AK81" s="115">
        <v>-456081</v>
      </c>
      <c r="AL81" s="20">
        <v>1</v>
      </c>
      <c r="AM81" s="97">
        <f t="shared" si="30"/>
        <v>1171</v>
      </c>
      <c r="AN81" s="115">
        <f t="shared" si="10"/>
        <v>-534070851</v>
      </c>
      <c r="AO81" s="20"/>
    </row>
    <row r="82" spans="4:53" ht="31.5">
      <c r="D82" s="31" t="s">
        <v>309</v>
      </c>
      <c r="E82" s="1">
        <v>100000</v>
      </c>
      <c r="F82" s="204"/>
      <c r="G82" s="22" t="s">
        <v>4630</v>
      </c>
      <c r="H82" s="238" t="s">
        <v>4914</v>
      </c>
      <c r="I82" s="94"/>
      <c r="J82" s="206" t="s">
        <v>4977</v>
      </c>
      <c r="K82" s="195">
        <f>SUM(K75:K80)</f>
        <v>833</v>
      </c>
      <c r="L82" s="207"/>
      <c r="M82" s="207"/>
      <c r="N82" s="181"/>
      <c r="O82" t="s">
        <v>452</v>
      </c>
      <c r="P82" s="369">
        <v>5521955</v>
      </c>
      <c r="Q82" s="111">
        <f t="shared" si="31"/>
        <v>358927075</v>
      </c>
      <c r="R82" s="167"/>
      <c r="S82" s="19" t="s">
        <v>5734</v>
      </c>
      <c r="T82" s="193">
        <f>T81-3</f>
        <v>527</v>
      </c>
      <c r="U82" s="187" t="s">
        <v>5735</v>
      </c>
      <c r="V82" s="205">
        <v>1148</v>
      </c>
      <c r="W82" s="205">
        <f t="shared" si="23"/>
        <v>1629.5561205479453</v>
      </c>
      <c r="X82" s="32">
        <f t="shared" si="28"/>
        <v>1662.1472429589041</v>
      </c>
      <c r="Y82" s="32">
        <f t="shared" si="29"/>
        <v>1694.7383653698632</v>
      </c>
      <c r="Z82" s="94">
        <v>8020</v>
      </c>
      <c r="AA82" s="94"/>
      <c r="AB82" s="94"/>
      <c r="AC82" s="113"/>
      <c r="AD82" s="113"/>
      <c r="AE82" s="113"/>
      <c r="AF82" s="113"/>
      <c r="AG82" s="113"/>
      <c r="AI82" s="20">
        <v>62</v>
      </c>
      <c r="AJ82" s="115" t="s">
        <v>4340</v>
      </c>
      <c r="AK82" s="115">
        <v>-500000</v>
      </c>
      <c r="AL82" s="20">
        <v>2</v>
      </c>
      <c r="AM82" s="97">
        <f t="shared" si="30"/>
        <v>1170</v>
      </c>
      <c r="AN82" s="115">
        <f t="shared" si="10"/>
        <v>-585000000</v>
      </c>
      <c r="AO82" s="20"/>
      <c r="AP82" t="s">
        <v>25</v>
      </c>
      <c r="AV82"/>
      <c r="AX82" t="s">
        <v>25</v>
      </c>
    </row>
    <row r="83" spans="4:53">
      <c r="D83" s="31" t="s">
        <v>310</v>
      </c>
      <c r="E83" s="1">
        <v>200000</v>
      </c>
      <c r="F83" t="s">
        <v>4651</v>
      </c>
      <c r="H83" s="120"/>
      <c r="J83" s="32"/>
      <c r="K83" s="205">
        <v>0</v>
      </c>
      <c r="L83" s="39">
        <f>10*P59</f>
        <v>15490000</v>
      </c>
      <c r="M83" s="1">
        <f>K83*L83</f>
        <v>0</v>
      </c>
      <c r="N83" s="111">
        <f>SUM(N75:N81)-M83</f>
        <v>-10137601</v>
      </c>
      <c r="O83">
        <v>65</v>
      </c>
      <c r="R83" s="167"/>
      <c r="S83" s="19" t="s">
        <v>5738</v>
      </c>
      <c r="T83" s="193">
        <f>T82-1</f>
        <v>526</v>
      </c>
      <c r="U83" s="187" t="s">
        <v>5739</v>
      </c>
      <c r="V83" s="205">
        <v>1141</v>
      </c>
      <c r="W83" s="205">
        <f t="shared" si="23"/>
        <v>1618.7445150684932</v>
      </c>
      <c r="X83" s="32">
        <f t="shared" si="28"/>
        <v>1651.1194053698632</v>
      </c>
      <c r="Y83" s="32">
        <f t="shared" si="29"/>
        <v>1683.494295671233</v>
      </c>
      <c r="Z83" s="94">
        <v>3695</v>
      </c>
      <c r="AA83" s="94"/>
      <c r="AB83" s="94"/>
      <c r="AC83" s="113"/>
      <c r="AD83" s="126"/>
      <c r="AE83" s="113"/>
      <c r="AF83" s="113"/>
      <c r="AG83" s="113"/>
      <c r="AI83" s="20">
        <v>63</v>
      </c>
      <c r="AJ83" s="115" t="s">
        <v>4356</v>
      </c>
      <c r="AK83" s="115">
        <v>-6234370</v>
      </c>
      <c r="AL83" s="20">
        <v>3</v>
      </c>
      <c r="AM83" s="97">
        <f t="shared" si="30"/>
        <v>1168</v>
      </c>
      <c r="AN83" s="115">
        <f t="shared" si="10"/>
        <v>-7281744160</v>
      </c>
      <c r="AO83" s="20"/>
      <c r="AV83"/>
    </row>
    <row r="84" spans="4:53">
      <c r="D84" s="18" t="s">
        <v>311</v>
      </c>
      <c r="E84" s="18">
        <v>300000</v>
      </c>
      <c r="F84" t="s">
        <v>4516</v>
      </c>
      <c r="G84" s="94"/>
      <c r="H84" s="94"/>
      <c r="I84" s="94"/>
      <c r="J84" s="206"/>
      <c r="K84" s="224"/>
      <c r="L84" s="207" t="s">
        <v>4226</v>
      </c>
      <c r="M84" s="207" t="s">
        <v>4588</v>
      </c>
      <c r="N84" s="181" t="s">
        <v>4589</v>
      </c>
      <c r="R84" s="167"/>
      <c r="S84" s="19" t="s">
        <v>5736</v>
      </c>
      <c r="T84" s="193">
        <f>T83-1</f>
        <v>525</v>
      </c>
      <c r="U84" s="187" t="s">
        <v>6975</v>
      </c>
      <c r="V84" s="205">
        <v>1171</v>
      </c>
      <c r="W84" s="205">
        <f t="shared" si="23"/>
        <v>1660.4074191780824</v>
      </c>
      <c r="X84" s="32">
        <f t="shared" si="28"/>
        <v>1693.615567561644</v>
      </c>
      <c r="Y84" s="32">
        <f t="shared" si="29"/>
        <v>1726.8237159452058</v>
      </c>
      <c r="Z84" s="94">
        <v>38180</v>
      </c>
      <c r="AC84" s="113"/>
      <c r="AD84" s="126"/>
      <c r="AE84" s="113"/>
      <c r="AF84" s="113"/>
      <c r="AG84" s="113"/>
      <c r="AI84" s="20">
        <v>64</v>
      </c>
      <c r="AJ84" s="115" t="s">
        <v>4365</v>
      </c>
      <c r="AK84" s="115">
        <v>1950957</v>
      </c>
      <c r="AL84" s="20">
        <v>4</v>
      </c>
      <c r="AM84" s="97">
        <f t="shared" si="22"/>
        <v>1165</v>
      </c>
      <c r="AN84" s="115">
        <f t="shared" si="10"/>
        <v>2272864905</v>
      </c>
      <c r="AO84" s="20"/>
      <c r="BA84" t="s">
        <v>25</v>
      </c>
    </row>
    <row r="85" spans="4:53">
      <c r="D85" s="32" t="s">
        <v>312</v>
      </c>
      <c r="E85" s="1">
        <v>200000</v>
      </c>
      <c r="F85" t="s">
        <v>4706</v>
      </c>
      <c r="J85" s="488" t="s">
        <v>4595</v>
      </c>
      <c r="K85" s="489"/>
      <c r="L85" s="1"/>
      <c r="M85" s="1"/>
      <c r="N85" s="111"/>
      <c r="R85" s="167"/>
      <c r="S85" s="19" t="s">
        <v>5796</v>
      </c>
      <c r="T85" s="193">
        <f>T84-65</f>
        <v>460</v>
      </c>
      <c r="U85" s="187" t="s">
        <v>5797</v>
      </c>
      <c r="V85" s="205">
        <v>1255.0999999999999</v>
      </c>
      <c r="W85" s="205">
        <f t="shared" si="23"/>
        <v>1717.0730816438356</v>
      </c>
      <c r="X85" s="32">
        <f t="shared" ref="X85:X90" si="32">W85*(1+$X$19/100)</f>
        <v>1751.4145432767123</v>
      </c>
      <c r="Y85" s="32">
        <f t="shared" ref="Y85:Y90" si="33">W85*(1+$Y$19/100)</f>
        <v>1785.7560049095891</v>
      </c>
      <c r="Z85" s="94"/>
      <c r="AA85" s="94">
        <v>26860</v>
      </c>
      <c r="AB85" s="94">
        <f>AA85*3</f>
        <v>80580</v>
      </c>
      <c r="AC85" s="113"/>
      <c r="AD85" s="126"/>
      <c r="AE85" s="113"/>
      <c r="AF85" s="113"/>
      <c r="AG85" s="113"/>
      <c r="AI85" s="20">
        <v>65</v>
      </c>
      <c r="AJ85" s="115" t="s">
        <v>4388</v>
      </c>
      <c r="AK85" s="115">
        <v>600000</v>
      </c>
      <c r="AL85" s="20">
        <v>5</v>
      </c>
      <c r="AM85" s="97">
        <f t="shared" si="22"/>
        <v>1161</v>
      </c>
      <c r="AN85" s="115">
        <f t="shared" si="10"/>
        <v>696600000</v>
      </c>
      <c r="AO85" s="20"/>
    </row>
    <row r="86" spans="4:53">
      <c r="D86" s="32" t="s">
        <v>313</v>
      </c>
      <c r="E86" s="1">
        <v>20000</v>
      </c>
      <c r="F86" t="s">
        <v>4707</v>
      </c>
      <c r="R86" s="167"/>
      <c r="S86" s="19" t="s">
        <v>6826</v>
      </c>
      <c r="T86" s="193">
        <f>T99-1169</f>
        <v>191</v>
      </c>
      <c r="U86" s="187" t="s">
        <v>6829</v>
      </c>
      <c r="V86" s="205">
        <v>436.6</v>
      </c>
      <c r="W86" s="205">
        <f t="shared" si="23"/>
        <v>507.20719123287677</v>
      </c>
      <c r="X86" s="32">
        <f t="shared" si="32"/>
        <v>517.35133505753436</v>
      </c>
      <c r="Y86" s="32">
        <f t="shared" si="33"/>
        <v>527.49547888219183</v>
      </c>
      <c r="Z86" s="402"/>
      <c r="AA86" s="402"/>
      <c r="AB86" s="402">
        <v>2217</v>
      </c>
      <c r="AC86" s="113"/>
      <c r="AD86" s="126"/>
      <c r="AE86" s="113"/>
      <c r="AF86" s="113"/>
      <c r="AG86" s="113"/>
      <c r="AI86" s="20">
        <v>66</v>
      </c>
      <c r="AJ86" s="115" t="s">
        <v>4396</v>
      </c>
      <c r="AK86" s="115">
        <v>7500000</v>
      </c>
      <c r="AL86" s="20">
        <v>2</v>
      </c>
      <c r="AM86" s="97">
        <f t="shared" si="22"/>
        <v>1156</v>
      </c>
      <c r="AN86" s="115">
        <f t="shared" si="10"/>
        <v>8670000000</v>
      </c>
      <c r="AO86" s="20"/>
      <c r="AT86" s="94"/>
    </row>
    <row r="87" spans="4:53" ht="26.25">
      <c r="D87" s="32" t="s">
        <v>315</v>
      </c>
      <c r="E87" s="1">
        <v>50000</v>
      </c>
      <c r="F87" t="s">
        <v>4708</v>
      </c>
      <c r="H87" s="235"/>
      <c r="P87" s="113"/>
      <c r="R87" s="167"/>
      <c r="S87" s="19"/>
      <c r="T87" s="193"/>
      <c r="U87" s="187"/>
      <c r="V87" s="205"/>
      <c r="W87" s="205"/>
      <c r="X87" s="32"/>
      <c r="Y87" s="32"/>
      <c r="Z87" s="402"/>
      <c r="AA87" s="402"/>
      <c r="AB87" s="402"/>
      <c r="AC87" s="113" t="s">
        <v>25</v>
      </c>
      <c r="AD87" s="126"/>
      <c r="AE87" s="113"/>
      <c r="AF87" s="113"/>
      <c r="AG87" s="113"/>
      <c r="AI87" s="20">
        <v>67</v>
      </c>
      <c r="AJ87" s="115" t="s">
        <v>4400</v>
      </c>
      <c r="AK87" s="115">
        <v>-587816</v>
      </c>
      <c r="AL87" s="20">
        <v>3</v>
      </c>
      <c r="AM87" s="97">
        <f t="shared" si="22"/>
        <v>1154</v>
      </c>
      <c r="AN87" s="115">
        <f t="shared" si="10"/>
        <v>-678339664</v>
      </c>
      <c r="AO87" s="20"/>
      <c r="AT87" s="94"/>
    </row>
    <row r="88" spans="4:53">
      <c r="D88" s="32" t="s">
        <v>316</v>
      </c>
      <c r="E88" s="1">
        <v>90000</v>
      </c>
      <c r="F88" t="s">
        <v>4478</v>
      </c>
      <c r="R88" s="167"/>
      <c r="S88" s="19"/>
      <c r="T88" s="193"/>
      <c r="U88" s="187"/>
      <c r="V88" s="205"/>
      <c r="W88" s="205">
        <f>V88*(1+$S$95+$R$15*T88/36500)</f>
        <v>0</v>
      </c>
      <c r="X88" s="32">
        <f t="shared" si="32"/>
        <v>0</v>
      </c>
      <c r="Y88" s="32">
        <f t="shared" si="33"/>
        <v>0</v>
      </c>
      <c r="Z88" s="94"/>
      <c r="AA88" s="94"/>
      <c r="AB88" s="94"/>
      <c r="AC88" s="113"/>
      <c r="AD88" s="126"/>
      <c r="AE88" s="113"/>
      <c r="AF88" s="113"/>
      <c r="AG88" s="113"/>
      <c r="AI88" s="20">
        <v>68</v>
      </c>
      <c r="AJ88" s="115" t="s">
        <v>4399</v>
      </c>
      <c r="AK88" s="115">
        <v>-907489</v>
      </c>
      <c r="AL88" s="20">
        <v>0</v>
      </c>
      <c r="AM88" s="97">
        <f>AM89+AL88</f>
        <v>1151</v>
      </c>
      <c r="AN88" s="115">
        <f t="shared" si="10"/>
        <v>-1044519839</v>
      </c>
      <c r="AO88" s="20"/>
      <c r="AQ88" t="s">
        <v>25</v>
      </c>
      <c r="AW88" t="s">
        <v>25</v>
      </c>
    </row>
    <row r="89" spans="4:53">
      <c r="D89" s="32" t="s">
        <v>317</v>
      </c>
      <c r="E89" s="1">
        <v>50000</v>
      </c>
      <c r="F89" t="s">
        <v>4519</v>
      </c>
      <c r="H89" s="240" t="s">
        <v>4919</v>
      </c>
      <c r="R89" s="167"/>
      <c r="S89" s="19"/>
      <c r="T89" s="193"/>
      <c r="U89" s="187"/>
      <c r="V89" s="205"/>
      <c r="W89" s="205">
        <f>V89*(1+$S$95+$R$15*T89/36500)</f>
        <v>0</v>
      </c>
      <c r="X89" s="32">
        <f t="shared" si="32"/>
        <v>0</v>
      </c>
      <c r="Y89" s="32">
        <f t="shared" si="33"/>
        <v>0</v>
      </c>
      <c r="Z89" s="94"/>
      <c r="AA89" s="94"/>
      <c r="AB89" s="94"/>
      <c r="AD89" s="113" t="s">
        <v>25</v>
      </c>
      <c r="AE89" s="113"/>
      <c r="AF89" s="113"/>
      <c r="AG89" s="113"/>
      <c r="AH89" s="113"/>
      <c r="AI89" s="20">
        <v>69</v>
      </c>
      <c r="AJ89" s="115" t="s">
        <v>4399</v>
      </c>
      <c r="AK89" s="115">
        <v>2450000</v>
      </c>
      <c r="AL89" s="20">
        <v>1</v>
      </c>
      <c r="AM89" s="97">
        <f t="shared" si="22"/>
        <v>1151</v>
      </c>
      <c r="AN89" s="115">
        <f t="shared" si="10"/>
        <v>2819950000</v>
      </c>
      <c r="AO89" s="20" t="s">
        <v>4427</v>
      </c>
      <c r="AR89" t="s">
        <v>25</v>
      </c>
      <c r="AS89" t="s">
        <v>25</v>
      </c>
    </row>
    <row r="90" spans="4:53">
      <c r="D90" s="32" t="s">
        <v>327</v>
      </c>
      <c r="E90" s="1">
        <v>150000</v>
      </c>
      <c r="F90" t="s">
        <v>4477</v>
      </c>
      <c r="H90" s="240" t="s">
        <v>4920</v>
      </c>
      <c r="R90" s="167"/>
      <c r="S90" s="166"/>
      <c r="T90" s="111"/>
      <c r="U90" s="111"/>
      <c r="V90" s="166" t="s">
        <v>25</v>
      </c>
      <c r="W90" s="205" t="e">
        <f>V90*(1+$S$95+$R$15*T90/36500)</f>
        <v>#VALUE!</v>
      </c>
      <c r="X90" s="32" t="e">
        <f t="shared" si="32"/>
        <v>#VALUE!</v>
      </c>
      <c r="Y90" s="32" t="e">
        <f t="shared" si="33"/>
        <v>#VALUE!</v>
      </c>
      <c r="AA90" t="s">
        <v>25</v>
      </c>
      <c r="AD90" s="113"/>
      <c r="AE90" s="113"/>
      <c r="AF90"/>
      <c r="AH90" s="113"/>
      <c r="AI90" s="20">
        <v>70</v>
      </c>
      <c r="AJ90" s="115" t="s">
        <v>4429</v>
      </c>
      <c r="AK90" s="115">
        <v>1500000</v>
      </c>
      <c r="AL90" s="20">
        <v>1</v>
      </c>
      <c r="AM90" s="97">
        <f t="shared" si="22"/>
        <v>1150</v>
      </c>
      <c r="AN90" s="115">
        <f t="shared" si="10"/>
        <v>1725000000</v>
      </c>
      <c r="AO90" s="20"/>
      <c r="AQ90" t="s">
        <v>25</v>
      </c>
      <c r="AV90" s="94" t="s">
        <v>25</v>
      </c>
    </row>
    <row r="91" spans="4:53">
      <c r="D91" s="32" t="s">
        <v>318</v>
      </c>
      <c r="E91" s="1">
        <v>15000</v>
      </c>
      <c r="F91" s="22" t="s">
        <v>4216</v>
      </c>
      <c r="R91" s="111">
        <f>SUM(N41:N41)-SUM(R69:R90)</f>
        <v>14860835.7462979</v>
      </c>
      <c r="S91" s="166"/>
      <c r="T91" s="166"/>
      <c r="U91" s="166"/>
      <c r="V91" s="166"/>
      <c r="W91" s="166"/>
      <c r="X91" s="32"/>
      <c r="Y91" s="32"/>
      <c r="AA91" t="s">
        <v>25</v>
      </c>
      <c r="AB91" t="s">
        <v>25</v>
      </c>
      <c r="AF91"/>
      <c r="AH91" s="94"/>
      <c r="AI91" s="20">
        <v>71</v>
      </c>
      <c r="AJ91" s="115" t="s">
        <v>4435</v>
      </c>
      <c r="AK91" s="115">
        <v>2648000</v>
      </c>
      <c r="AL91" s="20">
        <v>1</v>
      </c>
      <c r="AM91" s="97">
        <f t="shared" si="22"/>
        <v>1149</v>
      </c>
      <c r="AN91" s="115">
        <f t="shared" si="10"/>
        <v>3042552000</v>
      </c>
      <c r="AO91" s="20" t="s">
        <v>4436</v>
      </c>
      <c r="AV91" s="94" t="s">
        <v>25</v>
      </c>
    </row>
    <row r="92" spans="4:53">
      <c r="D92" s="32" t="s">
        <v>319</v>
      </c>
      <c r="E92" s="1">
        <v>20000</v>
      </c>
      <c r="F92" t="s">
        <v>4474</v>
      </c>
      <c r="S92" s="113"/>
      <c r="T92" s="113"/>
      <c r="U92" s="113" t="s">
        <v>25</v>
      </c>
      <c r="V92" s="113" t="s">
        <v>25</v>
      </c>
      <c r="W92" s="113" t="s">
        <v>25</v>
      </c>
      <c r="X92" s="190" t="s">
        <v>25</v>
      </c>
      <c r="Y92" s="190"/>
      <c r="AB92" t="s">
        <v>25</v>
      </c>
      <c r="AF92"/>
      <c r="AH92" s="94"/>
      <c r="AI92" s="20">
        <v>72</v>
      </c>
      <c r="AJ92" s="115" t="s">
        <v>4205</v>
      </c>
      <c r="AK92" s="115">
        <v>615000</v>
      </c>
      <c r="AL92" s="20">
        <v>4</v>
      </c>
      <c r="AM92" s="97">
        <f t="shared" si="22"/>
        <v>1148</v>
      </c>
      <c r="AN92" s="115">
        <f t="shared" si="10"/>
        <v>706020000</v>
      </c>
      <c r="AO92" s="20"/>
      <c r="AW92" t="s">
        <v>25</v>
      </c>
    </row>
    <row r="93" spans="4:53" ht="18.75">
      <c r="D93" s="32" t="s">
        <v>320</v>
      </c>
      <c r="E93" s="1">
        <v>40000</v>
      </c>
      <c r="F93" t="s">
        <v>4268</v>
      </c>
      <c r="H93" s="279" t="s">
        <v>6832</v>
      </c>
      <c r="R93" s="97" t="s">
        <v>932</v>
      </c>
      <c r="S93" s="97">
        <v>1.03E-2</v>
      </c>
      <c r="T93" s="26" t="s">
        <v>25</v>
      </c>
      <c r="U93" t="s">
        <v>25</v>
      </c>
      <c r="V93" s="94" t="s">
        <v>25</v>
      </c>
      <c r="W93" s="113" t="s">
        <v>25</v>
      </c>
      <c r="X93" s="190" t="s">
        <v>25</v>
      </c>
      <c r="Y93" s="190"/>
      <c r="AA93" t="s">
        <v>25</v>
      </c>
      <c r="AF93"/>
      <c r="AH93" s="94"/>
      <c r="AI93" s="20">
        <v>73</v>
      </c>
      <c r="AJ93" s="115" t="s">
        <v>4446</v>
      </c>
      <c r="AK93" s="115">
        <v>14000000</v>
      </c>
      <c r="AL93" s="20">
        <v>2</v>
      </c>
      <c r="AM93" s="97">
        <f>AM94+AL93</f>
        <v>1144</v>
      </c>
      <c r="AN93" s="115">
        <f t="shared" si="10"/>
        <v>16016000000</v>
      </c>
      <c r="AO93" s="20"/>
    </row>
    <row r="94" spans="4:53">
      <c r="D94" s="32" t="s">
        <v>322</v>
      </c>
      <c r="E94" s="1">
        <v>150000</v>
      </c>
      <c r="F94" s="94"/>
      <c r="G94" s="94"/>
      <c r="H94" s="94"/>
      <c r="I94" s="94" t="s">
        <v>25</v>
      </c>
      <c r="R94" s="97" t="s">
        <v>61</v>
      </c>
      <c r="S94" s="97">
        <v>4.8999999999999998E-3</v>
      </c>
      <c r="U94" s="112" t="s">
        <v>25</v>
      </c>
      <c r="V94" s="94" t="s">
        <v>25</v>
      </c>
      <c r="W94" t="s">
        <v>25</v>
      </c>
      <c r="X94" s="190" t="s">
        <v>25</v>
      </c>
      <c r="Y94" s="190" t="s">
        <v>25</v>
      </c>
      <c r="Z94" s="94"/>
      <c r="AA94" s="94"/>
      <c r="AB94" s="94"/>
      <c r="AI94" s="20">
        <v>74</v>
      </c>
      <c r="AJ94" s="115" t="s">
        <v>4450</v>
      </c>
      <c r="AK94" s="115">
        <v>1313000</v>
      </c>
      <c r="AL94" s="20">
        <v>0</v>
      </c>
      <c r="AM94" s="97">
        <f>AM95+AL94</f>
        <v>1142</v>
      </c>
      <c r="AN94" s="115">
        <f t="shared" si="10"/>
        <v>1499446000</v>
      </c>
      <c r="AO94" s="20"/>
      <c r="AR94" t="s">
        <v>25</v>
      </c>
    </row>
    <row r="95" spans="4:53">
      <c r="D95" s="32" t="s">
        <v>324</v>
      </c>
      <c r="E95" s="1">
        <v>75000</v>
      </c>
      <c r="F95" s="94"/>
      <c r="G95" s="94"/>
      <c r="H95" s="94"/>
      <c r="I95" s="94"/>
      <c r="R95" s="97" t="s">
        <v>6</v>
      </c>
      <c r="S95" s="97">
        <f>S93+S94</f>
        <v>1.52E-2</v>
      </c>
      <c r="U95" t="s">
        <v>25</v>
      </c>
      <c r="V95" s="94" t="s">
        <v>25</v>
      </c>
      <c r="W95" t="s">
        <v>25</v>
      </c>
      <c r="X95" s="190"/>
      <c r="Y95" s="190"/>
      <c r="Z95" s="94"/>
      <c r="AA95" s="94"/>
      <c r="AB95" s="94" t="s">
        <v>25</v>
      </c>
      <c r="AI95" s="97">
        <v>75</v>
      </c>
      <c r="AJ95" s="111" t="s">
        <v>4450</v>
      </c>
      <c r="AK95" s="111">
        <v>2269000</v>
      </c>
      <c r="AL95" s="97">
        <v>1</v>
      </c>
      <c r="AM95" s="97">
        <f t="shared" ref="AM95:AM120" si="34">AM96+AL95</f>
        <v>1142</v>
      </c>
      <c r="AN95" s="115">
        <f t="shared" si="10"/>
        <v>2591198000</v>
      </c>
      <c r="AO95" s="97"/>
    </row>
    <row r="96" spans="4:53">
      <c r="D96" s="32" t="s">
        <v>314</v>
      </c>
      <c r="E96" s="1">
        <v>140000</v>
      </c>
      <c r="F96" s="94"/>
      <c r="G96" s="94"/>
      <c r="H96" s="94"/>
      <c r="I96" s="94" t="s">
        <v>25</v>
      </c>
      <c r="X96" s="190"/>
      <c r="Y96" s="190"/>
      <c r="AB96" t="s">
        <v>25</v>
      </c>
      <c r="AI96" s="97">
        <v>76</v>
      </c>
      <c r="AJ96" s="111" t="s">
        <v>4206</v>
      </c>
      <c r="AK96" s="111">
        <v>750000</v>
      </c>
      <c r="AL96" s="97">
        <v>4</v>
      </c>
      <c r="AM96" s="97">
        <f t="shared" si="34"/>
        <v>1141</v>
      </c>
      <c r="AN96" s="115">
        <f t="shared" si="10"/>
        <v>855750000</v>
      </c>
      <c r="AO96" s="97"/>
      <c r="AR96" t="s">
        <v>25</v>
      </c>
    </row>
    <row r="97" spans="4:48" ht="30">
      <c r="D97" s="2" t="s">
        <v>476</v>
      </c>
      <c r="E97" s="3">
        <v>1083333</v>
      </c>
      <c r="F97" s="309"/>
      <c r="G97" s="309"/>
      <c r="H97" s="309"/>
      <c r="I97" s="309"/>
      <c r="R97" s="71" t="s">
        <v>4267</v>
      </c>
      <c r="S97" s="110"/>
      <c r="T97" s="110"/>
      <c r="U97" s="110"/>
      <c r="V97" s="166" t="s">
        <v>4329</v>
      </c>
      <c r="W97" s="36" t="s">
        <v>4331</v>
      </c>
      <c r="X97" s="32"/>
      <c r="Y97" s="32"/>
      <c r="Z97" s="94"/>
      <c r="AA97" s="94"/>
      <c r="AB97" s="94"/>
      <c r="AI97" s="97">
        <v>77</v>
      </c>
      <c r="AJ97" s="111" t="s">
        <v>4455</v>
      </c>
      <c r="AK97" s="111">
        <v>1900000</v>
      </c>
      <c r="AL97" s="97">
        <v>3</v>
      </c>
      <c r="AM97" s="97">
        <f t="shared" si="34"/>
        <v>1137</v>
      </c>
      <c r="AN97" s="115">
        <f t="shared" si="10"/>
        <v>2160300000</v>
      </c>
      <c r="AO97" s="97"/>
    </row>
    <row r="98" spans="4:48">
      <c r="D98" s="2"/>
      <c r="E98" s="3"/>
      <c r="F98" s="94"/>
      <c r="G98" s="94"/>
      <c r="H98" s="94"/>
      <c r="I98" s="94"/>
      <c r="R98" s="110" t="s">
        <v>267</v>
      </c>
      <c r="S98" s="110" t="s">
        <v>180</v>
      </c>
      <c r="T98" s="110" t="s">
        <v>183</v>
      </c>
      <c r="U98" s="110" t="s">
        <v>8</v>
      </c>
      <c r="V98" s="166"/>
      <c r="W98" s="97"/>
      <c r="X98" s="32">
        <v>2</v>
      </c>
      <c r="Y98" s="32">
        <v>4</v>
      </c>
      <c r="AI98" s="97">
        <v>78</v>
      </c>
      <c r="AJ98" s="111" t="s">
        <v>4468</v>
      </c>
      <c r="AK98" s="111">
        <v>6400000</v>
      </c>
      <c r="AL98" s="97">
        <v>1</v>
      </c>
      <c r="AM98" s="97">
        <f t="shared" si="34"/>
        <v>1134</v>
      </c>
      <c r="AN98" s="115">
        <f t="shared" si="10"/>
        <v>7257600000</v>
      </c>
      <c r="AO98" s="97"/>
    </row>
    <row r="99" spans="4:48">
      <c r="D99" s="2"/>
      <c r="E99" s="3"/>
      <c r="F99" s="404"/>
      <c r="G99" s="404"/>
      <c r="H99" s="404"/>
      <c r="I99" s="404"/>
      <c r="R99" s="35">
        <v>38474780.062005915</v>
      </c>
      <c r="S99" s="5" t="s">
        <v>4149</v>
      </c>
      <c r="T99" s="5">
        <v>1360</v>
      </c>
      <c r="U99" s="5" t="s">
        <v>5555</v>
      </c>
      <c r="V99" s="166">
        <v>192</v>
      </c>
      <c r="W99" s="97">
        <f t="shared" ref="W99:W130" si="35">V99*(1+$S$95+$R$15*T99/36500)</f>
        <v>395.22963287671234</v>
      </c>
      <c r="X99" s="32">
        <f t="shared" ref="X99:X113" si="36">W99*(1+$X$19/100)</f>
        <v>403.13422553424658</v>
      </c>
      <c r="Y99" s="32">
        <f t="shared" ref="Y99:Y113" si="37">W99*(1+$Y$19/100)</f>
        <v>411.03881819178088</v>
      </c>
      <c r="Z99" s="94">
        <v>200000</v>
      </c>
      <c r="AI99" s="97">
        <v>79</v>
      </c>
      <c r="AJ99" s="111" t="s">
        <v>4466</v>
      </c>
      <c r="AK99" s="111">
        <v>5000</v>
      </c>
      <c r="AL99" s="97">
        <v>5</v>
      </c>
      <c r="AM99" s="97">
        <f t="shared" si="34"/>
        <v>1133</v>
      </c>
      <c r="AN99" s="115">
        <f t="shared" si="10"/>
        <v>5665000</v>
      </c>
      <c r="AO99" s="97"/>
      <c r="AQ99" t="s">
        <v>25</v>
      </c>
    </row>
    <row r="100" spans="4:48">
      <c r="D100" s="2" t="s">
        <v>6</v>
      </c>
      <c r="E100" s="3">
        <f>SUM(E77:E98)</f>
        <v>3383333</v>
      </c>
      <c r="F100" s="404"/>
      <c r="G100" s="404"/>
      <c r="H100" s="404"/>
      <c r="I100" s="404"/>
      <c r="R100" s="167">
        <v>433201621</v>
      </c>
      <c r="S100" s="205" t="s">
        <v>5559</v>
      </c>
      <c r="T100" s="205">
        <f>T99-695</f>
        <v>665</v>
      </c>
      <c r="U100" s="205" t="s">
        <v>5566</v>
      </c>
      <c r="V100" s="205">
        <v>1995.5</v>
      </c>
      <c r="W100" s="97">
        <f t="shared" si="35"/>
        <v>3043.8099561643835</v>
      </c>
      <c r="X100" s="32">
        <f t="shared" si="36"/>
        <v>3104.6861552876712</v>
      </c>
      <c r="Y100" s="32">
        <f t="shared" si="37"/>
        <v>3165.562354410959</v>
      </c>
      <c r="Z100">
        <v>216287</v>
      </c>
      <c r="AA100" t="s">
        <v>25</v>
      </c>
      <c r="AI100" s="97">
        <v>80</v>
      </c>
      <c r="AJ100" s="111" t="s">
        <v>4494</v>
      </c>
      <c r="AK100" s="111">
        <v>-1750148</v>
      </c>
      <c r="AL100" s="97">
        <v>1</v>
      </c>
      <c r="AM100" s="97">
        <f t="shared" si="34"/>
        <v>1128</v>
      </c>
      <c r="AN100" s="115">
        <f t="shared" si="10"/>
        <v>-1974166944</v>
      </c>
      <c r="AO100" s="97"/>
    </row>
    <row r="101" spans="4:48">
      <c r="D101" s="2" t="s">
        <v>328</v>
      </c>
      <c r="E101" s="3">
        <f>E100/30</f>
        <v>112777.76666666666</v>
      </c>
      <c r="F101" s="404"/>
      <c r="G101" s="404"/>
      <c r="H101" s="404"/>
      <c r="I101" s="404"/>
      <c r="R101" s="167">
        <v>8201348.2384272004</v>
      </c>
      <c r="S101" s="205" t="s">
        <v>5562</v>
      </c>
      <c r="T101" s="205">
        <f>T100-5</f>
        <v>660</v>
      </c>
      <c r="U101" s="205" t="s">
        <v>5615</v>
      </c>
      <c r="V101" s="205">
        <v>1751</v>
      </c>
      <c r="W101" s="97">
        <f t="shared" si="35"/>
        <v>2664.148898630137</v>
      </c>
      <c r="X101" s="32">
        <f t="shared" si="36"/>
        <v>2717.4318766027395</v>
      </c>
      <c r="Y101" s="32">
        <f t="shared" si="37"/>
        <v>2770.7148545753425</v>
      </c>
      <c r="Z101">
        <v>4667</v>
      </c>
      <c r="AI101" s="97">
        <v>81</v>
      </c>
      <c r="AJ101" s="111" t="s">
        <v>4497</v>
      </c>
      <c r="AK101" s="111">
        <v>400000</v>
      </c>
      <c r="AL101" s="97">
        <v>0</v>
      </c>
      <c r="AM101" s="97">
        <f t="shared" si="34"/>
        <v>1127</v>
      </c>
      <c r="AN101" s="115">
        <f t="shared" si="10"/>
        <v>450800000</v>
      </c>
      <c r="AO101" s="97"/>
    </row>
    <row r="102" spans="4:48">
      <c r="F102" s="94"/>
      <c r="G102" s="94"/>
      <c r="H102" s="94"/>
      <c r="I102" s="94"/>
      <c r="R102" s="167">
        <v>106896832</v>
      </c>
      <c r="S102" s="205" t="s">
        <v>5617</v>
      </c>
      <c r="T102" s="205">
        <f>T101-36</f>
        <v>624</v>
      </c>
      <c r="U102" s="205" t="s">
        <v>5618</v>
      </c>
      <c r="V102" s="205">
        <v>1715</v>
      </c>
      <c r="W102" s="97">
        <f t="shared" si="35"/>
        <v>2562.012657534247</v>
      </c>
      <c r="X102" s="32">
        <f t="shared" si="36"/>
        <v>2613.252910684932</v>
      </c>
      <c r="Y102" s="32">
        <f t="shared" si="37"/>
        <v>2664.493163835617</v>
      </c>
      <c r="Z102" s="94">
        <v>62100</v>
      </c>
      <c r="AA102" t="s">
        <v>25</v>
      </c>
      <c r="AI102" s="97">
        <v>82</v>
      </c>
      <c r="AJ102" s="111" t="s">
        <v>4497</v>
      </c>
      <c r="AK102" s="111">
        <v>-2105421</v>
      </c>
      <c r="AL102" s="97">
        <v>1</v>
      </c>
      <c r="AM102" s="97">
        <f t="shared" si="34"/>
        <v>1127</v>
      </c>
      <c r="AN102" s="115">
        <f t="shared" si="10"/>
        <v>-2372809467</v>
      </c>
      <c r="AO102" s="97"/>
      <c r="AP102" t="s">
        <v>25</v>
      </c>
    </row>
    <row r="103" spans="4:48">
      <c r="F103" s="94"/>
      <c r="G103" s="94"/>
      <c r="H103" s="94"/>
      <c r="I103" s="94"/>
      <c r="R103" s="167">
        <v>455942528</v>
      </c>
      <c r="S103" s="205" t="s">
        <v>5619</v>
      </c>
      <c r="T103" s="205">
        <f>T102-1</f>
        <v>623</v>
      </c>
      <c r="U103" s="205" t="s">
        <v>5620</v>
      </c>
      <c r="V103" s="205">
        <v>1631</v>
      </c>
      <c r="W103" s="97">
        <f t="shared" si="35"/>
        <v>2435.2751452054795</v>
      </c>
      <c r="X103" s="32">
        <f t="shared" si="36"/>
        <v>2483.9806481095893</v>
      </c>
      <c r="Y103" s="32">
        <f t="shared" si="37"/>
        <v>2532.6861510136987</v>
      </c>
      <c r="Z103">
        <v>278514</v>
      </c>
      <c r="AB103" t="s">
        <v>25</v>
      </c>
      <c r="AI103" s="97">
        <v>83</v>
      </c>
      <c r="AJ103" s="111" t="s">
        <v>4500</v>
      </c>
      <c r="AK103" s="111">
        <v>-5527618</v>
      </c>
      <c r="AL103" s="97">
        <v>0</v>
      </c>
      <c r="AM103" s="97">
        <f t="shared" si="34"/>
        <v>1126</v>
      </c>
      <c r="AN103" s="115">
        <f t="shared" si="10"/>
        <v>-6224097868</v>
      </c>
      <c r="AO103" s="97"/>
    </row>
    <row r="104" spans="4:48">
      <c r="F104" s="94"/>
      <c r="G104" s="94"/>
      <c r="H104" s="94"/>
      <c r="I104" s="94"/>
      <c r="R104" s="167">
        <v>834999909.33089697</v>
      </c>
      <c r="S104" s="205" t="s">
        <v>5622</v>
      </c>
      <c r="T104" s="205">
        <f>T103-1</f>
        <v>622</v>
      </c>
      <c r="U104" s="205" t="s">
        <v>5641</v>
      </c>
      <c r="V104" s="205">
        <v>1567.4</v>
      </c>
      <c r="W104" s="97">
        <f t="shared" si="35"/>
        <v>2339.1104635616439</v>
      </c>
      <c r="X104" s="32">
        <f t="shared" si="36"/>
        <v>2385.892672832877</v>
      </c>
      <c r="Y104" s="32">
        <f t="shared" si="37"/>
        <v>2432.6748821041097</v>
      </c>
      <c r="Z104">
        <v>530747</v>
      </c>
      <c r="AI104" s="97">
        <v>84</v>
      </c>
      <c r="AJ104" s="111" t="s">
        <v>4500</v>
      </c>
      <c r="AK104" s="111">
        <v>3900000</v>
      </c>
      <c r="AL104" s="97">
        <v>3</v>
      </c>
      <c r="AM104" s="97">
        <f t="shared" si="34"/>
        <v>1126</v>
      </c>
      <c r="AN104" s="115">
        <f t="shared" si="10"/>
        <v>4391400000</v>
      </c>
      <c r="AO104" s="97"/>
    </row>
    <row r="105" spans="4:48">
      <c r="F105" s="94"/>
      <c r="G105" s="94"/>
      <c r="H105" s="94"/>
      <c r="I105" s="94"/>
      <c r="J105" s="94" t="s">
        <v>25</v>
      </c>
      <c r="K105" t="s">
        <v>25</v>
      </c>
      <c r="L105" s="94"/>
      <c r="M105" s="94"/>
      <c r="R105" s="167"/>
      <c r="S105" s="205" t="s">
        <v>5642</v>
      </c>
      <c r="T105" s="205">
        <f>T104-13</f>
        <v>609</v>
      </c>
      <c r="U105" s="205" t="s">
        <v>5643</v>
      </c>
      <c r="V105" s="205"/>
      <c r="W105" s="97">
        <f t="shared" si="35"/>
        <v>0</v>
      </c>
      <c r="X105" s="32">
        <f t="shared" si="36"/>
        <v>0</v>
      </c>
      <c r="Y105" s="32">
        <f t="shared" si="37"/>
        <v>0</v>
      </c>
      <c r="Z105" s="94">
        <v>83532</v>
      </c>
      <c r="AA105" s="94"/>
      <c r="AB105" s="94"/>
      <c r="AC105" s="94"/>
      <c r="AI105" s="97">
        <v>85</v>
      </c>
      <c r="AJ105" s="111" t="s">
        <v>4501</v>
      </c>
      <c r="AK105" s="111">
        <v>-3969754</v>
      </c>
      <c r="AL105" s="97">
        <v>1</v>
      </c>
      <c r="AM105" s="97">
        <f t="shared" si="34"/>
        <v>1123</v>
      </c>
      <c r="AN105" s="115">
        <f t="shared" si="10"/>
        <v>-4458033742</v>
      </c>
      <c r="AO105" s="97"/>
    </row>
    <row r="106" spans="4:48">
      <c r="J106" t="s">
        <v>25</v>
      </c>
      <c r="R106" s="167" t="s">
        <v>25</v>
      </c>
      <c r="S106" s="205" t="s">
        <v>5644</v>
      </c>
      <c r="T106" s="205">
        <f>T105-1</f>
        <v>608</v>
      </c>
      <c r="U106" s="205" t="s">
        <v>5645</v>
      </c>
      <c r="V106" s="205"/>
      <c r="W106" s="97">
        <f t="shared" si="35"/>
        <v>0</v>
      </c>
      <c r="X106" s="32">
        <f t="shared" si="36"/>
        <v>0</v>
      </c>
      <c r="Y106" s="32">
        <f t="shared" si="37"/>
        <v>0</v>
      </c>
      <c r="Z106" s="94">
        <v>807014</v>
      </c>
      <c r="AA106" s="94"/>
      <c r="AB106" s="94"/>
      <c r="AC106" s="94"/>
      <c r="AI106" s="97">
        <v>86</v>
      </c>
      <c r="AJ106" s="111" t="s">
        <v>4511</v>
      </c>
      <c r="AK106" s="111">
        <v>-25574455</v>
      </c>
      <c r="AL106" s="97">
        <v>0</v>
      </c>
      <c r="AM106" s="97">
        <f t="shared" si="34"/>
        <v>1122</v>
      </c>
      <c r="AN106" s="115">
        <f t="shared" si="10"/>
        <v>-28694538510</v>
      </c>
      <c r="AO106" s="97"/>
      <c r="AQ106" t="s">
        <v>25</v>
      </c>
    </row>
    <row r="107" spans="4:48">
      <c r="G107" s="94" t="s">
        <v>25</v>
      </c>
      <c r="H107" s="94"/>
      <c r="I107" s="94"/>
      <c r="J107" s="94"/>
      <c r="R107" s="167"/>
      <c r="S107" s="205" t="s">
        <v>5646</v>
      </c>
      <c r="T107" s="205">
        <f>T106-1</f>
        <v>607</v>
      </c>
      <c r="U107" s="205" t="s">
        <v>5694</v>
      </c>
      <c r="V107" s="205"/>
      <c r="W107" s="97">
        <f t="shared" si="35"/>
        <v>0</v>
      </c>
      <c r="X107" s="32">
        <f t="shared" si="36"/>
        <v>0</v>
      </c>
      <c r="Y107" s="32">
        <f t="shared" si="37"/>
        <v>0</v>
      </c>
      <c r="Z107" s="94">
        <v>399790</v>
      </c>
      <c r="AA107" s="94"/>
      <c r="AB107" s="94"/>
      <c r="AI107" s="97">
        <v>87</v>
      </c>
      <c r="AJ107" s="111" t="s">
        <v>4511</v>
      </c>
      <c r="AK107" s="111">
        <v>4000000</v>
      </c>
      <c r="AL107" s="97">
        <v>1</v>
      </c>
      <c r="AM107" s="97">
        <f t="shared" si="34"/>
        <v>1122</v>
      </c>
      <c r="AN107" s="115">
        <f t="shared" si="10"/>
        <v>4488000000</v>
      </c>
      <c r="AO107" s="97"/>
    </row>
    <row r="108" spans="4:48">
      <c r="F108" s="406"/>
      <c r="G108" s="94"/>
      <c r="H108" s="94"/>
      <c r="I108" s="94"/>
      <c r="J108" s="94"/>
      <c r="K108" s="166" t="s">
        <v>4479</v>
      </c>
      <c r="L108" s="166" t="s">
        <v>4480</v>
      </c>
      <c r="M108" s="166" t="s">
        <v>4392</v>
      </c>
      <c r="N108" s="54" t="s">
        <v>190</v>
      </c>
      <c r="R108" s="167"/>
      <c r="S108" s="205" t="s">
        <v>5699</v>
      </c>
      <c r="T108" s="205">
        <f>T107-53</f>
        <v>554</v>
      </c>
      <c r="U108" s="205" t="s">
        <v>6722</v>
      </c>
      <c r="V108" s="205">
        <v>1500</v>
      </c>
      <c r="W108" s="97">
        <f t="shared" si="35"/>
        <v>2160.2794520547945</v>
      </c>
      <c r="X108" s="32">
        <f t="shared" si="36"/>
        <v>2203.4850410958907</v>
      </c>
      <c r="Y108" s="32">
        <f t="shared" si="37"/>
        <v>2246.6906301369863</v>
      </c>
      <c r="Z108" s="94">
        <v>27349</v>
      </c>
      <c r="AA108" s="94"/>
      <c r="AB108" s="94"/>
      <c r="AI108" s="97">
        <v>88</v>
      </c>
      <c r="AJ108" s="111" t="s">
        <v>977</v>
      </c>
      <c r="AK108" s="111">
        <v>-5000000</v>
      </c>
      <c r="AL108" s="97">
        <v>2</v>
      </c>
      <c r="AM108" s="97">
        <f t="shared" si="34"/>
        <v>1121</v>
      </c>
      <c r="AN108" s="115">
        <f t="shared" si="10"/>
        <v>-5605000000</v>
      </c>
      <c r="AO108" s="97"/>
    </row>
    <row r="109" spans="4:48">
      <c r="F109" s="406"/>
      <c r="G109" s="94"/>
      <c r="H109" s="94"/>
      <c r="I109" s="94"/>
      <c r="J109" s="94"/>
      <c r="K109" s="166" t="s">
        <v>4216</v>
      </c>
      <c r="L109" s="167">
        <v>1100000</v>
      </c>
      <c r="M109" s="167">
        <v>1637000</v>
      </c>
      <c r="N109" s="166">
        <f t="shared" ref="N109:N117" si="38">(M109-L109)*100/L109</f>
        <v>48.81818181818182</v>
      </c>
      <c r="R109" s="167"/>
      <c r="S109" s="205" t="s">
        <v>5752</v>
      </c>
      <c r="T109" s="205">
        <f>T108-71</f>
        <v>483</v>
      </c>
      <c r="U109" s="205" t="s">
        <v>5756</v>
      </c>
      <c r="V109" s="205">
        <v>1354.1</v>
      </c>
      <c r="W109" s="97">
        <f t="shared" si="35"/>
        <v>1876.404193972603</v>
      </c>
      <c r="X109" s="32">
        <f t="shared" si="36"/>
        <v>1913.9322778520552</v>
      </c>
      <c r="Y109" s="32">
        <f t="shared" si="37"/>
        <v>1951.4603617315072</v>
      </c>
      <c r="Z109" s="94"/>
      <c r="AA109" s="94">
        <v>22000</v>
      </c>
      <c r="AB109" s="94">
        <f>AA109*3</f>
        <v>66000</v>
      </c>
      <c r="AE109" s="94"/>
      <c r="AF109"/>
      <c r="AG109"/>
      <c r="AI109" s="97">
        <v>89</v>
      </c>
      <c r="AJ109" s="111" t="s">
        <v>4515</v>
      </c>
      <c r="AK109" s="111">
        <v>10000000</v>
      </c>
      <c r="AL109" s="97">
        <v>4</v>
      </c>
      <c r="AM109" s="97">
        <f t="shared" si="34"/>
        <v>1119</v>
      </c>
      <c r="AN109" s="115">
        <f t="shared" si="10"/>
        <v>11190000000</v>
      </c>
      <c r="AO109" s="97"/>
    </row>
    <row r="110" spans="4:48">
      <c r="F110" s="406"/>
      <c r="G110" s="94"/>
      <c r="H110" s="94"/>
      <c r="I110" s="94"/>
      <c r="J110" s="94"/>
      <c r="K110" s="5" t="s">
        <v>4474</v>
      </c>
      <c r="L110" s="167">
        <v>1100000</v>
      </c>
      <c r="M110" s="167">
        <v>4748000</v>
      </c>
      <c r="N110" s="166">
        <f t="shared" si="38"/>
        <v>331.63636363636363</v>
      </c>
      <c r="R110" s="167"/>
      <c r="S110" s="205" t="s">
        <v>5757</v>
      </c>
      <c r="T110" s="205">
        <f>T109-8</f>
        <v>475</v>
      </c>
      <c r="U110" s="205" t="s">
        <v>5773</v>
      </c>
      <c r="V110" s="205">
        <v>1266</v>
      </c>
      <c r="W110" s="97">
        <f t="shared" si="35"/>
        <v>1746.552789041096</v>
      </c>
      <c r="X110" s="32">
        <f t="shared" si="36"/>
        <v>1781.483844821918</v>
      </c>
      <c r="Y110" s="32">
        <f t="shared" si="37"/>
        <v>1816.4149006027399</v>
      </c>
      <c r="Z110" s="94"/>
      <c r="AA110" s="94">
        <v>62174</v>
      </c>
      <c r="AB110" s="401">
        <f t="shared" ref="AB110:AB114" si="39">AA110*3</f>
        <v>186522</v>
      </c>
      <c r="AD110" t="s">
        <v>25</v>
      </c>
      <c r="AI110" s="97">
        <v>90</v>
      </c>
      <c r="AJ110" s="111" t="s">
        <v>4517</v>
      </c>
      <c r="AK110" s="111">
        <v>-5241937</v>
      </c>
      <c r="AL110" s="97">
        <v>0</v>
      </c>
      <c r="AM110" s="97">
        <f t="shared" si="34"/>
        <v>1115</v>
      </c>
      <c r="AN110" s="115">
        <f t="shared" si="10"/>
        <v>-5844759755</v>
      </c>
      <c r="AO110" s="97"/>
    </row>
    <row r="111" spans="4:48">
      <c r="F111" s="406"/>
      <c r="G111" s="94"/>
      <c r="H111" s="94"/>
      <c r="I111" s="94"/>
      <c r="J111" s="94"/>
      <c r="K111" s="5" t="s">
        <v>4475</v>
      </c>
      <c r="L111" s="167">
        <v>1100000</v>
      </c>
      <c r="M111" s="167">
        <v>5137000</v>
      </c>
      <c r="N111" s="166">
        <f t="shared" si="38"/>
        <v>367</v>
      </c>
      <c r="R111" s="167"/>
      <c r="S111" s="205" t="s">
        <v>5774</v>
      </c>
      <c r="T111" s="205">
        <f>T110-13</f>
        <v>462</v>
      </c>
      <c r="U111" s="205" t="s">
        <v>6246</v>
      </c>
      <c r="V111" s="205">
        <v>1275</v>
      </c>
      <c r="W111" s="97">
        <f t="shared" si="35"/>
        <v>1746.2539726027399</v>
      </c>
      <c r="X111" s="32">
        <f t="shared" si="36"/>
        <v>1781.1790520547947</v>
      </c>
      <c r="Y111" s="32">
        <f t="shared" si="37"/>
        <v>1816.1041315068494</v>
      </c>
      <c r="Z111" s="94"/>
      <c r="AA111" s="94">
        <v>6826</v>
      </c>
      <c r="AB111" s="401">
        <f t="shared" si="39"/>
        <v>20478</v>
      </c>
      <c r="AI111" s="97">
        <v>91</v>
      </c>
      <c r="AJ111" s="111" t="s">
        <v>4517</v>
      </c>
      <c r="AK111" s="111">
        <v>21900000</v>
      </c>
      <c r="AL111" s="97">
        <v>2</v>
      </c>
      <c r="AM111" s="97">
        <f t="shared" si="34"/>
        <v>1115</v>
      </c>
      <c r="AN111" s="115">
        <f t="shared" si="10"/>
        <v>24418500000</v>
      </c>
      <c r="AO111" s="97"/>
      <c r="AQ111" t="s">
        <v>25</v>
      </c>
      <c r="AV111"/>
    </row>
    <row r="112" spans="4:48">
      <c r="F112" s="406"/>
      <c r="G112" s="94"/>
      <c r="H112" s="94"/>
      <c r="I112" s="94"/>
      <c r="J112" s="94"/>
      <c r="K112" s="19" t="s">
        <v>4354</v>
      </c>
      <c r="L112" s="167">
        <v>1100000</v>
      </c>
      <c r="M112" s="167">
        <v>4300000</v>
      </c>
      <c r="N112" s="166">
        <f t="shared" si="38"/>
        <v>290.90909090909093</v>
      </c>
      <c r="R112" s="167"/>
      <c r="S112" s="205" t="s">
        <v>6247</v>
      </c>
      <c r="T112" s="205">
        <f>T111-117</f>
        <v>345</v>
      </c>
      <c r="U112" s="205" t="s">
        <v>6248</v>
      </c>
      <c r="V112" s="205">
        <v>1310</v>
      </c>
      <c r="W112" s="97">
        <f t="shared" si="35"/>
        <v>1676.6133698630138</v>
      </c>
      <c r="X112" s="32">
        <f t="shared" si="36"/>
        <v>1710.145637260274</v>
      </c>
      <c r="Y112" s="32">
        <f t="shared" si="37"/>
        <v>1743.6779046575343</v>
      </c>
      <c r="Z112" s="94"/>
      <c r="AA112" s="94">
        <v>22240</v>
      </c>
      <c r="AB112" s="401">
        <f t="shared" si="39"/>
        <v>66720</v>
      </c>
      <c r="AI112" s="97">
        <v>92</v>
      </c>
      <c r="AJ112" s="111" t="s">
        <v>4524</v>
      </c>
      <c r="AK112" s="111">
        <v>-15000000</v>
      </c>
      <c r="AL112" s="97">
        <v>0</v>
      </c>
      <c r="AM112" s="97">
        <f t="shared" si="34"/>
        <v>1113</v>
      </c>
      <c r="AN112" s="115">
        <f t="shared" si="10"/>
        <v>-16695000000</v>
      </c>
      <c r="AO112" s="97"/>
      <c r="AP112" t="s">
        <v>25</v>
      </c>
    </row>
    <row r="113" spans="6:47">
      <c r="F113" s="406"/>
      <c r="G113" s="94"/>
      <c r="H113" s="94"/>
      <c r="I113" s="94"/>
      <c r="J113" s="94"/>
      <c r="K113" s="5" t="s">
        <v>4371</v>
      </c>
      <c r="L113" s="167">
        <v>1100000</v>
      </c>
      <c r="M113" s="167">
        <v>3191000</v>
      </c>
      <c r="N113" s="166">
        <f t="shared" si="38"/>
        <v>190.09090909090909</v>
      </c>
      <c r="P113" s="94"/>
      <c r="R113" s="167"/>
      <c r="S113" s="205" t="s">
        <v>6254</v>
      </c>
      <c r="T113" s="205">
        <f>T112-4</f>
        <v>341</v>
      </c>
      <c r="U113" s="205" t="s">
        <v>6385</v>
      </c>
      <c r="V113" s="205">
        <v>1388</v>
      </c>
      <c r="W113" s="97">
        <f t="shared" si="35"/>
        <v>1772.1831890410963</v>
      </c>
      <c r="X113" s="32">
        <f t="shared" si="36"/>
        <v>1807.6268528219182</v>
      </c>
      <c r="Y113" s="32">
        <f t="shared" si="37"/>
        <v>1843.0705166027401</v>
      </c>
      <c r="Z113" s="94"/>
      <c r="AA113" s="94">
        <v>356260</v>
      </c>
      <c r="AB113" s="401">
        <f t="shared" si="39"/>
        <v>1068780</v>
      </c>
      <c r="AI113" s="97">
        <v>93</v>
      </c>
      <c r="AJ113" s="111" t="s">
        <v>4524</v>
      </c>
      <c r="AK113" s="111">
        <v>3000000</v>
      </c>
      <c r="AL113" s="97">
        <v>1</v>
      </c>
      <c r="AM113" s="97">
        <f t="shared" si="34"/>
        <v>1113</v>
      </c>
      <c r="AN113" s="115">
        <f t="shared" si="10"/>
        <v>3339000000</v>
      </c>
      <c r="AO113" s="97"/>
    </row>
    <row r="114" spans="6:47">
      <c r="F114" s="406"/>
      <c r="G114" s="94"/>
      <c r="H114" s="94"/>
      <c r="I114" s="94"/>
      <c r="J114" s="94"/>
      <c r="K114" s="5" t="s">
        <v>4476</v>
      </c>
      <c r="L114" s="167">
        <v>1100000</v>
      </c>
      <c r="M114" s="167">
        <v>5623000</v>
      </c>
      <c r="N114" s="166">
        <f t="shared" si="38"/>
        <v>411.18181818181819</v>
      </c>
      <c r="P114" s="94"/>
      <c r="R114" s="167"/>
      <c r="S114" s="205" t="s">
        <v>6391</v>
      </c>
      <c r="T114" s="205">
        <f>T113-39</f>
        <v>302</v>
      </c>
      <c r="U114" s="205" t="s">
        <v>6691</v>
      </c>
      <c r="V114" s="205">
        <v>1702</v>
      </c>
      <c r="W114" s="97">
        <f t="shared" si="35"/>
        <v>2122.1748383561644</v>
      </c>
      <c r="X114" s="32">
        <f t="shared" ref="X114:X118" si="40">W114*(1+$X$19/100)</f>
        <v>2164.6183351232876</v>
      </c>
      <c r="Y114" s="32">
        <f t="shared" ref="Y114:Y118" si="41">W114*(1+$Y$19/100)</f>
        <v>2207.0618318904112</v>
      </c>
      <c r="Z114" s="321"/>
      <c r="AA114" s="321">
        <v>1001</v>
      </c>
      <c r="AB114" s="401">
        <f t="shared" si="39"/>
        <v>3003</v>
      </c>
      <c r="AI114" s="97">
        <v>94</v>
      </c>
      <c r="AJ114" s="111" t="s">
        <v>4527</v>
      </c>
      <c r="AK114" s="111">
        <v>-2103736</v>
      </c>
      <c r="AL114" s="97">
        <v>0</v>
      </c>
      <c r="AM114" s="97">
        <f t="shared" si="34"/>
        <v>1112</v>
      </c>
      <c r="AN114" s="115">
        <f t="shared" si="10"/>
        <v>-2339354432</v>
      </c>
      <c r="AO114" s="97"/>
    </row>
    <row r="115" spans="6:47">
      <c r="F115" s="406"/>
      <c r="G115" s="94"/>
      <c r="H115" s="94"/>
      <c r="I115" s="94"/>
      <c r="J115" s="94"/>
      <c r="K115" s="19" t="s">
        <v>4358</v>
      </c>
      <c r="L115" s="167">
        <v>1100000</v>
      </c>
      <c r="M115" s="167">
        <v>7728000</v>
      </c>
      <c r="N115" s="166">
        <f t="shared" si="38"/>
        <v>602.5454545454545</v>
      </c>
      <c r="P115" s="94"/>
      <c r="Q115" s="112"/>
      <c r="R115" s="167"/>
      <c r="S115" s="205" t="s">
        <v>6694</v>
      </c>
      <c r="T115" s="205">
        <f>T99-1086</f>
        <v>274</v>
      </c>
      <c r="U115" s="205" t="s">
        <v>6897</v>
      </c>
      <c r="V115" s="205">
        <v>518</v>
      </c>
      <c r="W115" s="97">
        <f t="shared" si="35"/>
        <v>634.75294246575345</v>
      </c>
      <c r="X115" s="32">
        <f t="shared" si="40"/>
        <v>647.4480013150685</v>
      </c>
      <c r="Y115" s="32">
        <f t="shared" si="41"/>
        <v>660.14306016438366</v>
      </c>
      <c r="Z115" s="352"/>
      <c r="AA115" s="352"/>
      <c r="AB115" s="401">
        <v>229715</v>
      </c>
      <c r="AI115" s="97">
        <v>95</v>
      </c>
      <c r="AJ115" s="111" t="s">
        <v>4527</v>
      </c>
      <c r="AK115" s="111">
        <v>220000</v>
      </c>
      <c r="AL115" s="97">
        <v>3</v>
      </c>
      <c r="AM115" s="97">
        <f t="shared" si="34"/>
        <v>1112</v>
      </c>
      <c r="AN115" s="115">
        <f t="shared" si="10"/>
        <v>244640000</v>
      </c>
      <c r="AO115" s="97"/>
      <c r="AS115" s="94"/>
      <c r="AT115" s="94"/>
      <c r="AU115"/>
    </row>
    <row r="116" spans="6:47">
      <c r="F116" s="406"/>
      <c r="G116" s="94"/>
      <c r="H116" s="94"/>
      <c r="I116" s="94"/>
      <c r="J116" s="94"/>
      <c r="K116" s="5" t="s">
        <v>4478</v>
      </c>
      <c r="L116" s="167">
        <v>1100000</v>
      </c>
      <c r="M116" s="167">
        <v>2904000</v>
      </c>
      <c r="N116" s="166">
        <f t="shared" si="38"/>
        <v>164</v>
      </c>
      <c r="P116" s="94"/>
      <c r="R116" s="167"/>
      <c r="S116" s="205" t="s">
        <v>6725</v>
      </c>
      <c r="T116" s="205">
        <f>T99-1113</f>
        <v>247</v>
      </c>
      <c r="U116" s="205" t="s">
        <v>6726</v>
      </c>
      <c r="V116" s="205">
        <v>1580</v>
      </c>
      <c r="W116" s="97">
        <f t="shared" si="35"/>
        <v>1903.3935342465754</v>
      </c>
      <c r="X116" s="32">
        <f t="shared" si="40"/>
        <v>1941.4614049315069</v>
      </c>
      <c r="Y116" s="32">
        <f t="shared" si="41"/>
        <v>1979.5292756164386</v>
      </c>
      <c r="Z116" s="370">
        <v>45255</v>
      </c>
      <c r="AA116" s="370"/>
      <c r="AB116" s="401"/>
      <c r="AI116" s="97">
        <v>96</v>
      </c>
      <c r="AJ116" s="111" t="s">
        <v>4536</v>
      </c>
      <c r="AK116" s="111">
        <v>4000000</v>
      </c>
      <c r="AL116" s="97">
        <v>1</v>
      </c>
      <c r="AM116" s="97">
        <f t="shared" si="34"/>
        <v>1109</v>
      </c>
      <c r="AN116" s="115">
        <f t="shared" si="10"/>
        <v>4436000000</v>
      </c>
      <c r="AO116" s="97"/>
    </row>
    <row r="117" spans="6:47">
      <c r="F117" s="406"/>
      <c r="G117" s="94"/>
      <c r="H117" s="94"/>
      <c r="I117" s="94"/>
      <c r="J117" s="94"/>
      <c r="K117" s="54" t="s">
        <v>1068</v>
      </c>
      <c r="L117" s="167">
        <v>1100000</v>
      </c>
      <c r="M117" s="167">
        <v>3400000</v>
      </c>
      <c r="N117" s="166">
        <f t="shared" si="38"/>
        <v>209.09090909090909</v>
      </c>
      <c r="P117" t="s">
        <v>25</v>
      </c>
      <c r="R117" s="167"/>
      <c r="S117" s="205" t="s">
        <v>6727</v>
      </c>
      <c r="T117" s="205">
        <f>T99-1114</f>
        <v>246</v>
      </c>
      <c r="U117" s="205" t="s">
        <v>6728</v>
      </c>
      <c r="V117" s="205">
        <v>1560</v>
      </c>
      <c r="W117" s="97">
        <f t="shared" si="35"/>
        <v>1878.1032328767126</v>
      </c>
      <c r="X117" s="32">
        <f t="shared" si="40"/>
        <v>1915.665297534247</v>
      </c>
      <c r="Y117" s="32">
        <f t="shared" si="41"/>
        <v>1953.2273621917811</v>
      </c>
      <c r="Z117" s="370">
        <v>48918</v>
      </c>
      <c r="AA117" s="370"/>
      <c r="AB117" s="401"/>
      <c r="AI117" s="97">
        <v>97</v>
      </c>
      <c r="AJ117" s="111" t="s">
        <v>4540</v>
      </c>
      <c r="AK117" s="111">
        <v>-9000000</v>
      </c>
      <c r="AL117" s="97">
        <v>0</v>
      </c>
      <c r="AM117" s="97">
        <f t="shared" si="34"/>
        <v>1108</v>
      </c>
      <c r="AN117" s="115">
        <f t="shared" si="10"/>
        <v>-9972000000</v>
      </c>
      <c r="AO117" s="97"/>
      <c r="AQ117" t="s">
        <v>25</v>
      </c>
    </row>
    <row r="118" spans="6:47">
      <c r="F118" s="406"/>
      <c r="K118" s="223" t="s">
        <v>5343</v>
      </c>
      <c r="P118" t="s">
        <v>25</v>
      </c>
      <c r="R118" s="167"/>
      <c r="S118" s="205" t="s">
        <v>6729</v>
      </c>
      <c r="T118" s="205">
        <f>T99-1117</f>
        <v>243</v>
      </c>
      <c r="U118" s="205" t="s">
        <v>6886</v>
      </c>
      <c r="V118" s="205">
        <v>1496</v>
      </c>
      <c r="W118" s="97">
        <f t="shared" si="35"/>
        <v>1797.6099945205481</v>
      </c>
      <c r="X118" s="32">
        <f t="shared" si="40"/>
        <v>1833.5621944109591</v>
      </c>
      <c r="Y118" s="32">
        <f t="shared" si="41"/>
        <v>1869.51439430137</v>
      </c>
      <c r="Z118" s="371">
        <v>72827</v>
      </c>
      <c r="AA118" s="371"/>
      <c r="AB118" s="401"/>
      <c r="AI118" s="97">
        <v>98</v>
      </c>
      <c r="AJ118" s="111" t="s">
        <v>4540</v>
      </c>
      <c r="AK118" s="111">
        <v>13900000</v>
      </c>
      <c r="AL118" s="97">
        <v>2</v>
      </c>
      <c r="AM118" s="97">
        <f t="shared" si="34"/>
        <v>1108</v>
      </c>
      <c r="AN118" s="115">
        <f t="shared" si="10"/>
        <v>15401200000</v>
      </c>
      <c r="AO118" s="97"/>
    </row>
    <row r="119" spans="6:47">
      <c r="F119" s="406"/>
      <c r="K119" s="223" t="s">
        <v>4507</v>
      </c>
      <c r="O119" t="s">
        <v>25</v>
      </c>
      <c r="P119" t="s">
        <v>25</v>
      </c>
      <c r="Q119" s="112"/>
      <c r="R119" s="167"/>
      <c r="S119" s="205" t="s">
        <v>6887</v>
      </c>
      <c r="T119" s="205">
        <f>T99-1283</f>
        <v>77</v>
      </c>
      <c r="U119" s="205" t="s">
        <v>6951</v>
      </c>
      <c r="V119" s="205">
        <v>1322</v>
      </c>
      <c r="W119" s="97">
        <f t="shared" si="35"/>
        <v>1420.1829479452056</v>
      </c>
      <c r="X119" s="32">
        <f t="shared" ref="X119:X130" si="42">W119*(1+$X$19/100)</f>
        <v>1448.5866069041097</v>
      </c>
      <c r="Y119" s="32">
        <f t="shared" ref="Y119:Y130" si="43">W119*(1+$Y$19/100)</f>
        <v>1476.9902658630137</v>
      </c>
      <c r="Z119" s="426">
        <v>295253</v>
      </c>
      <c r="AA119" s="426"/>
      <c r="AB119" s="426"/>
      <c r="AI119" s="97">
        <v>99</v>
      </c>
      <c r="AJ119" s="111" t="s">
        <v>4544</v>
      </c>
      <c r="AK119" s="111">
        <v>-8127577</v>
      </c>
      <c r="AL119" s="97">
        <v>1</v>
      </c>
      <c r="AM119" s="97">
        <f t="shared" si="34"/>
        <v>1106</v>
      </c>
      <c r="AN119" s="115">
        <f t="shared" si="10"/>
        <v>-8989100162</v>
      </c>
      <c r="AO119" s="97"/>
      <c r="AP119" t="s">
        <v>25</v>
      </c>
      <c r="AR119" t="s">
        <v>25</v>
      </c>
    </row>
    <row r="120" spans="6:47">
      <c r="K120" s="223" t="s">
        <v>4508</v>
      </c>
      <c r="R120" s="167"/>
      <c r="S120" s="205" t="s">
        <v>6912</v>
      </c>
      <c r="T120" s="205">
        <f>T99-1296</f>
        <v>64</v>
      </c>
      <c r="U120" s="205" t="s">
        <v>6913</v>
      </c>
      <c r="V120" s="205">
        <v>531</v>
      </c>
      <c r="W120" s="97">
        <f t="shared" si="35"/>
        <v>565.14111780821918</v>
      </c>
      <c r="X120" s="32">
        <f t="shared" si="42"/>
        <v>576.44394016438355</v>
      </c>
      <c r="Y120" s="32">
        <f t="shared" si="43"/>
        <v>587.74676252054792</v>
      </c>
      <c r="Z120" s="434"/>
      <c r="AA120" s="434"/>
      <c r="AB120" s="434">
        <v>152444</v>
      </c>
      <c r="AI120" s="97">
        <v>100</v>
      </c>
      <c r="AJ120" s="111" t="s">
        <v>3673</v>
      </c>
      <c r="AK120" s="111">
        <v>15792549</v>
      </c>
      <c r="AL120" s="97">
        <v>3</v>
      </c>
      <c r="AM120" s="97">
        <f t="shared" si="34"/>
        <v>1105</v>
      </c>
      <c r="AN120" s="115">
        <f t="shared" si="10"/>
        <v>17450766645</v>
      </c>
      <c r="AO120" s="97"/>
      <c r="AP120" t="s">
        <v>25</v>
      </c>
      <c r="AQ120" t="s">
        <v>25</v>
      </c>
    </row>
    <row r="121" spans="6:47">
      <c r="P121" s="112"/>
      <c r="R121" s="167"/>
      <c r="S121" s="205" t="s">
        <v>6914</v>
      </c>
      <c r="T121" s="205">
        <f>T99-1297</f>
        <v>63</v>
      </c>
      <c r="U121" s="205" t="s">
        <v>6915</v>
      </c>
      <c r="V121" s="205">
        <v>508</v>
      </c>
      <c r="W121" s="97">
        <f t="shared" si="35"/>
        <v>540.27261369863015</v>
      </c>
      <c r="X121" s="32">
        <f t="shared" si="42"/>
        <v>551.07806597260276</v>
      </c>
      <c r="Y121" s="32">
        <f t="shared" si="43"/>
        <v>561.88351824657536</v>
      </c>
      <c r="Z121" s="452"/>
      <c r="AA121" s="452"/>
      <c r="AB121" s="452">
        <v>2680323</v>
      </c>
      <c r="AI121" s="97">
        <v>101</v>
      </c>
      <c r="AJ121" s="111" t="s">
        <v>4548</v>
      </c>
      <c r="AK121" s="111">
        <v>8800000</v>
      </c>
      <c r="AL121" s="97">
        <v>0</v>
      </c>
      <c r="AM121" s="97">
        <f t="shared" ref="AM121:AM126" si="44">AM122+AL121</f>
        <v>1102</v>
      </c>
      <c r="AN121" s="115">
        <f t="shared" ref="AN121:AN144" si="45">AK121*AM121</f>
        <v>9697600000</v>
      </c>
      <c r="AO121" s="97"/>
      <c r="AQ121" t="s">
        <v>25</v>
      </c>
    </row>
    <row r="122" spans="6:47" ht="17.25" customHeight="1">
      <c r="P122" t="s">
        <v>25</v>
      </c>
      <c r="R122" s="167"/>
      <c r="S122" s="205" t="s">
        <v>6936</v>
      </c>
      <c r="T122" s="205">
        <f>T99-1310</f>
        <v>50</v>
      </c>
      <c r="U122" s="205" t="s">
        <v>6946</v>
      </c>
      <c r="V122" s="205">
        <v>523</v>
      </c>
      <c r="W122" s="97">
        <f t="shared" si="35"/>
        <v>551.0098739726028</v>
      </c>
      <c r="X122" s="32">
        <f t="shared" si="42"/>
        <v>562.03007145205493</v>
      </c>
      <c r="Y122" s="32">
        <f t="shared" si="43"/>
        <v>573.05026893150693</v>
      </c>
      <c r="Z122" s="458"/>
      <c r="AA122" s="458"/>
      <c r="AB122" s="458">
        <v>85807</v>
      </c>
      <c r="AI122" s="119">
        <v>102</v>
      </c>
      <c r="AJ122" s="77" t="s">
        <v>4548</v>
      </c>
      <c r="AK122" s="77">
        <v>13071612</v>
      </c>
      <c r="AL122" s="119">
        <v>1</v>
      </c>
      <c r="AM122" s="119">
        <f t="shared" si="44"/>
        <v>1102</v>
      </c>
      <c r="AN122" s="77">
        <f t="shared" si="45"/>
        <v>14404916424</v>
      </c>
      <c r="AO122" s="200" t="s">
        <v>4549</v>
      </c>
    </row>
    <row r="123" spans="6:47">
      <c r="R123" s="167"/>
      <c r="S123" s="205" t="s">
        <v>6949</v>
      </c>
      <c r="T123" s="205">
        <f>T99-1327</f>
        <v>33</v>
      </c>
      <c r="U123" s="205" t="s">
        <v>6950</v>
      </c>
      <c r="V123" s="205">
        <v>543</v>
      </c>
      <c r="W123" s="97">
        <f t="shared" si="35"/>
        <v>564.99968219178083</v>
      </c>
      <c r="X123" s="32">
        <f t="shared" si="42"/>
        <v>576.29967583561643</v>
      </c>
      <c r="Y123" s="32">
        <f t="shared" si="43"/>
        <v>587.59966947945213</v>
      </c>
      <c r="Z123" s="465"/>
      <c r="AA123" s="465"/>
      <c r="AB123" s="465">
        <v>286772</v>
      </c>
      <c r="AI123" s="87">
        <v>103</v>
      </c>
      <c r="AJ123" s="88" t="s">
        <v>4552</v>
      </c>
      <c r="AK123" s="88">
        <v>16727037</v>
      </c>
      <c r="AL123" s="87">
        <v>0</v>
      </c>
      <c r="AM123" s="87">
        <f t="shared" si="44"/>
        <v>1101</v>
      </c>
      <c r="AN123" s="88">
        <f t="shared" si="45"/>
        <v>18416467737</v>
      </c>
      <c r="AO123" s="87" t="s">
        <v>4559</v>
      </c>
    </row>
    <row r="124" spans="6:47">
      <c r="F124" s="94"/>
      <c r="G124" s="32" t="s">
        <v>4216</v>
      </c>
      <c r="H124" s="32"/>
      <c r="I124" s="32" t="s">
        <v>4358</v>
      </c>
      <c r="K124" s="94"/>
      <c r="L124" s="94"/>
      <c r="M124" s="94"/>
      <c r="R124" s="167"/>
      <c r="S124" s="205" t="s">
        <v>6984</v>
      </c>
      <c r="T124" s="205">
        <f>T99-1359</f>
        <v>1</v>
      </c>
      <c r="U124" s="205" t="s">
        <v>6985</v>
      </c>
      <c r="V124" s="205">
        <v>553</v>
      </c>
      <c r="W124" s="97">
        <f t="shared" si="35"/>
        <v>561.82981917808218</v>
      </c>
      <c r="X124" s="32">
        <f t="shared" si="42"/>
        <v>573.06641556164379</v>
      </c>
      <c r="Y124" s="32">
        <f t="shared" si="43"/>
        <v>584.30301194520553</v>
      </c>
      <c r="Z124" s="483"/>
      <c r="AA124" s="483"/>
      <c r="AB124" s="483">
        <v>573381</v>
      </c>
      <c r="AI124" s="97">
        <v>104</v>
      </c>
      <c r="AJ124" s="111" t="s">
        <v>4552</v>
      </c>
      <c r="AK124" s="111">
        <v>12000000</v>
      </c>
      <c r="AL124" s="97">
        <v>1</v>
      </c>
      <c r="AM124" s="97">
        <f t="shared" si="44"/>
        <v>1101</v>
      </c>
      <c r="AN124" s="115">
        <f t="shared" si="45"/>
        <v>13212000000</v>
      </c>
      <c r="AO124" s="97" t="s">
        <v>4560</v>
      </c>
    </row>
    <row r="125" spans="6:47">
      <c r="F125" s="94"/>
      <c r="G125" s="32">
        <f>O33+O40+O51</f>
        <v>6245125</v>
      </c>
      <c r="H125" s="32" t="s">
        <v>5429</v>
      </c>
      <c r="I125" s="32">
        <f>O55</f>
        <v>0</v>
      </c>
      <c r="J125" s="112"/>
      <c r="K125" s="94"/>
      <c r="L125" s="94"/>
      <c r="M125" s="94"/>
      <c r="P125" s="112"/>
      <c r="R125" s="167"/>
      <c r="S125" s="205" t="s">
        <v>6986</v>
      </c>
      <c r="T125" s="205">
        <f>T99-1360</f>
        <v>0</v>
      </c>
      <c r="U125" s="205" t="s">
        <v>6990</v>
      </c>
      <c r="V125" s="205">
        <v>565</v>
      </c>
      <c r="W125" s="97">
        <f t="shared" si="35"/>
        <v>573.58800000000008</v>
      </c>
      <c r="X125" s="32">
        <f t="shared" si="42"/>
        <v>585.0597600000001</v>
      </c>
      <c r="Y125" s="32">
        <f t="shared" si="43"/>
        <v>596.53152000000011</v>
      </c>
      <c r="Z125" s="484"/>
      <c r="AA125" s="484"/>
      <c r="AB125" s="484">
        <v>102010</v>
      </c>
      <c r="AC125" s="94"/>
      <c r="AI125" s="87">
        <v>105</v>
      </c>
      <c r="AJ125" s="88" t="s">
        <v>4490</v>
      </c>
      <c r="AK125" s="88">
        <v>88697667</v>
      </c>
      <c r="AL125" s="87">
        <v>1</v>
      </c>
      <c r="AM125" s="87">
        <f t="shared" si="44"/>
        <v>1100</v>
      </c>
      <c r="AN125" s="88">
        <f t="shared" si="45"/>
        <v>97567433700</v>
      </c>
      <c r="AO125" s="87" t="s">
        <v>4561</v>
      </c>
      <c r="AQ125" t="s">
        <v>25</v>
      </c>
    </row>
    <row r="126" spans="6:47">
      <c r="F126" s="94"/>
      <c r="G126" s="32">
        <f>(N34+N36+N41+N54+N55+N35+N56+N52)/P51</f>
        <v>2363693.9633333334</v>
      </c>
      <c r="H126" s="274" t="s">
        <v>5430</v>
      </c>
      <c r="I126" s="32">
        <f>(N51+N54+N40+N36+N33+N34+N35+N41+N56+N52)/P55</f>
        <v>664089.91745950119</v>
      </c>
      <c r="J126" s="112"/>
      <c r="K126" s="94"/>
      <c r="L126" s="94" t="s">
        <v>25</v>
      </c>
      <c r="M126" s="94"/>
      <c r="R126" s="167"/>
      <c r="S126" s="205" t="s">
        <v>6989</v>
      </c>
      <c r="T126" s="205">
        <f>T99-1361</f>
        <v>-1</v>
      </c>
      <c r="U126" s="205" t="s">
        <v>6991</v>
      </c>
      <c r="V126" s="205">
        <v>1515</v>
      </c>
      <c r="W126" s="97">
        <f t="shared" si="35"/>
        <v>1536.8658082191785</v>
      </c>
      <c r="X126" s="32">
        <f t="shared" si="42"/>
        <v>1567.6031243835621</v>
      </c>
      <c r="Y126" s="32">
        <f t="shared" si="43"/>
        <v>1598.3404405479457</v>
      </c>
      <c r="Z126" s="485">
        <v>2334</v>
      </c>
      <c r="AA126" s="485"/>
      <c r="AB126" s="485"/>
      <c r="AC126" s="94" t="s">
        <v>25</v>
      </c>
      <c r="AI126" s="97">
        <v>106</v>
      </c>
      <c r="AJ126" s="111" t="s">
        <v>4493</v>
      </c>
      <c r="AK126" s="111">
        <v>101000</v>
      </c>
      <c r="AL126" s="97">
        <v>0</v>
      </c>
      <c r="AM126" s="97">
        <f t="shared" si="44"/>
        <v>1099</v>
      </c>
      <c r="AN126" s="115">
        <f t="shared" si="45"/>
        <v>110999000</v>
      </c>
      <c r="AO126" s="97"/>
      <c r="AR126" t="s">
        <v>25</v>
      </c>
    </row>
    <row r="127" spans="6:47">
      <c r="F127" s="94"/>
      <c r="G127" s="32">
        <f>G125+G126</f>
        <v>8608818.9633333329</v>
      </c>
      <c r="H127" s="32" t="s">
        <v>5431</v>
      </c>
      <c r="I127" s="32">
        <f>I125+I126</f>
        <v>664089.91745950119</v>
      </c>
      <c r="J127" s="112"/>
      <c r="K127" s="94"/>
      <c r="L127" s="94"/>
      <c r="N127" s="94"/>
      <c r="R127" s="167"/>
      <c r="S127" s="205"/>
      <c r="T127" s="205"/>
      <c r="U127" s="205"/>
      <c r="V127" s="205"/>
      <c r="W127" s="97"/>
      <c r="X127" s="32"/>
      <c r="Y127" s="32"/>
      <c r="Z127" s="485"/>
      <c r="AA127" s="485"/>
      <c r="AB127" s="485"/>
      <c r="AC127" s="94"/>
      <c r="AD127" t="s">
        <v>25</v>
      </c>
      <c r="AI127" s="147">
        <v>107</v>
      </c>
      <c r="AJ127" s="186" t="s">
        <v>4558</v>
      </c>
      <c r="AK127" s="186">
        <v>-48200</v>
      </c>
      <c r="AL127" s="147">
        <v>0</v>
      </c>
      <c r="AM127" s="147">
        <f t="shared" ref="AM127:AM177" si="46">AM128+AL127</f>
        <v>1099</v>
      </c>
      <c r="AN127" s="186">
        <f t="shared" si="45"/>
        <v>-52971800</v>
      </c>
      <c r="AO127" s="147" t="s">
        <v>4564</v>
      </c>
    </row>
    <row r="128" spans="6:47">
      <c r="F128" s="94"/>
      <c r="G128" s="32">
        <f>(X141+X142)/P51</f>
        <v>339054.87073905661</v>
      </c>
      <c r="H128" s="32" t="s">
        <v>5411</v>
      </c>
      <c r="I128" s="32">
        <f>(X141+X142)/P55</f>
        <v>26154.914173750833</v>
      </c>
      <c r="J128" s="112"/>
      <c r="K128" s="94"/>
      <c r="L128" s="94"/>
      <c r="M128" s="94"/>
      <c r="N128" s="94"/>
      <c r="R128" s="167"/>
      <c r="S128" s="205" t="s">
        <v>25</v>
      </c>
      <c r="T128" s="205"/>
      <c r="U128" s="205"/>
      <c r="V128" s="205"/>
      <c r="W128" s="97"/>
      <c r="X128" s="32"/>
      <c r="Y128" s="32"/>
      <c r="Z128" s="484"/>
      <c r="AA128" s="484"/>
      <c r="AB128" s="484"/>
      <c r="AC128" t="s">
        <v>25</v>
      </c>
      <c r="AI128" s="87">
        <v>108</v>
      </c>
      <c r="AJ128" s="88" t="s">
        <v>4558</v>
      </c>
      <c r="AK128" s="88">
        <v>39327293</v>
      </c>
      <c r="AL128" s="87">
        <v>4</v>
      </c>
      <c r="AM128" s="147">
        <f t="shared" si="46"/>
        <v>1099</v>
      </c>
      <c r="AN128" s="186">
        <f t="shared" si="45"/>
        <v>43220695007</v>
      </c>
      <c r="AO128" s="87" t="s">
        <v>4565</v>
      </c>
    </row>
    <row r="129" spans="6:44">
      <c r="F129" s="94"/>
      <c r="G129" s="32">
        <f>X139/P51</f>
        <v>3041398.1418429981</v>
      </c>
      <c r="H129" s="32" t="s">
        <v>480</v>
      </c>
      <c r="I129" s="32">
        <f>X139/P55</f>
        <v>234615.43907248633</v>
      </c>
      <c r="J129" s="112"/>
      <c r="K129" s="94"/>
      <c r="L129" s="94"/>
      <c r="N129" s="94"/>
      <c r="R129" s="167"/>
      <c r="S129" s="205"/>
      <c r="T129" s="205"/>
      <c r="U129" s="205"/>
      <c r="V129" s="205"/>
      <c r="W129" s="97"/>
      <c r="X129" s="32"/>
      <c r="Y129" s="32"/>
      <c r="Z129" s="483"/>
      <c r="AA129" s="483"/>
      <c r="AB129" s="483"/>
      <c r="AI129" s="87">
        <v>109</v>
      </c>
      <c r="AJ129" s="88" t="s">
        <v>4579</v>
      </c>
      <c r="AK129" s="88">
        <v>8749050</v>
      </c>
      <c r="AL129" s="87">
        <v>1</v>
      </c>
      <c r="AM129" s="87">
        <f t="shared" si="46"/>
        <v>1095</v>
      </c>
      <c r="AN129" s="88">
        <f t="shared" si="45"/>
        <v>9580209750</v>
      </c>
      <c r="AO129" s="87" t="s">
        <v>4580</v>
      </c>
    </row>
    <row r="130" spans="6:44">
      <c r="F130" s="94"/>
      <c r="G130" s="32">
        <f>G127-G128-G129</f>
        <v>5228365.9507512785</v>
      </c>
      <c r="H130" s="32" t="s">
        <v>5</v>
      </c>
      <c r="I130" s="32">
        <f>I127-I128-I129</f>
        <v>403319.56421326404</v>
      </c>
      <c r="J130" s="112"/>
      <c r="K130" s="94"/>
      <c r="L130" s="94"/>
      <c r="M130" t="s">
        <v>25</v>
      </c>
      <c r="N130" s="94"/>
      <c r="R130" s="167"/>
      <c r="S130" s="166"/>
      <c r="T130" s="166"/>
      <c r="U130" s="166" t="s">
        <v>25</v>
      </c>
      <c r="V130" s="166"/>
      <c r="W130" s="97">
        <f t="shared" si="35"/>
        <v>0</v>
      </c>
      <c r="X130" s="32">
        <f t="shared" si="42"/>
        <v>0</v>
      </c>
      <c r="Y130" s="32">
        <f t="shared" si="43"/>
        <v>0</v>
      </c>
      <c r="Z130" t="s">
        <v>25</v>
      </c>
      <c r="AA130" t="s">
        <v>25</v>
      </c>
      <c r="AB130" s="94" t="s">
        <v>25</v>
      </c>
      <c r="AI130" s="97">
        <v>110</v>
      </c>
      <c r="AJ130" s="111" t="s">
        <v>4581</v>
      </c>
      <c r="AK130" s="111">
        <v>60000</v>
      </c>
      <c r="AL130" s="97">
        <v>1</v>
      </c>
      <c r="AM130" s="97">
        <f t="shared" si="46"/>
        <v>1094</v>
      </c>
      <c r="AN130" s="115">
        <f t="shared" si="45"/>
        <v>65640000</v>
      </c>
      <c r="AO130" s="97" t="s">
        <v>4582</v>
      </c>
    </row>
    <row r="131" spans="6:44">
      <c r="N131" s="94"/>
      <c r="R131" s="111">
        <f>SUM(N55:N59)-SUM(R99:R130)</f>
        <v>-1877717018.63133</v>
      </c>
      <c r="S131" s="110"/>
      <c r="T131" s="110"/>
      <c r="U131" s="110"/>
      <c r="V131" s="166"/>
      <c r="W131" s="97" t="s">
        <v>25</v>
      </c>
      <c r="X131" s="32"/>
      <c r="Y131" s="32"/>
      <c r="Z131" t="s">
        <v>25</v>
      </c>
      <c r="AA131" t="s">
        <v>25</v>
      </c>
      <c r="AB131" s="94" t="s">
        <v>25</v>
      </c>
      <c r="AI131" s="20">
        <v>111</v>
      </c>
      <c r="AJ131" s="115" t="s">
        <v>4590</v>
      </c>
      <c r="AK131" s="115">
        <v>4750000</v>
      </c>
      <c r="AL131" s="20">
        <v>0</v>
      </c>
      <c r="AM131" s="97">
        <f t="shared" si="46"/>
        <v>1093</v>
      </c>
      <c r="AN131" s="115">
        <f t="shared" si="45"/>
        <v>5191750000</v>
      </c>
      <c r="AO131" s="20"/>
      <c r="AR131" t="s">
        <v>25</v>
      </c>
    </row>
    <row r="132" spans="6:44">
      <c r="N132" s="94"/>
      <c r="R132" s="26"/>
      <c r="S132" s="179"/>
      <c r="T132" s="179"/>
      <c r="U132" t="s">
        <v>25</v>
      </c>
      <c r="V132" s="94" t="s">
        <v>25</v>
      </c>
      <c r="W132" s="94" t="s">
        <v>25</v>
      </c>
      <c r="X132" s="94" t="s">
        <v>25</v>
      </c>
      <c r="Z132" t="s">
        <v>25</v>
      </c>
      <c r="AA132" t="s">
        <v>25</v>
      </c>
      <c r="AB132" s="94"/>
      <c r="AD132" t="s">
        <v>25</v>
      </c>
      <c r="AI132" s="87">
        <v>112</v>
      </c>
      <c r="AJ132" s="88" t="s">
        <v>4590</v>
      </c>
      <c r="AK132" s="88">
        <v>13101160</v>
      </c>
      <c r="AL132" s="87">
        <v>1</v>
      </c>
      <c r="AM132" s="87">
        <f t="shared" si="46"/>
        <v>1093</v>
      </c>
      <c r="AN132" s="88">
        <f t="shared" si="45"/>
        <v>14319567880</v>
      </c>
      <c r="AO132" s="87" t="s">
        <v>4593</v>
      </c>
    </row>
    <row r="133" spans="6:44">
      <c r="K133" s="94"/>
      <c r="L133" s="94"/>
      <c r="S133" s="32" t="s">
        <v>4510</v>
      </c>
      <c r="T133" s="32" t="s">
        <v>933</v>
      </c>
      <c r="U133" t="s">
        <v>25</v>
      </c>
      <c r="V133" s="94" t="s">
        <v>25</v>
      </c>
      <c r="W133" s="94" t="s">
        <v>25</v>
      </c>
      <c r="X133" s="94" t="s">
        <v>25</v>
      </c>
      <c r="Y133" s="120" t="s">
        <v>25</v>
      </c>
      <c r="Z133" t="s">
        <v>25</v>
      </c>
      <c r="AA133" t="s">
        <v>25</v>
      </c>
      <c r="AB133" s="94" t="s">
        <v>25</v>
      </c>
      <c r="AI133" s="20">
        <v>113</v>
      </c>
      <c r="AJ133" s="115" t="s">
        <v>4592</v>
      </c>
      <c r="AK133" s="115">
        <v>-980000</v>
      </c>
      <c r="AL133" s="20">
        <v>0</v>
      </c>
      <c r="AM133" s="97">
        <f t="shared" si="46"/>
        <v>1092</v>
      </c>
      <c r="AN133" s="115">
        <f t="shared" si="45"/>
        <v>-1070160000</v>
      </c>
      <c r="AO133" s="20"/>
    </row>
    <row r="134" spans="6:44">
      <c r="S134" s="32">
        <v>33288</v>
      </c>
      <c r="T134" s="167">
        <v>152128600.70081395</v>
      </c>
      <c r="U134" t="s">
        <v>25</v>
      </c>
      <c r="V134" s="94" t="s">
        <v>25</v>
      </c>
      <c r="W134" s="120" t="s">
        <v>25</v>
      </c>
      <c r="X134" s="94" t="s">
        <v>25</v>
      </c>
      <c r="Y134" t="s">
        <v>25</v>
      </c>
      <c r="Z134" t="s">
        <v>25</v>
      </c>
      <c r="AA134" t="s">
        <v>25</v>
      </c>
      <c r="AB134" t="s">
        <v>25</v>
      </c>
      <c r="AC134" t="s">
        <v>25</v>
      </c>
      <c r="AI134" s="87">
        <v>114</v>
      </c>
      <c r="AJ134" s="88" t="s">
        <v>4592</v>
      </c>
      <c r="AK134" s="88">
        <v>13301790</v>
      </c>
      <c r="AL134" s="87">
        <v>0</v>
      </c>
      <c r="AM134" s="87">
        <f t="shared" si="46"/>
        <v>1092</v>
      </c>
      <c r="AN134" s="88">
        <f t="shared" si="45"/>
        <v>14525554680</v>
      </c>
      <c r="AO134" s="87" t="s">
        <v>4593</v>
      </c>
      <c r="AR134" t="s">
        <v>25</v>
      </c>
    </row>
    <row r="135" spans="6:44">
      <c r="G135" s="32" t="s">
        <v>180</v>
      </c>
      <c r="H135" s="32" t="s">
        <v>5432</v>
      </c>
      <c r="I135" s="205" t="s">
        <v>5433</v>
      </c>
      <c r="J135" s="205" t="s">
        <v>5434</v>
      </c>
      <c r="K135" s="32" t="s">
        <v>5435</v>
      </c>
      <c r="L135" s="97" t="s">
        <v>5449</v>
      </c>
      <c r="M135" s="97" t="s">
        <v>5450</v>
      </c>
      <c r="R135" t="s">
        <v>25</v>
      </c>
      <c r="S135" s="32">
        <v>9243</v>
      </c>
      <c r="T135" s="1">
        <f>T134*S135/S134</f>
        <v>42241187.7036056</v>
      </c>
      <c r="U135" s="112" t="s">
        <v>25</v>
      </c>
      <c r="V135" s="94" t="s">
        <v>25</v>
      </c>
      <c r="W135" s="120" t="s">
        <v>25</v>
      </c>
      <c r="X135" s="94" t="s">
        <v>25</v>
      </c>
      <c r="Y135" t="s">
        <v>25</v>
      </c>
      <c r="Z135" t="s">
        <v>25</v>
      </c>
      <c r="AA135" t="s">
        <v>25</v>
      </c>
      <c r="AB135" t="s">
        <v>25</v>
      </c>
      <c r="AC135" t="s">
        <v>25</v>
      </c>
      <c r="AD135" t="s">
        <v>25</v>
      </c>
      <c r="AI135" s="20">
        <v>115</v>
      </c>
      <c r="AJ135" s="115" t="s">
        <v>4592</v>
      </c>
      <c r="AK135" s="115">
        <v>404000</v>
      </c>
      <c r="AL135" s="20">
        <v>5</v>
      </c>
      <c r="AM135" s="97">
        <f t="shared" si="46"/>
        <v>1092</v>
      </c>
      <c r="AN135" s="115">
        <f t="shared" si="45"/>
        <v>441168000</v>
      </c>
      <c r="AO135" s="20" t="s">
        <v>4599</v>
      </c>
    </row>
    <row r="136" spans="6:44">
      <c r="G136" s="32" t="s">
        <v>5424</v>
      </c>
      <c r="H136" s="32">
        <v>3256760</v>
      </c>
      <c r="I136" s="205">
        <v>245992</v>
      </c>
      <c r="J136" s="205">
        <v>2544443</v>
      </c>
      <c r="K136" s="32">
        <v>192693</v>
      </c>
      <c r="L136" s="97">
        <f t="shared" ref="L136:L145" si="47">H136+J136</f>
        <v>5801203</v>
      </c>
      <c r="M136" s="97">
        <f t="shared" ref="M136:M145" si="48">I136+K136</f>
        <v>438685</v>
      </c>
      <c r="S136" s="32">
        <f>S134-S135</f>
        <v>24045</v>
      </c>
      <c r="T136" s="1">
        <f>S136*T134/S134</f>
        <v>109887412.99720834</v>
      </c>
      <c r="U136" t="s">
        <v>25</v>
      </c>
      <c r="V136" s="120" t="s">
        <v>25</v>
      </c>
      <c r="W136" s="94"/>
      <c r="X136" s="120" t="s">
        <v>25</v>
      </c>
      <c r="Y136" t="s">
        <v>25</v>
      </c>
      <c r="Z136">
        <v>1072496175</v>
      </c>
      <c r="AA136">
        <v>365000000</v>
      </c>
      <c r="AB136" t="s">
        <v>25</v>
      </c>
      <c r="AI136" s="87">
        <v>116</v>
      </c>
      <c r="AJ136" s="88" t="s">
        <v>4605</v>
      </c>
      <c r="AK136" s="88">
        <v>4291628</v>
      </c>
      <c r="AL136" s="87">
        <v>2</v>
      </c>
      <c r="AM136" s="87">
        <f t="shared" si="46"/>
        <v>1087</v>
      </c>
      <c r="AN136" s="88">
        <f t="shared" si="45"/>
        <v>4664999636</v>
      </c>
      <c r="AO136" s="87" t="s">
        <v>4606</v>
      </c>
    </row>
    <row r="137" spans="6:44">
      <c r="G137" s="32" t="s">
        <v>5436</v>
      </c>
      <c r="H137" s="32">
        <v>3245022</v>
      </c>
      <c r="I137" s="205">
        <v>249261</v>
      </c>
      <c r="J137" s="205">
        <v>2532877</v>
      </c>
      <c r="K137" s="32">
        <v>195062</v>
      </c>
      <c r="L137" s="97">
        <f t="shared" si="47"/>
        <v>5777899</v>
      </c>
      <c r="M137" s="97">
        <f t="shared" si="48"/>
        <v>444323</v>
      </c>
      <c r="U137" t="s">
        <v>25</v>
      </c>
      <c r="W137" s="94"/>
      <c r="X137"/>
      <c r="Y137" t="s">
        <v>25</v>
      </c>
      <c r="Z137" t="s">
        <v>25</v>
      </c>
      <c r="AA137" t="s">
        <v>25</v>
      </c>
      <c r="AB137" t="s">
        <v>25</v>
      </c>
      <c r="AD137" t="s">
        <v>25</v>
      </c>
      <c r="AI137" s="20">
        <v>117</v>
      </c>
      <c r="AJ137" s="115" t="s">
        <v>4608</v>
      </c>
      <c r="AK137" s="115">
        <v>1000</v>
      </c>
      <c r="AL137" s="20">
        <v>5</v>
      </c>
      <c r="AM137" s="20">
        <f t="shared" si="46"/>
        <v>1085</v>
      </c>
      <c r="AN137" s="115">
        <f t="shared" si="45"/>
        <v>1085000</v>
      </c>
      <c r="AO137" s="20"/>
    </row>
    <row r="138" spans="6:44">
      <c r="G138" s="32" t="s">
        <v>5437</v>
      </c>
      <c r="H138" s="32"/>
      <c r="I138" s="205"/>
      <c r="J138" s="205"/>
      <c r="K138" s="32"/>
      <c r="L138" s="97">
        <f t="shared" si="47"/>
        <v>0</v>
      </c>
      <c r="M138" s="97">
        <f t="shared" si="48"/>
        <v>0</v>
      </c>
      <c r="P138" t="s">
        <v>25</v>
      </c>
      <c r="R138" s="94" t="s">
        <v>25</v>
      </c>
      <c r="S138" s="94"/>
      <c r="T138" s="94"/>
      <c r="U138" s="94"/>
      <c r="V138" s="290" t="s">
        <v>4405</v>
      </c>
      <c r="W138" s="290" t="s">
        <v>4417</v>
      </c>
      <c r="X138" s="290" t="s">
        <v>4418</v>
      </c>
      <c r="Y138" t="s">
        <v>25</v>
      </c>
      <c r="Z138" t="s">
        <v>25</v>
      </c>
      <c r="AB138" t="s">
        <v>25</v>
      </c>
      <c r="AI138" s="119">
        <v>118</v>
      </c>
      <c r="AJ138" s="77" t="s">
        <v>4616</v>
      </c>
      <c r="AK138" s="77">
        <v>8739459</v>
      </c>
      <c r="AL138" s="119">
        <v>2</v>
      </c>
      <c r="AM138" s="119">
        <f t="shared" si="46"/>
        <v>1080</v>
      </c>
      <c r="AN138" s="77">
        <f t="shared" si="45"/>
        <v>9438615720</v>
      </c>
      <c r="AO138" s="119" t="s">
        <v>4580</v>
      </c>
    </row>
    <row r="139" spans="6:44">
      <c r="G139" s="32" t="s">
        <v>5438</v>
      </c>
      <c r="H139" s="32"/>
      <c r="I139" s="205"/>
      <c r="J139" s="205"/>
      <c r="K139" s="32"/>
      <c r="L139" s="97">
        <f t="shared" si="47"/>
        <v>0</v>
      </c>
      <c r="M139" s="97">
        <f t="shared" si="48"/>
        <v>0</v>
      </c>
      <c r="N139" s="94"/>
      <c r="R139" s="94"/>
      <c r="S139" s="94"/>
      <c r="T139" s="94"/>
      <c r="U139" s="120">
        <f>W139-$W$145</f>
        <v>1497247</v>
      </c>
      <c r="V139" s="290" t="s">
        <v>743</v>
      </c>
      <c r="W139" s="290">
        <v>1497247</v>
      </c>
      <c r="X139" s="417">
        <f>W139*$U$571</f>
        <v>4562097212.7644968</v>
      </c>
      <c r="Y139">
        <f>X139*100/$X$145</f>
        <v>35.328185282634308</v>
      </c>
      <c r="Z139" s="111">
        <f>Y139*0.01*$Z$136</f>
        <v>378893435.85316592</v>
      </c>
      <c r="AA139" s="111">
        <f>Y139*0.01*$AA$136</f>
        <v>128947876.28161524</v>
      </c>
      <c r="AB139" t="s">
        <v>25</v>
      </c>
      <c r="AD139" t="s">
        <v>25</v>
      </c>
      <c r="AI139" s="119">
        <v>119</v>
      </c>
      <c r="AJ139" s="77" t="s">
        <v>4617</v>
      </c>
      <c r="AK139" s="77">
        <v>17595278</v>
      </c>
      <c r="AL139" s="119">
        <v>1</v>
      </c>
      <c r="AM139" s="119">
        <f t="shared" si="46"/>
        <v>1078</v>
      </c>
      <c r="AN139" s="77">
        <f t="shared" si="45"/>
        <v>18967709684</v>
      </c>
      <c r="AO139" s="119" t="s">
        <v>4619</v>
      </c>
      <c r="AR139" t="s">
        <v>25</v>
      </c>
    </row>
    <row r="140" spans="6:44">
      <c r="G140" s="32" t="s">
        <v>5455</v>
      </c>
      <c r="H140" s="32">
        <v>3270584</v>
      </c>
      <c r="I140" s="205">
        <v>250916</v>
      </c>
      <c r="J140" s="205">
        <v>2496979</v>
      </c>
      <c r="K140" s="32">
        <v>203160</v>
      </c>
      <c r="L140" s="97">
        <f t="shared" si="47"/>
        <v>5767563</v>
      </c>
      <c r="M140" s="97">
        <f t="shared" si="48"/>
        <v>454076</v>
      </c>
      <c r="N140" s="94"/>
      <c r="R140" t="s">
        <v>25</v>
      </c>
      <c r="U140" s="120">
        <f>W140-$W$145</f>
        <v>2573949</v>
      </c>
      <c r="V140" s="290" t="s">
        <v>4407</v>
      </c>
      <c r="W140" s="290">
        <v>2573949</v>
      </c>
      <c r="X140" s="417">
        <f>W140*$U$571</f>
        <v>7842797854.1269169</v>
      </c>
      <c r="Y140" s="94">
        <f>X140*100/$X$145</f>
        <v>60.733430876836806</v>
      </c>
      <c r="Z140" s="111">
        <f>Y140*0.01*$Z$136</f>
        <v>651363723.1003437</v>
      </c>
      <c r="AA140" s="111">
        <f>Y140*0.01*$AA$136</f>
        <v>221677022.70045432</v>
      </c>
      <c r="AB140" t="s">
        <v>25</v>
      </c>
      <c r="AI140" s="119">
        <v>120</v>
      </c>
      <c r="AJ140" s="77" t="s">
        <v>4618</v>
      </c>
      <c r="AK140" s="77">
        <v>13335309</v>
      </c>
      <c r="AL140" s="119">
        <v>13</v>
      </c>
      <c r="AM140" s="119">
        <f t="shared" si="46"/>
        <v>1077</v>
      </c>
      <c r="AN140" s="77">
        <f t="shared" si="45"/>
        <v>14362127793</v>
      </c>
      <c r="AO140" s="119" t="s">
        <v>4593</v>
      </c>
    </row>
    <row r="141" spans="6:44">
      <c r="G141" s="32" t="s">
        <v>5456</v>
      </c>
      <c r="H141" s="32">
        <v>3225584</v>
      </c>
      <c r="I141" s="205">
        <v>260042</v>
      </c>
      <c r="J141" s="205">
        <v>2466124</v>
      </c>
      <c r="K141" s="32">
        <v>210439</v>
      </c>
      <c r="L141" s="97">
        <f t="shared" si="47"/>
        <v>5691708</v>
      </c>
      <c r="M141" s="97">
        <f t="shared" si="48"/>
        <v>470481</v>
      </c>
      <c r="N141" s="94"/>
      <c r="R141" t="s">
        <v>25</v>
      </c>
      <c r="T141" t="s">
        <v>25</v>
      </c>
      <c r="U141" s="120">
        <f>W141-$W$145</f>
        <v>42250</v>
      </c>
      <c r="V141" s="290" t="s">
        <v>4406</v>
      </c>
      <c r="W141" s="290">
        <v>42250</v>
      </c>
      <c r="X141" s="417">
        <f>W141*$U$571</f>
        <v>128735343.76044835</v>
      </c>
      <c r="Y141" s="94">
        <f>X141*100/$X$145</f>
        <v>0.99690687521250643</v>
      </c>
      <c r="Z141" s="111">
        <f>Y141*0.01*$Z$136</f>
        <v>10691788.104966154</v>
      </c>
      <c r="AA141" s="111">
        <f>Y141*0.01*$AA$136</f>
        <v>3638710.0945256487</v>
      </c>
      <c r="AB141" t="s">
        <v>25</v>
      </c>
      <c r="AC141" t="s">
        <v>25</v>
      </c>
      <c r="AI141" s="159">
        <v>121</v>
      </c>
      <c r="AJ141" s="215" t="s">
        <v>4667</v>
      </c>
      <c r="AK141" s="215">
        <v>50000000</v>
      </c>
      <c r="AL141" s="159">
        <v>11</v>
      </c>
      <c r="AM141" s="159">
        <f t="shared" si="46"/>
        <v>1064</v>
      </c>
      <c r="AN141" s="215">
        <f t="shared" si="45"/>
        <v>53200000000</v>
      </c>
      <c r="AO141" s="159" t="s">
        <v>4668</v>
      </c>
      <c r="AQ141" t="s">
        <v>25</v>
      </c>
    </row>
    <row r="142" spans="6:44">
      <c r="G142" s="32" t="s">
        <v>5457</v>
      </c>
      <c r="H142" s="32">
        <v>3271778</v>
      </c>
      <c r="I142" s="205">
        <v>282233</v>
      </c>
      <c r="J142" s="205">
        <v>2458563</v>
      </c>
      <c r="K142" s="32">
        <v>212082</v>
      </c>
      <c r="L142" s="97">
        <f t="shared" si="47"/>
        <v>5730341</v>
      </c>
      <c r="M142" s="97">
        <f t="shared" si="48"/>
        <v>494315</v>
      </c>
      <c r="N142" s="94"/>
      <c r="R142" t="s">
        <v>25</v>
      </c>
      <c r="U142" s="120">
        <f>W142-$W$145</f>
        <v>124663</v>
      </c>
      <c r="V142" s="290" t="s">
        <v>1069</v>
      </c>
      <c r="W142" s="290">
        <v>124663</v>
      </c>
      <c r="X142" s="417">
        <f>W142*$U$571</f>
        <v>379846962.3481366</v>
      </c>
      <c r="Y142" s="94">
        <f>X142*100/$X$145</f>
        <v>2.9414769653163706</v>
      </c>
      <c r="Z142" s="111">
        <f>Y142*0.01*$Z$136</f>
        <v>31547227.941524152</v>
      </c>
      <c r="AA142" s="111">
        <f>Y142*0.01*$AA$136</f>
        <v>10736390.923404753</v>
      </c>
      <c r="AI142" s="20">
        <v>122</v>
      </c>
      <c r="AJ142" s="115" t="s">
        <v>957</v>
      </c>
      <c r="AK142" s="115">
        <v>30000</v>
      </c>
      <c r="AL142" s="20">
        <v>3</v>
      </c>
      <c r="AM142" s="20">
        <f t="shared" si="46"/>
        <v>1053</v>
      </c>
      <c r="AN142" s="115">
        <f t="shared" si="45"/>
        <v>31590000</v>
      </c>
      <c r="AO142" s="20"/>
    </row>
    <row r="143" spans="6:44">
      <c r="G143" s="32" t="s">
        <v>5463</v>
      </c>
      <c r="H143" s="32">
        <v>3298939</v>
      </c>
      <c r="I143" s="205">
        <v>281309</v>
      </c>
      <c r="J143" s="205">
        <v>2465538</v>
      </c>
      <c r="K143" s="32">
        <v>210242</v>
      </c>
      <c r="L143" s="97">
        <f t="shared" si="47"/>
        <v>5764477</v>
      </c>
      <c r="M143" s="97">
        <f t="shared" si="48"/>
        <v>491551</v>
      </c>
      <c r="N143" s="94"/>
      <c r="U143" t="s">
        <v>25</v>
      </c>
      <c r="V143" s="290"/>
      <c r="W143" s="290"/>
      <c r="X143" s="290"/>
      <c r="Y143" s="113"/>
      <c r="Z143" t="s">
        <v>25</v>
      </c>
      <c r="AB143" t="s">
        <v>25</v>
      </c>
      <c r="AI143" s="20">
        <v>123</v>
      </c>
      <c r="AJ143" s="115" t="s">
        <v>4723</v>
      </c>
      <c r="AK143" s="115">
        <v>600000</v>
      </c>
      <c r="AL143" s="20">
        <v>1</v>
      </c>
      <c r="AM143" s="20">
        <f t="shared" si="46"/>
        <v>1050</v>
      </c>
      <c r="AN143" s="115">
        <f t="shared" si="45"/>
        <v>630000000</v>
      </c>
      <c r="AO143" s="20"/>
    </row>
    <row r="144" spans="6:44">
      <c r="G144" s="32" t="s">
        <v>5467</v>
      </c>
      <c r="H144" s="32">
        <v>3453903</v>
      </c>
      <c r="I144" s="205">
        <v>259725</v>
      </c>
      <c r="J144" s="205">
        <v>2541096</v>
      </c>
      <c r="K144" s="32">
        <v>191084</v>
      </c>
      <c r="L144" s="97">
        <f t="shared" si="47"/>
        <v>5994999</v>
      </c>
      <c r="M144" s="97">
        <f t="shared" si="48"/>
        <v>450809</v>
      </c>
      <c r="N144" s="94"/>
      <c r="R144" t="s">
        <v>25</v>
      </c>
      <c r="T144" t="s">
        <v>25</v>
      </c>
      <c r="U144" s="94"/>
      <c r="V144" s="290"/>
      <c r="W144" s="290">
        <f>SUM(W139:W142)</f>
        <v>4238109</v>
      </c>
      <c r="X144" s="290"/>
      <c r="Y144" s="112" t="s">
        <v>25</v>
      </c>
      <c r="Z144" t="s">
        <v>25</v>
      </c>
      <c r="AA144" t="s">
        <v>25</v>
      </c>
      <c r="AI144" s="20">
        <v>124</v>
      </c>
      <c r="AJ144" s="115" t="s">
        <v>4726</v>
      </c>
      <c r="AK144" s="115">
        <v>30000</v>
      </c>
      <c r="AL144" s="20">
        <v>3</v>
      </c>
      <c r="AM144" s="20">
        <f t="shared" si="46"/>
        <v>1049</v>
      </c>
      <c r="AN144" s="115">
        <f t="shared" si="45"/>
        <v>31470000</v>
      </c>
      <c r="AO144" s="20"/>
    </row>
    <row r="145" spans="5:45">
      <c r="G145" s="32" t="s">
        <v>6238</v>
      </c>
      <c r="H145" s="32">
        <v>4796613</v>
      </c>
      <c r="I145" s="205">
        <v>250296</v>
      </c>
      <c r="J145" s="205">
        <v>2687591</v>
      </c>
      <c r="K145" s="32">
        <v>140243</v>
      </c>
      <c r="L145" s="97">
        <f t="shared" si="47"/>
        <v>7484204</v>
      </c>
      <c r="M145" s="97">
        <f t="shared" si="48"/>
        <v>390539</v>
      </c>
      <c r="N145" s="94"/>
      <c r="P145" t="s">
        <v>25</v>
      </c>
      <c r="R145" s="94" t="s">
        <v>25</v>
      </c>
      <c r="S145" s="94"/>
      <c r="T145" s="94" t="s">
        <v>25</v>
      </c>
      <c r="U145" t="s">
        <v>25</v>
      </c>
      <c r="V145" s="290"/>
      <c r="W145" s="290">
        <f>W144-V568</f>
        <v>0</v>
      </c>
      <c r="X145" s="417">
        <f>SUM(X139:X142)</f>
        <v>12913477373</v>
      </c>
      <c r="Y145" s="94"/>
      <c r="Z145" t="s">
        <v>25</v>
      </c>
      <c r="AA145" t="s">
        <v>25</v>
      </c>
      <c r="AC145" t="s">
        <v>25</v>
      </c>
      <c r="AD145" t="s">
        <v>25</v>
      </c>
      <c r="AI145" s="20">
        <v>125</v>
      </c>
      <c r="AJ145" s="115" t="s">
        <v>4732</v>
      </c>
      <c r="AK145" s="115">
        <v>2250000</v>
      </c>
      <c r="AL145" s="20">
        <v>1</v>
      </c>
      <c r="AM145" s="20">
        <f t="shared" si="46"/>
        <v>1046</v>
      </c>
      <c r="AN145" s="115">
        <f>AK145*AM145</f>
        <v>2353500000</v>
      </c>
      <c r="AO145" s="20"/>
      <c r="AS145" t="s">
        <v>25</v>
      </c>
    </row>
    <row r="146" spans="5:45">
      <c r="G146" s="32"/>
      <c r="H146" s="32"/>
      <c r="I146" s="205"/>
      <c r="J146" s="205"/>
      <c r="K146" s="32"/>
      <c r="L146" s="97"/>
      <c r="M146" s="97"/>
      <c r="O146" s="94"/>
      <c r="R146" s="94"/>
      <c r="S146" s="94"/>
      <c r="T146" s="94"/>
      <c r="U146" s="94" t="s">
        <v>25</v>
      </c>
      <c r="V146" s="290"/>
      <c r="W146" s="290" t="s">
        <v>5804</v>
      </c>
      <c r="X146" s="417">
        <f>S157-X142</f>
        <v>102047906.6518634</v>
      </c>
      <c r="Y146" s="94"/>
      <c r="Z146" t="s">
        <v>25</v>
      </c>
      <c r="AA146" t="s">
        <v>25</v>
      </c>
      <c r="AC146" s="94"/>
      <c r="AI146" s="23">
        <v>126</v>
      </c>
      <c r="AJ146" s="35" t="s">
        <v>4737</v>
      </c>
      <c r="AK146" s="35">
        <v>-31412200</v>
      </c>
      <c r="AL146" s="23">
        <v>1</v>
      </c>
      <c r="AM146" s="20">
        <f t="shared" si="46"/>
        <v>1045</v>
      </c>
      <c r="AN146" s="35">
        <f>AK146*AM146</f>
        <v>-32825749000</v>
      </c>
      <c r="AO146" s="23" t="s">
        <v>4725</v>
      </c>
    </row>
    <row r="147" spans="5:45">
      <c r="G147" s="32"/>
      <c r="H147" s="32"/>
      <c r="I147" s="205"/>
      <c r="J147" s="205"/>
      <c r="K147" s="32"/>
      <c r="L147" s="97">
        <f>H147+J147</f>
        <v>0</v>
      </c>
      <c r="M147" s="97">
        <f>I147+K147</f>
        <v>0</v>
      </c>
      <c r="Q147" s="112"/>
      <c r="R147" s="94" t="s">
        <v>25</v>
      </c>
      <c r="S147" s="94"/>
      <c r="T147" s="94"/>
      <c r="U147" s="94" t="s">
        <v>25</v>
      </c>
      <c r="V147" s="290"/>
      <c r="W147" s="290" t="s">
        <v>5803</v>
      </c>
      <c r="X147" s="417">
        <f>X141-X146</f>
        <v>26687437.108584955</v>
      </c>
      <c r="Y147" s="94"/>
      <c r="AA147" t="s">
        <v>25</v>
      </c>
      <c r="AB147" t="s">
        <v>25</v>
      </c>
      <c r="AC147" s="94"/>
      <c r="AI147" s="20">
        <v>127</v>
      </c>
      <c r="AJ147" s="115" t="s">
        <v>4746</v>
      </c>
      <c r="AK147" s="115">
        <v>70000</v>
      </c>
      <c r="AL147" s="20">
        <v>9</v>
      </c>
      <c r="AM147" s="20">
        <f t="shared" si="46"/>
        <v>1044</v>
      </c>
      <c r="AN147" s="115">
        <f>AK147*AM147</f>
        <v>73080000</v>
      </c>
      <c r="AO147" s="20"/>
    </row>
    <row r="148" spans="5:45">
      <c r="N148" s="112"/>
      <c r="R148" s="94" t="s">
        <v>25</v>
      </c>
      <c r="S148" s="94"/>
      <c r="T148" s="94" t="s">
        <v>25</v>
      </c>
      <c r="U148" s="94"/>
      <c r="V148" s="290"/>
      <c r="W148" s="290" t="s">
        <v>4910</v>
      </c>
      <c r="X148" s="417">
        <f>X139+X147-S156</f>
        <v>-44500391.126917839</v>
      </c>
      <c r="Y148" s="94"/>
      <c r="Z148" t="s">
        <v>25</v>
      </c>
      <c r="AC148" t="s">
        <v>25</v>
      </c>
      <c r="AI148" s="97">
        <v>128</v>
      </c>
      <c r="AJ148" s="111" t="s">
        <v>4752</v>
      </c>
      <c r="AK148" s="111">
        <v>20000</v>
      </c>
      <c r="AL148" s="97">
        <v>10</v>
      </c>
      <c r="AM148" s="20">
        <f t="shared" si="46"/>
        <v>1035</v>
      </c>
      <c r="AN148" s="115">
        <f>AK148*AM148</f>
        <v>20700000</v>
      </c>
      <c r="AO148" s="20"/>
      <c r="AQ148" t="s">
        <v>25</v>
      </c>
    </row>
    <row r="149" spans="5:45">
      <c r="P149" t="s">
        <v>25</v>
      </c>
      <c r="R149" s="94"/>
      <c r="S149" s="94"/>
      <c r="T149" s="94"/>
      <c r="U149" s="94"/>
      <c r="V149" s="290"/>
      <c r="W149" s="290"/>
      <c r="X149" s="417"/>
      <c r="Y149" s="113"/>
      <c r="Z149" t="s">
        <v>25</v>
      </c>
      <c r="AI149" s="97">
        <v>129</v>
      </c>
      <c r="AJ149" s="111" t="s">
        <v>4772</v>
      </c>
      <c r="AK149" s="111">
        <v>1000000</v>
      </c>
      <c r="AL149" s="97">
        <v>1</v>
      </c>
      <c r="AM149" s="20">
        <f t="shared" si="46"/>
        <v>1025</v>
      </c>
      <c r="AN149" s="115">
        <f>AK149*AM149</f>
        <v>1025000000</v>
      </c>
      <c r="AO149" s="20"/>
    </row>
    <row r="150" spans="5:45">
      <c r="E150" s="121"/>
      <c r="K150" t="s">
        <v>25</v>
      </c>
      <c r="M150" t="s">
        <v>25</v>
      </c>
      <c r="N150" s="112"/>
      <c r="R150" s="94"/>
      <c r="S150" s="94"/>
      <c r="T150" s="94"/>
      <c r="U150" s="94"/>
      <c r="W150" s="94"/>
      <c r="Z150" t="s">
        <v>25</v>
      </c>
      <c r="AD150" s="112" t="s">
        <v>25</v>
      </c>
      <c r="AE150" s="112"/>
      <c r="AI150" s="97">
        <v>130</v>
      </c>
      <c r="AJ150" s="111" t="s">
        <v>4773</v>
      </c>
      <c r="AK150" s="111">
        <v>65630227</v>
      </c>
      <c r="AL150" s="97">
        <v>0</v>
      </c>
      <c r="AM150" s="20">
        <f t="shared" si="46"/>
        <v>1024</v>
      </c>
      <c r="AN150" s="115">
        <f t="shared" ref="AN150:AN177" si="49">AK150*AM150</f>
        <v>67205352448</v>
      </c>
      <c r="AO150" s="20" t="s">
        <v>4776</v>
      </c>
      <c r="AQ150" t="s">
        <v>25</v>
      </c>
      <c r="AS150" t="s">
        <v>25</v>
      </c>
    </row>
    <row r="151" spans="5:45">
      <c r="G151" s="205" t="s">
        <v>180</v>
      </c>
      <c r="H151" s="205" t="s">
        <v>5448</v>
      </c>
      <c r="I151" t="s">
        <v>5441</v>
      </c>
      <c r="R151" s="94"/>
      <c r="S151" s="94"/>
      <c r="T151" s="94"/>
      <c r="U151" s="94" t="s">
        <v>25</v>
      </c>
      <c r="W151" s="94"/>
      <c r="AD151" s="112"/>
      <c r="AI151" s="97">
        <v>131</v>
      </c>
      <c r="AJ151" s="111" t="s">
        <v>4773</v>
      </c>
      <c r="AK151" s="111">
        <v>-3500000</v>
      </c>
      <c r="AL151" s="97">
        <v>6</v>
      </c>
      <c r="AM151" s="20">
        <f t="shared" si="46"/>
        <v>1024</v>
      </c>
      <c r="AN151" s="115">
        <f t="shared" si="49"/>
        <v>-3584000000</v>
      </c>
      <c r="AO151" s="20" t="s">
        <v>4775</v>
      </c>
    </row>
    <row r="152" spans="5:45">
      <c r="G152" s="205" t="s">
        <v>5415</v>
      </c>
      <c r="H152" s="1">
        <v>30000000</v>
      </c>
      <c r="I152" s="287" t="s">
        <v>5442</v>
      </c>
      <c r="M152" t="s">
        <v>25</v>
      </c>
      <c r="T152" s="94" t="s">
        <v>25</v>
      </c>
      <c r="U152" s="94"/>
      <c r="W152" s="94"/>
      <c r="AD152" s="112"/>
      <c r="AE152" s="112"/>
      <c r="AI152" s="97">
        <v>132</v>
      </c>
      <c r="AJ152" s="111" t="s">
        <v>4785</v>
      </c>
      <c r="AK152" s="111">
        <v>2520000</v>
      </c>
      <c r="AL152" s="97">
        <v>12</v>
      </c>
      <c r="AM152" s="20">
        <f t="shared" si="46"/>
        <v>1018</v>
      </c>
      <c r="AN152" s="115">
        <f t="shared" si="49"/>
        <v>2565360000</v>
      </c>
      <c r="AO152" s="20"/>
    </row>
    <row r="153" spans="5:45">
      <c r="G153" s="205" t="s">
        <v>5416</v>
      </c>
      <c r="H153" s="1">
        <v>550000</v>
      </c>
      <c r="I153" t="s">
        <v>5443</v>
      </c>
      <c r="P153" s="112"/>
      <c r="Q153" s="112"/>
      <c r="R153" s="94"/>
      <c r="S153" s="94"/>
      <c r="T153" s="94"/>
      <c r="U153" s="97" t="s">
        <v>180</v>
      </c>
      <c r="V153" s="97" t="s">
        <v>4430</v>
      </c>
      <c r="W153" s="97" t="s">
        <v>4431</v>
      </c>
      <c r="X153" s="97" t="s">
        <v>4441</v>
      </c>
      <c r="Y153" s="97" t="s">
        <v>8</v>
      </c>
      <c r="Z153" t="s">
        <v>25</v>
      </c>
      <c r="AC153" t="s">
        <v>25</v>
      </c>
      <c r="AD153" t="s">
        <v>25</v>
      </c>
      <c r="AI153" s="97">
        <v>133</v>
      </c>
      <c r="AJ153" s="111" t="s">
        <v>4820</v>
      </c>
      <c r="AK153" s="111">
        <v>1400000</v>
      </c>
      <c r="AL153" s="97">
        <v>4</v>
      </c>
      <c r="AM153" s="20">
        <f t="shared" si="46"/>
        <v>1006</v>
      </c>
      <c r="AN153" s="115">
        <f t="shared" si="49"/>
        <v>1408400000</v>
      </c>
      <c r="AO153" s="20"/>
    </row>
    <row r="154" spans="5:45">
      <c r="G154" s="205" t="s">
        <v>5417</v>
      </c>
      <c r="H154" s="1">
        <v>70370000</v>
      </c>
      <c r="I154" t="s">
        <v>4082</v>
      </c>
      <c r="O154" s="94"/>
      <c r="R154" s="94"/>
      <c r="S154" s="94"/>
      <c r="T154" s="94"/>
      <c r="U154" s="111" t="s">
        <v>4416</v>
      </c>
      <c r="V154" s="54">
        <v>1000000</v>
      </c>
      <c r="W154" s="111">
        <v>239.024</v>
      </c>
      <c r="X154" s="111">
        <f t="shared" ref="X154:X255" si="50">V154*W154</f>
        <v>239024000</v>
      </c>
      <c r="Y154" s="97"/>
      <c r="AA154" t="s">
        <v>25</v>
      </c>
      <c r="AI154" s="97">
        <v>134</v>
      </c>
      <c r="AJ154" s="111" t="s">
        <v>4835</v>
      </c>
      <c r="AK154" s="111">
        <v>1550000</v>
      </c>
      <c r="AL154" s="97">
        <v>2</v>
      </c>
      <c r="AM154" s="20">
        <f t="shared" si="46"/>
        <v>1002</v>
      </c>
      <c r="AN154" s="115">
        <f t="shared" si="49"/>
        <v>1553100000</v>
      </c>
      <c r="AO154" s="20"/>
    </row>
    <row r="155" spans="5:45">
      <c r="G155" s="205" t="s">
        <v>5418</v>
      </c>
      <c r="H155" s="1">
        <v>1215000</v>
      </c>
      <c r="I155" t="s">
        <v>5444</v>
      </c>
      <c r="O155" s="94"/>
      <c r="Q155" s="112"/>
      <c r="R155" s="423" t="s">
        <v>4509</v>
      </c>
      <c r="S155" s="1">
        <f>SUM(N51:N60)</f>
        <v>7798048535</v>
      </c>
      <c r="U155" s="166" t="s">
        <v>4399</v>
      </c>
      <c r="V155" s="54">
        <v>5904</v>
      </c>
      <c r="W155" s="111">
        <v>237.148</v>
      </c>
      <c r="X155" s="111">
        <f t="shared" si="50"/>
        <v>1400121.7919999999</v>
      </c>
      <c r="Y155" s="97" t="s">
        <v>743</v>
      </c>
      <c r="AA155" t="s">
        <v>25</v>
      </c>
      <c r="AC155" t="s">
        <v>25</v>
      </c>
      <c r="AI155" s="97">
        <v>135</v>
      </c>
      <c r="AJ155" s="111" t="s">
        <v>4792</v>
      </c>
      <c r="AK155" s="111">
        <v>250000</v>
      </c>
      <c r="AL155" s="97">
        <v>6</v>
      </c>
      <c r="AM155" s="20">
        <f t="shared" si="46"/>
        <v>1000</v>
      </c>
      <c r="AN155" s="115">
        <f t="shared" si="49"/>
        <v>250000000</v>
      </c>
      <c r="AO155" s="20"/>
    </row>
    <row r="156" spans="5:45">
      <c r="G156" s="205" t="s">
        <v>5419</v>
      </c>
      <c r="H156" s="1">
        <v>15350000</v>
      </c>
      <c r="I156" s="287" t="s">
        <v>5445</v>
      </c>
      <c r="O156" s="94"/>
      <c r="R156" s="32" t="s">
        <v>4408</v>
      </c>
      <c r="S156" s="1">
        <f>SUM(N32:N37)</f>
        <v>4633285041</v>
      </c>
      <c r="U156" s="166" t="s">
        <v>4205</v>
      </c>
      <c r="V156" s="166">
        <v>1000</v>
      </c>
      <c r="W156" s="111">
        <v>247.393</v>
      </c>
      <c r="X156" s="111">
        <f t="shared" si="50"/>
        <v>247393</v>
      </c>
      <c r="Y156" s="97" t="s">
        <v>743</v>
      </c>
      <c r="Z156" t="s">
        <v>25</v>
      </c>
      <c r="AI156" s="97">
        <v>136</v>
      </c>
      <c r="AJ156" s="111" t="s">
        <v>4844</v>
      </c>
      <c r="AK156" s="111">
        <v>-48527480</v>
      </c>
      <c r="AL156" s="97">
        <v>14</v>
      </c>
      <c r="AM156" s="20">
        <f t="shared" si="46"/>
        <v>994</v>
      </c>
      <c r="AN156" s="115">
        <f t="shared" si="49"/>
        <v>-48236315120</v>
      </c>
      <c r="AO156" s="20" t="s">
        <v>4846</v>
      </c>
    </row>
    <row r="157" spans="5:45">
      <c r="G157" s="205" t="s">
        <v>5420</v>
      </c>
      <c r="H157" s="1">
        <v>70000</v>
      </c>
      <c r="I157" t="s">
        <v>5446</v>
      </c>
      <c r="K157" t="s">
        <v>25</v>
      </c>
      <c r="M157" t="s">
        <v>25</v>
      </c>
      <c r="O157" s="94"/>
      <c r="R157" s="32" t="s">
        <v>4409</v>
      </c>
      <c r="S157" s="1">
        <f>SUM(N40:N41)</f>
        <v>481894869</v>
      </c>
      <c r="U157" s="323" t="s">
        <v>4442</v>
      </c>
      <c r="V157" s="323">
        <v>8071</v>
      </c>
      <c r="W157" s="90">
        <v>247.797</v>
      </c>
      <c r="X157" s="90">
        <f t="shared" si="50"/>
        <v>1999969.5870000001</v>
      </c>
      <c r="Y157" s="89" t="s">
        <v>4406</v>
      </c>
      <c r="Z157" t="s">
        <v>25</v>
      </c>
      <c r="AI157" s="97">
        <v>137</v>
      </c>
      <c r="AJ157" s="111" t="s">
        <v>4866</v>
      </c>
      <c r="AK157" s="111">
        <v>2100000</v>
      </c>
      <c r="AL157" s="97">
        <v>1</v>
      </c>
      <c r="AM157" s="20">
        <f t="shared" si="46"/>
        <v>980</v>
      </c>
      <c r="AN157" s="115">
        <f t="shared" si="49"/>
        <v>2058000000</v>
      </c>
      <c r="AO157" s="20"/>
    </row>
    <row r="158" spans="5:45">
      <c r="G158" s="205" t="s">
        <v>5424</v>
      </c>
      <c r="H158" s="1">
        <v>800000</v>
      </c>
      <c r="I158" t="s">
        <v>5447</v>
      </c>
      <c r="O158" s="94"/>
      <c r="P158" s="112"/>
      <c r="R158" s="32" t="s">
        <v>4410</v>
      </c>
      <c r="S158" s="1">
        <f>N50</f>
        <v>78685</v>
      </c>
      <c r="U158" s="166" t="s">
        <v>4442</v>
      </c>
      <c r="V158" s="166">
        <v>53672</v>
      </c>
      <c r="W158" s="111">
        <v>247.797</v>
      </c>
      <c r="X158" s="111">
        <f t="shared" si="50"/>
        <v>13299760.584000001</v>
      </c>
      <c r="Y158" s="97" t="s">
        <v>452</v>
      </c>
      <c r="Z158" t="s">
        <v>25</v>
      </c>
      <c r="AI158" s="97">
        <v>138</v>
      </c>
      <c r="AJ158" s="111" t="s">
        <v>4869</v>
      </c>
      <c r="AK158" s="111">
        <v>100000</v>
      </c>
      <c r="AL158" s="97">
        <v>4</v>
      </c>
      <c r="AM158" s="20">
        <f>AM159+AL158</f>
        <v>979</v>
      </c>
      <c r="AN158" s="115">
        <f t="shared" si="49"/>
        <v>97900000</v>
      </c>
      <c r="AO158" s="20"/>
    </row>
    <row r="159" spans="5:45">
      <c r="G159" s="205" t="s">
        <v>5436</v>
      </c>
      <c r="H159" s="1">
        <v>1948000</v>
      </c>
      <c r="O159" s="94"/>
      <c r="P159" s="112"/>
      <c r="R159" s="32" t="s">
        <v>4411</v>
      </c>
      <c r="S159" s="1">
        <f>N31</f>
        <v>302</v>
      </c>
      <c r="U159" s="323" t="s">
        <v>4450</v>
      </c>
      <c r="V159" s="323">
        <v>4099</v>
      </c>
      <c r="W159" s="90">
        <v>243.93</v>
      </c>
      <c r="X159" s="90">
        <f t="shared" si="50"/>
        <v>999869.07000000007</v>
      </c>
      <c r="Y159" s="89" t="s">
        <v>4406</v>
      </c>
      <c r="AB159" t="s">
        <v>25</v>
      </c>
      <c r="AI159" s="97">
        <v>139</v>
      </c>
      <c r="AJ159" s="111" t="s">
        <v>4874</v>
      </c>
      <c r="AK159" s="111">
        <v>900000</v>
      </c>
      <c r="AL159" s="97">
        <v>0</v>
      </c>
      <c r="AM159" s="20">
        <f t="shared" ref="AM159:AM168" si="51">AM160+AL159</f>
        <v>975</v>
      </c>
      <c r="AN159" s="115">
        <f t="shared" ref="AN159:AN168" si="52">AK159*AM159</f>
        <v>877500000</v>
      </c>
      <c r="AO159" s="20"/>
      <c r="AQ159" t="s">
        <v>25</v>
      </c>
    </row>
    <row r="160" spans="5:45">
      <c r="G160" s="205" t="s">
        <v>5461</v>
      </c>
      <c r="H160" s="1">
        <v>5745697.3157000002</v>
      </c>
      <c r="P160" s="112"/>
      <c r="Q160" s="112"/>
      <c r="R160" s="32" t="s">
        <v>4412</v>
      </c>
      <c r="S160" s="1">
        <f>N39</f>
        <v>169</v>
      </c>
      <c r="U160" s="166" t="s">
        <v>4450</v>
      </c>
      <c r="V160" s="166">
        <v>9301</v>
      </c>
      <c r="W160" s="111">
        <v>243.93</v>
      </c>
      <c r="X160" s="111">
        <f t="shared" si="50"/>
        <v>2268792.9300000002</v>
      </c>
      <c r="Y160" s="97" t="s">
        <v>452</v>
      </c>
      <c r="AA160" t="s">
        <v>25</v>
      </c>
      <c r="AI160" s="97">
        <v>140</v>
      </c>
      <c r="AJ160" s="111" t="s">
        <v>4874</v>
      </c>
      <c r="AK160" s="111">
        <v>1100000</v>
      </c>
      <c r="AL160" s="97">
        <v>0</v>
      </c>
      <c r="AM160" s="20">
        <f t="shared" si="51"/>
        <v>975</v>
      </c>
      <c r="AN160" s="115">
        <f t="shared" si="52"/>
        <v>1072500000</v>
      </c>
      <c r="AO160" s="20" t="s">
        <v>4888</v>
      </c>
      <c r="AR160" t="s">
        <v>25</v>
      </c>
    </row>
    <row r="161" spans="7:44">
      <c r="G161" s="205" t="s">
        <v>5462</v>
      </c>
      <c r="H161" s="1">
        <v>908158.17935999995</v>
      </c>
      <c r="P161" s="112"/>
      <c r="Q161" s="112"/>
      <c r="R161" s="32" t="s">
        <v>5041</v>
      </c>
      <c r="S161" s="1">
        <v>0</v>
      </c>
      <c r="T161" t="s">
        <v>25</v>
      </c>
      <c r="U161" s="323" t="s">
        <v>4454</v>
      </c>
      <c r="V161" s="323">
        <v>8334</v>
      </c>
      <c r="W161" s="90">
        <v>239.97</v>
      </c>
      <c r="X161" s="90">
        <f t="shared" si="50"/>
        <v>1999909.98</v>
      </c>
      <c r="Y161" s="89" t="s">
        <v>4406</v>
      </c>
      <c r="AI161" s="97">
        <v>141</v>
      </c>
      <c r="AJ161" s="111" t="s">
        <v>4874</v>
      </c>
      <c r="AK161" s="111">
        <v>115000</v>
      </c>
      <c r="AL161" s="97"/>
      <c r="AM161" s="20">
        <f t="shared" si="51"/>
        <v>975</v>
      </c>
      <c r="AN161" s="115">
        <f t="shared" si="52"/>
        <v>112125000</v>
      </c>
      <c r="AO161" s="20"/>
      <c r="AR161" t="s">
        <v>25</v>
      </c>
    </row>
    <row r="162" spans="7:44">
      <c r="G162" s="205" t="s">
        <v>5463</v>
      </c>
      <c r="H162" s="1">
        <v>12642697.648548001</v>
      </c>
      <c r="P162" s="112"/>
      <c r="Q162" s="112"/>
      <c r="R162" s="32" t="s">
        <v>6971</v>
      </c>
      <c r="S162" s="1">
        <v>-24087</v>
      </c>
      <c r="U162" s="166" t="s">
        <v>4204</v>
      </c>
      <c r="V162" s="166">
        <v>29041</v>
      </c>
      <c r="W162" s="111">
        <v>233.45</v>
      </c>
      <c r="X162" s="111">
        <f t="shared" si="50"/>
        <v>6779621.4499999993</v>
      </c>
      <c r="Y162" s="97" t="s">
        <v>743</v>
      </c>
      <c r="Z162" s="120" t="s">
        <v>25</v>
      </c>
      <c r="AI162" s="97">
        <v>142</v>
      </c>
      <c r="AJ162" s="111" t="s">
        <v>4882</v>
      </c>
      <c r="AK162" s="111">
        <v>-1100000</v>
      </c>
      <c r="AL162" s="97"/>
      <c r="AM162" s="20">
        <f t="shared" si="51"/>
        <v>975</v>
      </c>
      <c r="AN162" s="115">
        <f t="shared" si="52"/>
        <v>-1072500000</v>
      </c>
      <c r="AO162" s="20" t="s">
        <v>4889</v>
      </c>
      <c r="AR162" t="s">
        <v>25</v>
      </c>
    </row>
    <row r="163" spans="7:44">
      <c r="G163" s="205" t="s">
        <v>5464</v>
      </c>
      <c r="H163" s="1">
        <v>12297318</v>
      </c>
      <c r="I163" t="s">
        <v>25</v>
      </c>
      <c r="P163" s="112"/>
      <c r="Q163" s="112"/>
      <c r="R163" s="32" t="s">
        <v>6988</v>
      </c>
      <c r="S163" s="1">
        <f>17667*P52</f>
        <v>10193859</v>
      </c>
      <c r="T163" s="421"/>
      <c r="U163" s="323" t="s">
        <v>977</v>
      </c>
      <c r="V163" s="323">
        <v>12337</v>
      </c>
      <c r="W163" s="90">
        <v>243.16300000000001</v>
      </c>
      <c r="X163" s="90">
        <f t="shared" si="50"/>
        <v>2999901.9310000003</v>
      </c>
      <c r="Y163" s="89" t="s">
        <v>4406</v>
      </c>
      <c r="AI163" s="97">
        <v>143</v>
      </c>
      <c r="AJ163" s="111" t="s">
        <v>4882</v>
      </c>
      <c r="AK163" s="111">
        <v>900000</v>
      </c>
      <c r="AL163" s="97">
        <v>1</v>
      </c>
      <c r="AM163" s="20">
        <f t="shared" si="51"/>
        <v>975</v>
      </c>
      <c r="AN163" s="115">
        <f t="shared" si="52"/>
        <v>877500000</v>
      </c>
      <c r="AO163" s="20" t="s">
        <v>4888</v>
      </c>
    </row>
    <row r="164" spans="7:44">
      <c r="G164" s="205" t="s">
        <v>5465</v>
      </c>
      <c r="H164" s="1">
        <v>8959644</v>
      </c>
      <c r="P164" s="112"/>
      <c r="Q164" s="112"/>
      <c r="R164" s="32" t="s">
        <v>6987</v>
      </c>
      <c r="S164" s="1">
        <v>-10000000</v>
      </c>
      <c r="T164" s="421"/>
      <c r="U164" s="166" t="s">
        <v>4527</v>
      </c>
      <c r="V164" s="166">
        <v>-16118</v>
      </c>
      <c r="W164" s="111">
        <v>248.17</v>
      </c>
      <c r="X164" s="111">
        <f t="shared" si="50"/>
        <v>-4000004.0599999996</v>
      </c>
      <c r="Y164" s="97" t="s">
        <v>743</v>
      </c>
      <c r="Z164" t="s">
        <v>25</v>
      </c>
      <c r="AI164" s="97">
        <v>144</v>
      </c>
      <c r="AJ164" s="111" t="s">
        <v>4886</v>
      </c>
      <c r="AK164" s="111">
        <v>2000000</v>
      </c>
      <c r="AL164" s="97">
        <v>0</v>
      </c>
      <c r="AM164" s="20">
        <f t="shared" si="51"/>
        <v>974</v>
      </c>
      <c r="AN164" s="115">
        <f t="shared" si="52"/>
        <v>1948000000</v>
      </c>
      <c r="AO164" s="20"/>
    </row>
    <row r="165" spans="7:44">
      <c r="G165" s="205" t="s">
        <v>5466</v>
      </c>
      <c r="H165" s="111">
        <v>15154095.839328</v>
      </c>
      <c r="P165" s="112"/>
      <c r="Q165" s="112"/>
      <c r="R165" s="423"/>
      <c r="S165" s="1"/>
      <c r="T165" s="113" t="s">
        <v>25</v>
      </c>
      <c r="U165" s="166" t="s">
        <v>4548</v>
      </c>
      <c r="V165" s="166">
        <v>101681</v>
      </c>
      <c r="W165" s="111">
        <v>246.5711</v>
      </c>
      <c r="X165" s="111">
        <f t="shared" si="50"/>
        <v>25071596.019099999</v>
      </c>
      <c r="Y165" s="97" t="s">
        <v>452</v>
      </c>
      <c r="AI165" s="97">
        <v>145</v>
      </c>
      <c r="AJ165" s="111" t="s">
        <v>4886</v>
      </c>
      <c r="AK165" s="111">
        <v>360000</v>
      </c>
      <c r="AL165" s="97">
        <v>1</v>
      </c>
      <c r="AM165" s="20">
        <f t="shared" si="51"/>
        <v>974</v>
      </c>
      <c r="AN165" s="115">
        <f t="shared" si="52"/>
        <v>350640000</v>
      </c>
      <c r="AO165" s="20"/>
    </row>
    <row r="166" spans="7:44">
      <c r="G166" s="205" t="s">
        <v>5471</v>
      </c>
      <c r="H166" s="111">
        <v>4108143</v>
      </c>
      <c r="O166" s="94" t="s">
        <v>25</v>
      </c>
      <c r="P166" s="112"/>
      <c r="Q166" s="112"/>
      <c r="R166" s="32"/>
      <c r="S166" s="1"/>
      <c r="T166" s="120" t="s">
        <v>25</v>
      </c>
      <c r="U166" s="166" t="s">
        <v>4552</v>
      </c>
      <c r="V166" s="166">
        <v>66606</v>
      </c>
      <c r="W166" s="111">
        <v>251.131</v>
      </c>
      <c r="X166" s="111">
        <f t="shared" si="50"/>
        <v>16726831.386</v>
      </c>
      <c r="Y166" s="97" t="s">
        <v>743</v>
      </c>
      <c r="AI166" s="97">
        <v>146</v>
      </c>
      <c r="AJ166" s="111" t="s">
        <v>4887</v>
      </c>
      <c r="AK166" s="111">
        <v>3000000</v>
      </c>
      <c r="AL166" s="97">
        <v>1</v>
      </c>
      <c r="AM166" s="20">
        <f t="shared" si="51"/>
        <v>973</v>
      </c>
      <c r="AN166" s="115">
        <f t="shared" si="52"/>
        <v>2919000000</v>
      </c>
      <c r="AO166" s="20"/>
    </row>
    <row r="167" spans="7:44">
      <c r="G167" s="205" t="s">
        <v>5473</v>
      </c>
      <c r="H167" s="111">
        <v>6000000</v>
      </c>
      <c r="O167" s="94"/>
      <c r="P167" s="112"/>
      <c r="Q167" s="112"/>
      <c r="R167" s="32" t="s">
        <v>5042</v>
      </c>
      <c r="S167" s="1">
        <v>0</v>
      </c>
      <c r="T167" s="120"/>
      <c r="U167" s="166" t="s">
        <v>4557</v>
      </c>
      <c r="V167" s="166">
        <v>172025</v>
      </c>
      <c r="W167" s="111">
        <v>245.52809999999999</v>
      </c>
      <c r="X167" s="111">
        <f t="shared" si="50"/>
        <v>42236971.402499996</v>
      </c>
      <c r="Y167" s="97" t="s">
        <v>452</v>
      </c>
      <c r="AI167" s="97">
        <v>147</v>
      </c>
      <c r="AJ167" s="111" t="s">
        <v>4885</v>
      </c>
      <c r="AK167" s="111">
        <v>-658226</v>
      </c>
      <c r="AL167" s="97">
        <v>1</v>
      </c>
      <c r="AM167" s="20">
        <f t="shared" si="51"/>
        <v>972</v>
      </c>
      <c r="AN167" s="115">
        <f t="shared" si="52"/>
        <v>-639795672</v>
      </c>
      <c r="AO167" s="20"/>
    </row>
    <row r="168" spans="7:44">
      <c r="G168" s="205" t="s">
        <v>5477</v>
      </c>
      <c r="H168" s="111">
        <v>8301786</v>
      </c>
      <c r="I168" t="s">
        <v>25</v>
      </c>
      <c r="O168" s="94"/>
      <c r="P168" s="112"/>
      <c r="Q168" s="112"/>
      <c r="R168" s="32"/>
      <c r="S168" s="1"/>
      <c r="T168" s="113"/>
      <c r="U168" s="166" t="s">
        <v>4557</v>
      </c>
      <c r="V168" s="166">
        <v>189227</v>
      </c>
      <c r="W168" s="111">
        <v>245.52809999999999</v>
      </c>
      <c r="X168" s="111">
        <f t="shared" si="50"/>
        <v>46460545.778700002</v>
      </c>
      <c r="Y168" s="97" t="s">
        <v>743</v>
      </c>
      <c r="AI168" s="97">
        <v>148</v>
      </c>
      <c r="AJ168" s="111" t="s">
        <v>4890</v>
      </c>
      <c r="AK168" s="111">
        <v>1000000</v>
      </c>
      <c r="AL168" s="97">
        <v>15</v>
      </c>
      <c r="AM168" s="20">
        <f t="shared" si="51"/>
        <v>971</v>
      </c>
      <c r="AN168" s="115">
        <f t="shared" si="52"/>
        <v>971000000</v>
      </c>
      <c r="AO168" s="20"/>
      <c r="AQ168" t="s">
        <v>25</v>
      </c>
    </row>
    <row r="169" spans="7:44">
      <c r="G169" s="205" t="s">
        <v>5481</v>
      </c>
      <c r="H169" s="111">
        <v>50725508.571864001</v>
      </c>
      <c r="O169" s="94"/>
      <c r="P169" s="112"/>
      <c r="Q169" s="112"/>
      <c r="R169" s="32"/>
      <c r="S169" s="1"/>
      <c r="T169" s="113"/>
      <c r="U169" s="166" t="s">
        <v>4558</v>
      </c>
      <c r="V169" s="166">
        <v>79720</v>
      </c>
      <c r="W169" s="111">
        <v>246.6568</v>
      </c>
      <c r="X169" s="111">
        <f t="shared" si="50"/>
        <v>19663480.096000001</v>
      </c>
      <c r="Y169" s="97" t="s">
        <v>452</v>
      </c>
      <c r="Z169" s="8" t="s">
        <v>25</v>
      </c>
      <c r="AA169" t="s">
        <v>25</v>
      </c>
      <c r="AI169" s="97">
        <v>149</v>
      </c>
      <c r="AJ169" s="111" t="s">
        <v>4915</v>
      </c>
      <c r="AK169" s="111">
        <v>1130250</v>
      </c>
      <c r="AL169" s="97">
        <v>5</v>
      </c>
      <c r="AM169" s="20">
        <f t="shared" si="46"/>
        <v>956</v>
      </c>
      <c r="AN169" s="115">
        <f t="shared" si="49"/>
        <v>1080519000</v>
      </c>
      <c r="AO169" s="20"/>
    </row>
    <row r="170" spans="7:44">
      <c r="G170" s="205" t="s">
        <v>5482</v>
      </c>
      <c r="H170" s="111">
        <v>2281961.458596</v>
      </c>
      <c r="O170" s="94"/>
      <c r="P170" s="112"/>
      <c r="Q170" s="112"/>
      <c r="R170" s="32" t="s">
        <v>4415</v>
      </c>
      <c r="S170" s="1">
        <f>SUM(S155:S169)</f>
        <v>12913477373</v>
      </c>
      <c r="U170" s="166" t="s">
        <v>4558</v>
      </c>
      <c r="V170" s="166">
        <v>79720</v>
      </c>
      <c r="W170" s="111">
        <v>246.6568</v>
      </c>
      <c r="X170" s="111">
        <f t="shared" si="50"/>
        <v>19663480.096000001</v>
      </c>
      <c r="Y170" s="97" t="s">
        <v>743</v>
      </c>
      <c r="AF170" s="94" t="s">
        <v>25</v>
      </c>
      <c r="AI170" s="97">
        <v>150</v>
      </c>
      <c r="AJ170" s="111" t="s">
        <v>4923</v>
      </c>
      <c r="AK170" s="111">
        <v>206000</v>
      </c>
      <c r="AL170" s="97">
        <v>2</v>
      </c>
      <c r="AM170" s="20">
        <f t="shared" si="46"/>
        <v>951</v>
      </c>
      <c r="AN170" s="115">
        <f t="shared" si="49"/>
        <v>195906000</v>
      </c>
      <c r="AO170" s="20"/>
    </row>
    <row r="171" spans="7:44">
      <c r="G171" s="205" t="s">
        <v>5489</v>
      </c>
      <c r="H171" s="111">
        <v>10998285</v>
      </c>
      <c r="O171" s="94"/>
      <c r="P171" s="112"/>
      <c r="Q171" s="112"/>
      <c r="R171" s="94"/>
      <c r="U171" s="166" t="s">
        <v>4579</v>
      </c>
      <c r="V171" s="166">
        <v>17769</v>
      </c>
      <c r="W171" s="111">
        <v>246.17877999999999</v>
      </c>
      <c r="X171" s="111">
        <f t="shared" si="50"/>
        <v>4374350.7418200001</v>
      </c>
      <c r="Y171" s="97" t="s">
        <v>743</v>
      </c>
      <c r="AI171" s="97">
        <v>151</v>
      </c>
      <c r="AJ171" s="111" t="s">
        <v>4930</v>
      </c>
      <c r="AK171" s="111">
        <v>50000</v>
      </c>
      <c r="AL171" s="97">
        <v>2</v>
      </c>
      <c r="AM171" s="20">
        <f t="shared" si="46"/>
        <v>949</v>
      </c>
      <c r="AN171" s="115">
        <f t="shared" si="49"/>
        <v>47450000</v>
      </c>
      <c r="AO171" s="20"/>
    </row>
    <row r="172" spans="7:44">
      <c r="G172" s="205" t="s">
        <v>5490</v>
      </c>
      <c r="H172" s="111">
        <v>983018.96187300002</v>
      </c>
      <c r="O172" s="94"/>
      <c r="P172" s="112"/>
      <c r="Q172" s="112"/>
      <c r="U172" s="166" t="s">
        <v>4579</v>
      </c>
      <c r="V172" s="166">
        <v>17769</v>
      </c>
      <c r="W172" s="111">
        <v>246.17877999999999</v>
      </c>
      <c r="X172" s="111">
        <f t="shared" si="50"/>
        <v>4374350.7418200001</v>
      </c>
      <c r="Y172" s="97" t="s">
        <v>452</v>
      </c>
      <c r="AI172" s="97">
        <v>152</v>
      </c>
      <c r="AJ172" s="111" t="s">
        <v>4934</v>
      </c>
      <c r="AK172" s="111">
        <v>105000</v>
      </c>
      <c r="AL172" s="97">
        <v>4</v>
      </c>
      <c r="AM172" s="20">
        <f t="shared" si="46"/>
        <v>947</v>
      </c>
      <c r="AN172" s="115">
        <f t="shared" si="49"/>
        <v>99435000</v>
      </c>
      <c r="AO172" s="20"/>
    </row>
    <row r="173" spans="7:44">
      <c r="G173" s="205" t="s">
        <v>5492</v>
      </c>
      <c r="H173" s="111">
        <v>17049271.032000002</v>
      </c>
      <c r="I173" s="94"/>
      <c r="P173" s="112"/>
      <c r="Q173" s="112"/>
      <c r="R173" s="205" t="s">
        <v>8</v>
      </c>
      <c r="S173" s="205" t="s">
        <v>4406</v>
      </c>
      <c r="T173" s="205"/>
      <c r="U173" s="323" t="s">
        <v>4581</v>
      </c>
      <c r="V173" s="323">
        <v>12438</v>
      </c>
      <c r="W173" s="90">
        <v>241.20465999999999</v>
      </c>
      <c r="X173" s="90">
        <f t="shared" si="50"/>
        <v>3000103.5610799999</v>
      </c>
      <c r="Y173" s="89" t="s">
        <v>4406</v>
      </c>
      <c r="AI173" s="97">
        <v>153</v>
      </c>
      <c r="AJ173" s="111" t="s">
        <v>4938</v>
      </c>
      <c r="AK173" s="111">
        <v>5000000</v>
      </c>
      <c r="AL173" s="97">
        <v>1</v>
      </c>
      <c r="AM173" s="20">
        <f t="shared" si="46"/>
        <v>943</v>
      </c>
      <c r="AN173" s="115">
        <f t="shared" si="49"/>
        <v>4715000000</v>
      </c>
      <c r="AO173" s="20"/>
    </row>
    <row r="174" spans="7:44">
      <c r="G174" s="205" t="s">
        <v>5495</v>
      </c>
      <c r="H174" s="111">
        <v>6829998</v>
      </c>
      <c r="I174" s="94"/>
      <c r="P174" s="112"/>
      <c r="Q174" s="112"/>
      <c r="R174" s="205"/>
      <c r="S174" s="71" t="s">
        <v>180</v>
      </c>
      <c r="T174" s="205" t="s">
        <v>267</v>
      </c>
      <c r="U174" s="166" t="s">
        <v>4590</v>
      </c>
      <c r="V174" s="166">
        <v>27363</v>
      </c>
      <c r="W174" s="111">
        <v>239.3886</v>
      </c>
      <c r="X174" s="111">
        <f t="shared" si="50"/>
        <v>6550390.2617999995</v>
      </c>
      <c r="Y174" s="97" t="s">
        <v>743</v>
      </c>
      <c r="AI174" s="97">
        <v>154</v>
      </c>
      <c r="AJ174" s="111" t="s">
        <v>4939</v>
      </c>
      <c r="AK174" s="111">
        <v>2500000</v>
      </c>
      <c r="AL174" s="97">
        <v>2</v>
      </c>
      <c r="AM174" s="20">
        <f t="shared" si="46"/>
        <v>942</v>
      </c>
      <c r="AN174" s="115">
        <f t="shared" si="49"/>
        <v>2355000000</v>
      </c>
      <c r="AO174" s="20"/>
    </row>
    <row r="175" spans="7:44">
      <c r="G175" s="205" t="s">
        <v>4209</v>
      </c>
      <c r="H175" s="111">
        <v>6982608.8207999999</v>
      </c>
      <c r="I175" s="94"/>
      <c r="O175" s="112"/>
      <c r="P175" s="112"/>
      <c r="Q175" s="112"/>
      <c r="R175" s="205"/>
      <c r="S175" s="205" t="s">
        <v>4399</v>
      </c>
      <c r="T175" s="111">
        <v>3000000</v>
      </c>
      <c r="U175" s="166" t="s">
        <v>4590</v>
      </c>
      <c r="V175" s="166">
        <v>27363</v>
      </c>
      <c r="W175" s="111">
        <v>239.3886</v>
      </c>
      <c r="X175" s="111">
        <f t="shared" si="50"/>
        <v>6550390.2617999995</v>
      </c>
      <c r="Y175" s="97" t="s">
        <v>452</v>
      </c>
      <c r="AI175" s="247">
        <v>155</v>
      </c>
      <c r="AJ175" s="243" t="s">
        <v>4945</v>
      </c>
      <c r="AK175" s="243">
        <v>-50000000</v>
      </c>
      <c r="AL175" s="247">
        <v>7</v>
      </c>
      <c r="AM175" s="247">
        <f t="shared" si="46"/>
        <v>940</v>
      </c>
      <c r="AN175" s="243">
        <f t="shared" si="49"/>
        <v>-47000000000</v>
      </c>
      <c r="AO175" s="247" t="s">
        <v>4953</v>
      </c>
    </row>
    <row r="176" spans="7:44">
      <c r="G176" s="205" t="s">
        <v>5515</v>
      </c>
      <c r="H176" s="111">
        <v>7510131.0216000006</v>
      </c>
      <c r="I176" s="94"/>
      <c r="O176" s="112"/>
      <c r="P176" s="112"/>
      <c r="Q176" s="112"/>
      <c r="R176" s="205"/>
      <c r="S176" s="205" t="s">
        <v>4442</v>
      </c>
      <c r="T176" s="111">
        <v>2000000</v>
      </c>
      <c r="U176" s="203" t="s">
        <v>4592</v>
      </c>
      <c r="V176" s="203">
        <v>27437</v>
      </c>
      <c r="W176" s="111">
        <v>242.4015</v>
      </c>
      <c r="X176" s="111">
        <f t="shared" si="50"/>
        <v>6650769.9555000002</v>
      </c>
      <c r="Y176" s="97" t="s">
        <v>743</v>
      </c>
      <c r="AI176" s="97">
        <v>156</v>
      </c>
      <c r="AJ176" s="111" t="s">
        <v>4951</v>
      </c>
      <c r="AK176" s="111">
        <v>10000000</v>
      </c>
      <c r="AL176" s="97">
        <v>12</v>
      </c>
      <c r="AM176" s="20">
        <f t="shared" si="46"/>
        <v>933</v>
      </c>
      <c r="AN176" s="115">
        <f t="shared" si="49"/>
        <v>9330000000</v>
      </c>
      <c r="AO176" s="20" t="s">
        <v>4668</v>
      </c>
    </row>
    <row r="177" spans="5:44">
      <c r="G177" s="205" t="s">
        <v>5521</v>
      </c>
      <c r="H177" s="111">
        <v>10397191</v>
      </c>
      <c r="J177" t="s">
        <v>25</v>
      </c>
      <c r="O177" s="112"/>
      <c r="P177" s="112"/>
      <c r="Q177" s="112"/>
      <c r="R177" s="205"/>
      <c r="S177" s="205" t="s">
        <v>4450</v>
      </c>
      <c r="T177" s="111">
        <v>1000000</v>
      </c>
      <c r="U177" s="203" t="s">
        <v>4592</v>
      </c>
      <c r="V177" s="203">
        <v>29104</v>
      </c>
      <c r="W177" s="111">
        <v>242.4015</v>
      </c>
      <c r="X177" s="111">
        <f t="shared" si="50"/>
        <v>7054853.2560000001</v>
      </c>
      <c r="Y177" s="97" t="s">
        <v>452</v>
      </c>
      <c r="AI177" s="97">
        <v>157</v>
      </c>
      <c r="AJ177" s="111" t="s">
        <v>4958</v>
      </c>
      <c r="AK177" s="111">
        <v>-16266000</v>
      </c>
      <c r="AL177" s="97">
        <v>1</v>
      </c>
      <c r="AM177" s="20">
        <f t="shared" si="46"/>
        <v>921</v>
      </c>
      <c r="AN177" s="115">
        <f t="shared" si="49"/>
        <v>-14980986000</v>
      </c>
      <c r="AO177" s="20" t="s">
        <v>4966</v>
      </c>
      <c r="AR177" t="s">
        <v>25</v>
      </c>
    </row>
    <row r="178" spans="5:44">
      <c r="G178" s="205" t="s">
        <v>5530</v>
      </c>
      <c r="H178" s="111">
        <v>195059.35799999998</v>
      </c>
      <c r="J178" t="s">
        <v>25</v>
      </c>
      <c r="P178" s="112"/>
      <c r="Q178" s="112"/>
      <c r="R178" s="205"/>
      <c r="S178" s="205" t="s">
        <v>4454</v>
      </c>
      <c r="T178" s="111">
        <v>2000000</v>
      </c>
      <c r="U178" s="205" t="s">
        <v>4605</v>
      </c>
      <c r="V178" s="205">
        <v>8991</v>
      </c>
      <c r="W178" s="111">
        <v>238.64867000000001</v>
      </c>
      <c r="X178" s="111">
        <f t="shared" si="50"/>
        <v>2145690.19197</v>
      </c>
      <c r="Y178" s="97" t="s">
        <v>743</v>
      </c>
      <c r="AI178" s="97">
        <v>158</v>
      </c>
      <c r="AJ178" s="111" t="s">
        <v>4967</v>
      </c>
      <c r="AK178" s="111">
        <v>1000000</v>
      </c>
      <c r="AL178" s="97">
        <v>6</v>
      </c>
      <c r="AM178" s="20">
        <f>AM179+AL178</f>
        <v>920</v>
      </c>
      <c r="AN178" s="115">
        <f>AK178*AM178</f>
        <v>920000000</v>
      </c>
      <c r="AO178" s="20"/>
    </row>
    <row r="179" spans="5:44">
      <c r="G179" s="205" t="s">
        <v>5535</v>
      </c>
      <c r="H179" s="111">
        <v>744082</v>
      </c>
      <c r="O179" s="112"/>
      <c r="P179" s="112"/>
      <c r="Q179" s="112"/>
      <c r="R179" s="205"/>
      <c r="S179" s="205" t="s">
        <v>977</v>
      </c>
      <c r="T179" s="111">
        <v>3000000</v>
      </c>
      <c r="U179" s="205" t="s">
        <v>4605</v>
      </c>
      <c r="V179" s="205">
        <v>8991</v>
      </c>
      <c r="W179" s="111">
        <v>238.64867000000001</v>
      </c>
      <c r="X179" s="111">
        <f t="shared" si="50"/>
        <v>2145690.19197</v>
      </c>
      <c r="Y179" s="97" t="s">
        <v>452</v>
      </c>
      <c r="AI179" s="97">
        <v>159</v>
      </c>
      <c r="AJ179" s="111" t="s">
        <v>4975</v>
      </c>
      <c r="AK179" s="111">
        <v>40000</v>
      </c>
      <c r="AL179" s="97">
        <v>5</v>
      </c>
      <c r="AM179" s="20">
        <f>AM180+AL179</f>
        <v>914</v>
      </c>
      <c r="AN179" s="115">
        <f>AK179*AM179</f>
        <v>36560000</v>
      </c>
      <c r="AO179" s="20"/>
    </row>
    <row r="180" spans="5:44">
      <c r="G180" s="205" t="s">
        <v>5537</v>
      </c>
      <c r="H180" s="111">
        <v>920308.446</v>
      </c>
      <c r="K180" t="s">
        <v>25</v>
      </c>
      <c r="O180" s="112"/>
      <c r="P180" s="112"/>
      <c r="Q180" s="112"/>
      <c r="R180" s="205"/>
      <c r="S180" s="205" t="s">
        <v>4581</v>
      </c>
      <c r="T180" s="111">
        <v>3000000</v>
      </c>
      <c r="U180" s="205" t="s">
        <v>4616</v>
      </c>
      <c r="V180" s="205">
        <v>18170</v>
      </c>
      <c r="W180" s="111">
        <v>240.48475999999999</v>
      </c>
      <c r="X180" s="111">
        <f t="shared" si="50"/>
        <v>4369608.0892000003</v>
      </c>
      <c r="Y180" s="97" t="s">
        <v>743</v>
      </c>
      <c r="AI180" s="97">
        <v>160</v>
      </c>
      <c r="AJ180" s="111" t="s">
        <v>4983</v>
      </c>
      <c r="AK180" s="111">
        <v>120000</v>
      </c>
      <c r="AL180" s="97">
        <v>6</v>
      </c>
      <c r="AM180" s="20">
        <f>AM181+AL180</f>
        <v>909</v>
      </c>
      <c r="AN180" s="115">
        <f>AK180*AM180</f>
        <v>109080000</v>
      </c>
      <c r="AO180" s="20"/>
    </row>
    <row r="181" spans="5:44">
      <c r="G181" s="205" t="s">
        <v>5538</v>
      </c>
      <c r="H181" s="111">
        <v>4635809.8416840006</v>
      </c>
      <c r="J181" t="s">
        <v>25</v>
      </c>
      <c r="P181" s="112"/>
      <c r="Q181" s="112"/>
      <c r="R181" s="205" t="s">
        <v>4742</v>
      </c>
      <c r="S181" s="205" t="s">
        <v>4737</v>
      </c>
      <c r="T181" s="111">
        <v>-800000</v>
      </c>
      <c r="U181" s="205" t="s">
        <v>4616</v>
      </c>
      <c r="V181" s="205">
        <v>18170</v>
      </c>
      <c r="W181" s="111">
        <v>240.48475999999999</v>
      </c>
      <c r="X181" s="111">
        <f t="shared" si="50"/>
        <v>4369608.0892000003</v>
      </c>
      <c r="Y181" s="97" t="s">
        <v>452</v>
      </c>
      <c r="AI181" s="97">
        <v>161</v>
      </c>
      <c r="AJ181" s="111" t="s">
        <v>4980</v>
      </c>
      <c r="AK181" s="111">
        <v>249000</v>
      </c>
      <c r="AL181" s="97">
        <v>9</v>
      </c>
      <c r="AM181" s="20">
        <f>AM182+AL181</f>
        <v>903</v>
      </c>
      <c r="AN181" s="115">
        <f>AK181*AM181</f>
        <v>224847000</v>
      </c>
      <c r="AO181" s="20"/>
    </row>
    <row r="182" spans="5:44">
      <c r="E182" t="s">
        <v>25</v>
      </c>
      <c r="G182" s="205" t="s">
        <v>5567</v>
      </c>
      <c r="H182" s="111">
        <v>58508002.009000003</v>
      </c>
      <c r="J182" t="s">
        <v>25</v>
      </c>
      <c r="Q182" s="112"/>
      <c r="R182" s="205" t="s">
        <v>4743</v>
      </c>
      <c r="S182" s="205" t="s">
        <v>4737</v>
      </c>
      <c r="T182" s="111">
        <v>-900000</v>
      </c>
      <c r="U182" s="205" t="s">
        <v>4618</v>
      </c>
      <c r="V182" s="205">
        <v>36797</v>
      </c>
      <c r="W182" s="111">
        <v>239.0822</v>
      </c>
      <c r="X182" s="111">
        <f t="shared" si="50"/>
        <v>8797507.7134000007</v>
      </c>
      <c r="Y182" s="97" t="s">
        <v>743</v>
      </c>
      <c r="AI182" s="97">
        <v>162</v>
      </c>
      <c r="AJ182" s="111" t="s">
        <v>5005</v>
      </c>
      <c r="AK182" s="111">
        <v>65000</v>
      </c>
      <c r="AL182" s="97">
        <v>7</v>
      </c>
      <c r="AM182" s="20">
        <f>AM183+AL182</f>
        <v>894</v>
      </c>
      <c r="AN182" s="115">
        <f>AK182*AM182</f>
        <v>58110000</v>
      </c>
      <c r="AO182" s="20"/>
    </row>
    <row r="183" spans="5:44">
      <c r="G183" s="205" t="s">
        <v>5569</v>
      </c>
      <c r="H183" s="111">
        <v>2245515.5410799999</v>
      </c>
      <c r="P183" s="112"/>
      <c r="Q183" s="112"/>
      <c r="R183" s="205" t="s">
        <v>4743</v>
      </c>
      <c r="S183" s="205" t="s">
        <v>964</v>
      </c>
      <c r="T183" s="111">
        <v>-1100000</v>
      </c>
      <c r="U183" s="205" t="s">
        <v>4618</v>
      </c>
      <c r="V183" s="205">
        <v>36797</v>
      </c>
      <c r="W183" s="111">
        <v>239.0822</v>
      </c>
      <c r="X183" s="111">
        <f t="shared" si="50"/>
        <v>8797507.7134000007</v>
      </c>
      <c r="Y183" s="97" t="s">
        <v>452</v>
      </c>
      <c r="AA183" t="s">
        <v>25</v>
      </c>
      <c r="AI183" s="97">
        <v>163</v>
      </c>
      <c r="AJ183" s="111" t="s">
        <v>5014</v>
      </c>
      <c r="AK183" s="111">
        <v>-312598</v>
      </c>
      <c r="AL183" s="97">
        <v>0</v>
      </c>
      <c r="AM183" s="20">
        <f t="shared" ref="AM183:AM190" si="53">AM184+AL183</f>
        <v>887</v>
      </c>
      <c r="AN183" s="115">
        <f t="shared" ref="AN183:AN190" si="54">AK183*AM183</f>
        <v>-277274426</v>
      </c>
      <c r="AO183" s="20"/>
      <c r="AP183" t="s">
        <v>25</v>
      </c>
      <c r="AR183" t="s">
        <v>25</v>
      </c>
    </row>
    <row r="184" spans="5:44">
      <c r="G184" s="205" t="s">
        <v>5571</v>
      </c>
      <c r="H184" s="111">
        <v>18404699.3442</v>
      </c>
      <c r="P184" s="112"/>
      <c r="Q184" s="112"/>
      <c r="R184" s="188" t="s">
        <v>1069</v>
      </c>
      <c r="S184" s="188" t="s">
        <v>4765</v>
      </c>
      <c r="T184" s="192">
        <v>30000000</v>
      </c>
      <c r="U184" s="205" t="s">
        <v>4627</v>
      </c>
      <c r="V184" s="205">
        <v>28066</v>
      </c>
      <c r="W184" s="111">
        <v>237.56970000000001</v>
      </c>
      <c r="X184" s="111">
        <f t="shared" si="50"/>
        <v>6667631.2002000008</v>
      </c>
      <c r="Y184" s="97" t="s">
        <v>743</v>
      </c>
      <c r="AC184" t="s">
        <v>25</v>
      </c>
      <c r="AI184" s="97">
        <v>164</v>
      </c>
      <c r="AJ184" s="111" t="s">
        <v>5014</v>
      </c>
      <c r="AK184" s="111">
        <v>50000</v>
      </c>
      <c r="AL184" s="97">
        <v>6</v>
      </c>
      <c r="AM184" s="20">
        <f t="shared" si="53"/>
        <v>887</v>
      </c>
      <c r="AN184" s="115">
        <f t="shared" si="54"/>
        <v>44350000</v>
      </c>
      <c r="AO184" s="20"/>
    </row>
    <row r="185" spans="5:44">
      <c r="G185" s="205" t="s">
        <v>5574</v>
      </c>
      <c r="H185" s="111">
        <v>2264658.5922190002</v>
      </c>
      <c r="J185" t="s">
        <v>25</v>
      </c>
      <c r="P185" s="112"/>
      <c r="Q185" s="112"/>
      <c r="R185" s="19" t="s">
        <v>4839</v>
      </c>
      <c r="S185" s="19" t="s">
        <v>4837</v>
      </c>
      <c r="T185" s="115">
        <v>2000000</v>
      </c>
      <c r="U185" s="205" t="s">
        <v>4627</v>
      </c>
      <c r="V185" s="205">
        <v>28066</v>
      </c>
      <c r="W185" s="111">
        <v>237.56970000000001</v>
      </c>
      <c r="X185" s="111">
        <f t="shared" si="50"/>
        <v>6667631.2002000008</v>
      </c>
      <c r="Y185" s="97" t="s">
        <v>452</v>
      </c>
      <c r="Z185" t="s">
        <v>25</v>
      </c>
      <c r="AI185" s="97">
        <v>165</v>
      </c>
      <c r="AJ185" s="111" t="s">
        <v>5024</v>
      </c>
      <c r="AK185" s="111">
        <v>-200000</v>
      </c>
      <c r="AL185" s="97">
        <v>0</v>
      </c>
      <c r="AM185" s="20">
        <f t="shared" si="53"/>
        <v>881</v>
      </c>
      <c r="AN185" s="115">
        <f t="shared" si="54"/>
        <v>-176200000</v>
      </c>
      <c r="AO185" s="20" t="s">
        <v>5025</v>
      </c>
    </row>
    <row r="186" spans="5:44">
      <c r="G186" s="205" t="s">
        <v>5576</v>
      </c>
      <c r="H186" s="111">
        <v>22877413.789960001</v>
      </c>
      <c r="J186" t="s">
        <v>25</v>
      </c>
      <c r="K186" t="s">
        <v>25</v>
      </c>
      <c r="P186" s="112"/>
      <c r="Q186" s="112"/>
      <c r="R186" s="187" t="s">
        <v>4860</v>
      </c>
      <c r="S186" s="187" t="s">
        <v>4859</v>
      </c>
      <c r="T186" s="186">
        <v>480105</v>
      </c>
      <c r="U186" s="205" t="s">
        <v>3666</v>
      </c>
      <c r="V186" s="205">
        <v>37457</v>
      </c>
      <c r="W186" s="111">
        <v>239.77</v>
      </c>
      <c r="X186" s="111">
        <f t="shared" si="50"/>
        <v>8981064.8900000006</v>
      </c>
      <c r="Y186" s="97" t="s">
        <v>743</v>
      </c>
      <c r="AI186" s="97">
        <v>166</v>
      </c>
      <c r="AJ186" s="111" t="s">
        <v>5024</v>
      </c>
      <c r="AK186" s="111">
        <v>200000</v>
      </c>
      <c r="AL186" s="97">
        <v>3</v>
      </c>
      <c r="AM186" s="20">
        <f t="shared" si="53"/>
        <v>881</v>
      </c>
      <c r="AN186" s="115">
        <f t="shared" si="54"/>
        <v>176200000</v>
      </c>
      <c r="AO186" s="20"/>
      <c r="AR186" t="s">
        <v>25</v>
      </c>
    </row>
    <row r="187" spans="5:44">
      <c r="G187" s="205" t="s">
        <v>5579</v>
      </c>
      <c r="H187" s="111">
        <v>2362539.4373280001</v>
      </c>
      <c r="J187" t="s">
        <v>25</v>
      </c>
      <c r="P187" s="112"/>
      <c r="Q187" s="112"/>
      <c r="R187" s="187"/>
      <c r="S187" s="187" t="s">
        <v>4900</v>
      </c>
      <c r="T187" s="186">
        <v>30500000</v>
      </c>
      <c r="U187" s="205" t="s">
        <v>3666</v>
      </c>
      <c r="V187" s="205">
        <v>37457</v>
      </c>
      <c r="W187" s="111">
        <v>239.77</v>
      </c>
      <c r="X187" s="111">
        <f t="shared" si="50"/>
        <v>8981064.8900000006</v>
      </c>
      <c r="Y187" s="97" t="s">
        <v>452</v>
      </c>
      <c r="Z187" s="94" t="s">
        <v>25</v>
      </c>
      <c r="AI187" s="97">
        <v>167</v>
      </c>
      <c r="AJ187" s="111" t="s">
        <v>5031</v>
      </c>
      <c r="AK187" s="111">
        <v>200000</v>
      </c>
      <c r="AL187" s="97">
        <v>3</v>
      </c>
      <c r="AM187" s="20">
        <f t="shared" si="53"/>
        <v>878</v>
      </c>
      <c r="AN187" s="115">
        <f t="shared" si="54"/>
        <v>175600000</v>
      </c>
      <c r="AO187" s="20"/>
    </row>
    <row r="188" spans="5:44">
      <c r="G188" s="205" t="s">
        <v>5580</v>
      </c>
      <c r="H188" s="111">
        <v>16042676.656608</v>
      </c>
      <c r="P188" s="112"/>
      <c r="Q188" s="112"/>
      <c r="R188" s="19" t="s">
        <v>4928</v>
      </c>
      <c r="S188" s="19" t="s">
        <v>4923</v>
      </c>
      <c r="T188" s="115">
        <v>-400000</v>
      </c>
      <c r="U188" s="205" t="s">
        <v>4639</v>
      </c>
      <c r="V188" s="205">
        <v>38412</v>
      </c>
      <c r="W188" s="111">
        <v>239.03</v>
      </c>
      <c r="X188" s="111">
        <f t="shared" si="50"/>
        <v>9181620.3599999994</v>
      </c>
      <c r="Y188" s="97" t="s">
        <v>743</v>
      </c>
      <c r="Z188" t="s">
        <v>25</v>
      </c>
      <c r="AI188" s="97">
        <v>168</v>
      </c>
      <c r="AJ188" s="111" t="s">
        <v>5034</v>
      </c>
      <c r="AK188" s="111">
        <v>30000</v>
      </c>
      <c r="AL188" s="97">
        <v>7</v>
      </c>
      <c r="AM188" s="20">
        <f t="shared" si="53"/>
        <v>875</v>
      </c>
      <c r="AN188" s="115">
        <f t="shared" si="54"/>
        <v>26250000</v>
      </c>
      <c r="AO188" s="20"/>
    </row>
    <row r="189" spans="5:44">
      <c r="G189" s="205" t="s">
        <v>5581</v>
      </c>
      <c r="H189" s="111">
        <v>18403291.448284</v>
      </c>
      <c r="P189" s="112"/>
      <c r="Q189" s="112"/>
      <c r="R189" s="187" t="s">
        <v>5037</v>
      </c>
      <c r="S189" s="187" t="s">
        <v>4958</v>
      </c>
      <c r="T189" s="186">
        <v>-349550</v>
      </c>
      <c r="U189" s="205" t="s">
        <v>4639</v>
      </c>
      <c r="V189" s="205">
        <v>38412</v>
      </c>
      <c r="W189" s="111">
        <v>239.03</v>
      </c>
      <c r="X189" s="111">
        <f t="shared" si="50"/>
        <v>9181620.3599999994</v>
      </c>
      <c r="Y189" s="97" t="s">
        <v>452</v>
      </c>
      <c r="AI189" s="97">
        <v>169</v>
      </c>
      <c r="AJ189" s="111" t="s">
        <v>4993</v>
      </c>
      <c r="AK189" s="111">
        <v>-10000000</v>
      </c>
      <c r="AL189" s="97">
        <v>0</v>
      </c>
      <c r="AM189" s="20">
        <f t="shared" si="53"/>
        <v>868</v>
      </c>
      <c r="AN189" s="115">
        <f t="shared" si="54"/>
        <v>-8680000000</v>
      </c>
      <c r="AO189" s="20" t="s">
        <v>4953</v>
      </c>
    </row>
    <row r="190" spans="5:44">
      <c r="G190" s="205" t="s">
        <v>5584</v>
      </c>
      <c r="H190" s="111">
        <v>10561447.246918</v>
      </c>
      <c r="P190" s="112"/>
      <c r="Q190" s="112"/>
      <c r="R190" s="19" t="s">
        <v>4928</v>
      </c>
      <c r="S190" s="19" t="s">
        <v>5098</v>
      </c>
      <c r="T190" s="115">
        <v>-200000</v>
      </c>
      <c r="U190" s="205" t="s">
        <v>4642</v>
      </c>
      <c r="V190" s="205">
        <v>49555</v>
      </c>
      <c r="W190" s="111">
        <v>238.345</v>
      </c>
      <c r="X190" s="111">
        <f t="shared" si="50"/>
        <v>11811186.475</v>
      </c>
      <c r="Y190" s="97" t="s">
        <v>743</v>
      </c>
      <c r="AI190" s="97">
        <v>170</v>
      </c>
      <c r="AJ190" s="111" t="s">
        <v>4993</v>
      </c>
      <c r="AK190" s="111">
        <v>6000000</v>
      </c>
      <c r="AL190" s="97">
        <v>8</v>
      </c>
      <c r="AM190" s="20">
        <f t="shared" si="53"/>
        <v>868</v>
      </c>
      <c r="AN190" s="115">
        <f t="shared" si="54"/>
        <v>5208000000</v>
      </c>
      <c r="AO190" s="20"/>
      <c r="AQ190" t="s">
        <v>25</v>
      </c>
    </row>
    <row r="191" spans="5:44">
      <c r="G191" s="205" t="s">
        <v>5585</v>
      </c>
      <c r="H191" s="111">
        <v>1226811.9176660001</v>
      </c>
      <c r="J191" t="s">
        <v>25</v>
      </c>
      <c r="K191" t="s">
        <v>25</v>
      </c>
      <c r="P191" s="112"/>
      <c r="Q191" s="112"/>
      <c r="R191" s="19" t="s">
        <v>4928</v>
      </c>
      <c r="S191" s="19" t="s">
        <v>5130</v>
      </c>
      <c r="T191" s="115">
        <v>-122000</v>
      </c>
      <c r="U191" s="205" t="s">
        <v>4642</v>
      </c>
      <c r="V191" s="205">
        <v>49555</v>
      </c>
      <c r="W191" s="111">
        <v>238.345</v>
      </c>
      <c r="X191" s="111">
        <f t="shared" si="50"/>
        <v>11811186.475</v>
      </c>
      <c r="Y191" s="97" t="s">
        <v>452</v>
      </c>
      <c r="AI191" s="97">
        <v>171</v>
      </c>
      <c r="AJ191" s="111" t="s">
        <v>5058</v>
      </c>
      <c r="AK191" s="111">
        <v>150000</v>
      </c>
      <c r="AL191" s="97">
        <v>7</v>
      </c>
      <c r="AM191" s="20">
        <f>AM192+AL191</f>
        <v>860</v>
      </c>
      <c r="AN191" s="115">
        <f>AK191*AM191</f>
        <v>129000000</v>
      </c>
      <c r="AO191" s="20"/>
    </row>
    <row r="192" spans="5:44">
      <c r="G192" s="205" t="s">
        <v>5586</v>
      </c>
      <c r="H192" s="111">
        <v>39373959.190266006</v>
      </c>
      <c r="J192" t="s">
        <v>25</v>
      </c>
      <c r="O192" s="112"/>
      <c r="P192" s="112"/>
      <c r="Q192" s="112"/>
      <c r="R192" s="19" t="s">
        <v>4928</v>
      </c>
      <c r="S192" s="19" t="s">
        <v>5138</v>
      </c>
      <c r="T192" s="115">
        <v>-700000</v>
      </c>
      <c r="U192" s="205" t="s">
        <v>4654</v>
      </c>
      <c r="V192" s="205">
        <v>160187</v>
      </c>
      <c r="W192" s="111">
        <v>257.49799999999999</v>
      </c>
      <c r="X192" s="111">
        <f t="shared" si="50"/>
        <v>41247832.126000002</v>
      </c>
      <c r="Y192" s="97" t="s">
        <v>743</v>
      </c>
      <c r="Z192" t="s">
        <v>25</v>
      </c>
      <c r="AI192" s="97">
        <v>172</v>
      </c>
      <c r="AJ192" s="111" t="s">
        <v>5091</v>
      </c>
      <c r="AK192" s="111">
        <v>400000</v>
      </c>
      <c r="AL192" s="97">
        <v>1</v>
      </c>
      <c r="AM192" s="20">
        <f>AM193+AL192</f>
        <v>853</v>
      </c>
      <c r="AN192" s="115">
        <f>AK192*AM192</f>
        <v>341200000</v>
      </c>
      <c r="AO192" s="20"/>
    </row>
    <row r="193" spans="7:46">
      <c r="G193" s="205" t="s">
        <v>5591</v>
      </c>
      <c r="H193" s="111">
        <v>27703487.063980002</v>
      </c>
      <c r="O193" t="s">
        <v>25</v>
      </c>
      <c r="P193" s="112"/>
      <c r="Q193" s="112"/>
      <c r="R193" s="19" t="s">
        <v>4928</v>
      </c>
      <c r="S193" s="19" t="s">
        <v>5148</v>
      </c>
      <c r="T193" s="115">
        <v>-60000</v>
      </c>
      <c r="U193" s="205" t="s">
        <v>4654</v>
      </c>
      <c r="V193" s="205">
        <v>160187</v>
      </c>
      <c r="W193" s="111">
        <v>257.49799999999999</v>
      </c>
      <c r="X193" s="111">
        <f t="shared" si="50"/>
        <v>41247832.126000002</v>
      </c>
      <c r="Y193" s="97" t="s">
        <v>452</v>
      </c>
      <c r="AB193" t="s">
        <v>25</v>
      </c>
      <c r="AI193" s="97">
        <v>173</v>
      </c>
      <c r="AJ193" s="111" t="s">
        <v>5094</v>
      </c>
      <c r="AK193" s="111">
        <v>-100000</v>
      </c>
      <c r="AL193" s="97">
        <v>1</v>
      </c>
      <c r="AM193" s="20">
        <f>AM194+AL193</f>
        <v>852</v>
      </c>
      <c r="AN193" s="115">
        <f>AK193*AM193</f>
        <v>-85200000</v>
      </c>
      <c r="AO193" s="20"/>
    </row>
    <row r="194" spans="7:46">
      <c r="G194" s="205" t="s">
        <v>5592</v>
      </c>
      <c r="H194" s="111">
        <v>8738896.6890719999</v>
      </c>
      <c r="P194" s="112"/>
      <c r="Q194" s="112"/>
      <c r="R194" s="19" t="s">
        <v>4406</v>
      </c>
      <c r="S194" s="19" t="s">
        <v>5207</v>
      </c>
      <c r="T194" s="115">
        <v>700000</v>
      </c>
      <c r="U194" s="205" t="s">
        <v>4661</v>
      </c>
      <c r="V194" s="205">
        <v>144401</v>
      </c>
      <c r="W194" s="111">
        <v>258.5061</v>
      </c>
      <c r="X194" s="111">
        <f t="shared" si="50"/>
        <v>37328539.346100003</v>
      </c>
      <c r="Y194" s="97" t="s">
        <v>743</v>
      </c>
      <c r="AA194" t="s">
        <v>25</v>
      </c>
      <c r="AI194" s="97">
        <v>174</v>
      </c>
      <c r="AJ194" s="111" t="s">
        <v>5098</v>
      </c>
      <c r="AK194" s="111">
        <v>10000000</v>
      </c>
      <c r="AL194" s="97">
        <v>1</v>
      </c>
      <c r="AM194" s="20">
        <f>AM195+AL194</f>
        <v>851</v>
      </c>
      <c r="AN194" s="115">
        <f>AK194*AM194</f>
        <v>8510000000</v>
      </c>
      <c r="AO194" s="20" t="s">
        <v>4668</v>
      </c>
      <c r="AT194" t="s">
        <v>25</v>
      </c>
    </row>
    <row r="195" spans="7:46">
      <c r="G195" s="205" t="s">
        <v>4182</v>
      </c>
      <c r="H195" s="111">
        <v>348201.66738</v>
      </c>
      <c r="O195" t="s">
        <v>25</v>
      </c>
      <c r="P195" s="112"/>
      <c r="Q195" s="112"/>
      <c r="R195" s="187" t="s">
        <v>1069</v>
      </c>
      <c r="S195" s="187" t="s">
        <v>5226</v>
      </c>
      <c r="T195" s="186">
        <v>40000000</v>
      </c>
      <c r="U195" s="205" t="s">
        <v>4661</v>
      </c>
      <c r="V195" s="205">
        <v>144401</v>
      </c>
      <c r="W195" s="111">
        <v>258.5061</v>
      </c>
      <c r="X195" s="111">
        <f t="shared" si="50"/>
        <v>37328539.346100003</v>
      </c>
      <c r="Y195" s="97" t="s">
        <v>452</v>
      </c>
      <c r="AI195" s="97">
        <v>175</v>
      </c>
      <c r="AJ195" s="111" t="s">
        <v>5103</v>
      </c>
      <c r="AK195" s="111">
        <v>-400000</v>
      </c>
      <c r="AL195" s="97">
        <v>6</v>
      </c>
      <c r="AM195" s="20">
        <f t="shared" ref="AM195:AM203" si="55">AM196+AL195</f>
        <v>850</v>
      </c>
      <c r="AN195" s="115">
        <f t="shared" ref="AN195:AN203" si="56">AK195*AM195</f>
        <v>-340000000</v>
      </c>
      <c r="AO195" s="20"/>
    </row>
    <row r="196" spans="7:46">
      <c r="G196" s="205" t="s">
        <v>5594</v>
      </c>
      <c r="H196" s="111">
        <v>4158090.8935679998</v>
      </c>
      <c r="P196" s="112"/>
      <c r="R196" s="19" t="s">
        <v>4406</v>
      </c>
      <c r="S196" s="19" t="s">
        <v>5230</v>
      </c>
      <c r="T196" s="115">
        <v>-800000</v>
      </c>
      <c r="U196" s="166" t="s">
        <v>4667</v>
      </c>
      <c r="V196" s="166">
        <v>196500</v>
      </c>
      <c r="W196" s="111">
        <v>254.452</v>
      </c>
      <c r="X196" s="111">
        <f t="shared" si="50"/>
        <v>49999818</v>
      </c>
      <c r="Y196" s="97" t="s">
        <v>4669</v>
      </c>
      <c r="Z196" t="s">
        <v>25</v>
      </c>
      <c r="AI196" s="97">
        <v>176</v>
      </c>
      <c r="AJ196" s="111" t="s">
        <v>5110</v>
      </c>
      <c r="AK196" s="111">
        <v>1300000</v>
      </c>
      <c r="AL196" s="97">
        <v>0</v>
      </c>
      <c r="AM196" s="20">
        <f t="shared" si="55"/>
        <v>844</v>
      </c>
      <c r="AN196" s="115">
        <f t="shared" si="56"/>
        <v>1097200000</v>
      </c>
      <c r="AO196" s="20"/>
      <c r="AS196" t="s">
        <v>25</v>
      </c>
    </row>
    <row r="197" spans="7:46">
      <c r="G197" s="205" t="s">
        <v>5598</v>
      </c>
      <c r="H197" s="111">
        <v>110770524.97879399</v>
      </c>
      <c r="P197" s="112"/>
      <c r="R197" s="205" t="s">
        <v>4406</v>
      </c>
      <c r="S197" s="205" t="s">
        <v>5312</v>
      </c>
      <c r="T197" s="115">
        <v>700000</v>
      </c>
      <c r="U197" s="205" t="s">
        <v>4667</v>
      </c>
      <c r="V197" s="205">
        <v>2561</v>
      </c>
      <c r="W197" s="111">
        <v>254.536</v>
      </c>
      <c r="X197" s="111">
        <f t="shared" si="50"/>
        <v>651866.696</v>
      </c>
      <c r="Y197" s="97" t="s">
        <v>4670</v>
      </c>
      <c r="AI197" s="97">
        <v>177</v>
      </c>
      <c r="AJ197" s="111" t="s">
        <v>5110</v>
      </c>
      <c r="AK197" s="111">
        <v>230000</v>
      </c>
      <c r="AL197" s="97">
        <v>1</v>
      </c>
      <c r="AM197" s="20">
        <f t="shared" si="55"/>
        <v>844</v>
      </c>
      <c r="AN197" s="115">
        <f t="shared" si="56"/>
        <v>194120000</v>
      </c>
      <c r="AO197" s="20"/>
    </row>
    <row r="198" spans="7:46">
      <c r="G198" s="205" t="s">
        <v>5610</v>
      </c>
      <c r="H198" s="111">
        <v>6684147.0064600008</v>
      </c>
      <c r="J198" t="s">
        <v>25</v>
      </c>
      <c r="O198" t="s">
        <v>25</v>
      </c>
      <c r="P198" s="112"/>
      <c r="R198" s="187" t="s">
        <v>5328</v>
      </c>
      <c r="S198" s="187" t="s">
        <v>5326</v>
      </c>
      <c r="T198" s="186">
        <v>-26000000</v>
      </c>
      <c r="U198" s="205" t="s">
        <v>4709</v>
      </c>
      <c r="V198" s="205">
        <v>-11795</v>
      </c>
      <c r="W198" s="111">
        <v>254.334</v>
      </c>
      <c r="X198" s="111">
        <f t="shared" si="50"/>
        <v>-2999869.5300000003</v>
      </c>
      <c r="Y198" s="97" t="s">
        <v>4710</v>
      </c>
      <c r="AB198" t="s">
        <v>25</v>
      </c>
      <c r="AI198" s="97">
        <v>178</v>
      </c>
      <c r="AJ198" s="111" t="s">
        <v>5113</v>
      </c>
      <c r="AK198" s="111">
        <v>880000</v>
      </c>
      <c r="AL198" s="97">
        <v>4</v>
      </c>
      <c r="AM198" s="20">
        <f t="shared" si="55"/>
        <v>843</v>
      </c>
      <c r="AN198" s="115">
        <f t="shared" si="56"/>
        <v>741840000</v>
      </c>
      <c r="AO198" s="20"/>
    </row>
    <row r="199" spans="7:46">
      <c r="G199" s="205" t="s">
        <v>5613</v>
      </c>
      <c r="H199" s="111">
        <v>1826535.2307560001</v>
      </c>
      <c r="J199" t="s">
        <v>25</v>
      </c>
      <c r="P199" s="112"/>
      <c r="R199" s="187" t="s">
        <v>5328</v>
      </c>
      <c r="S199" s="187" t="s">
        <v>5330</v>
      </c>
      <c r="T199" s="186">
        <v>-95900000</v>
      </c>
      <c r="U199" s="205" t="s">
        <v>4709</v>
      </c>
      <c r="V199" s="205">
        <v>11795</v>
      </c>
      <c r="W199" s="111">
        <v>254.334</v>
      </c>
      <c r="X199" s="111">
        <f t="shared" si="50"/>
        <v>2999869.5300000003</v>
      </c>
      <c r="Y199" s="97" t="s">
        <v>4711</v>
      </c>
      <c r="AI199" s="97">
        <v>179</v>
      </c>
      <c r="AJ199" s="111" t="s">
        <v>5117</v>
      </c>
      <c r="AK199" s="111">
        <v>-900000</v>
      </c>
      <c r="AL199" s="97">
        <v>1</v>
      </c>
      <c r="AM199" s="20">
        <f t="shared" si="55"/>
        <v>839</v>
      </c>
      <c r="AN199" s="115">
        <f t="shared" si="56"/>
        <v>-755100000</v>
      </c>
      <c r="AO199" s="20"/>
    </row>
    <row r="200" spans="7:46">
      <c r="G200" s="205" t="s">
        <v>5617</v>
      </c>
      <c r="H200" s="111">
        <v>3577366.94</v>
      </c>
      <c r="Q200" s="112"/>
      <c r="R200" s="187" t="s">
        <v>5328</v>
      </c>
      <c r="S200" s="187" t="s">
        <v>5331</v>
      </c>
      <c r="T200" s="186">
        <v>-28950000</v>
      </c>
      <c r="U200" s="205" t="s">
        <v>4723</v>
      </c>
      <c r="V200" s="205">
        <v>260</v>
      </c>
      <c r="W200" s="111">
        <v>263.19</v>
      </c>
      <c r="X200" s="111">
        <f t="shared" si="50"/>
        <v>68429.399999999994</v>
      </c>
      <c r="Y200" s="97" t="s">
        <v>452</v>
      </c>
      <c r="AI200" s="97">
        <v>180</v>
      </c>
      <c r="AJ200" s="111" t="s">
        <v>975</v>
      </c>
      <c r="AK200" s="111">
        <v>-3500000</v>
      </c>
      <c r="AL200" s="97">
        <v>1</v>
      </c>
      <c r="AM200" s="20">
        <f t="shared" si="55"/>
        <v>838</v>
      </c>
      <c r="AN200" s="115">
        <f t="shared" si="56"/>
        <v>-2933000000</v>
      </c>
      <c r="AO200" s="20"/>
      <c r="AS200" t="s">
        <v>25</v>
      </c>
    </row>
    <row r="201" spans="7:46">
      <c r="G201" s="205" t="s">
        <v>5619</v>
      </c>
      <c r="H201" s="111">
        <v>21239029.173567999</v>
      </c>
      <c r="P201" s="112"/>
      <c r="Q201" s="112"/>
      <c r="R201" s="187" t="s">
        <v>5347</v>
      </c>
      <c r="S201" s="187" t="s">
        <v>5345</v>
      </c>
      <c r="T201" s="186">
        <v>1896188</v>
      </c>
      <c r="U201" s="205" t="s">
        <v>4732</v>
      </c>
      <c r="V201" s="205">
        <v>15257</v>
      </c>
      <c r="W201" s="111">
        <v>262.19018</v>
      </c>
      <c r="X201" s="111">
        <f t="shared" si="50"/>
        <v>4000235.57626</v>
      </c>
      <c r="Y201" s="97" t="s">
        <v>452</v>
      </c>
      <c r="AI201" s="97">
        <v>181</v>
      </c>
      <c r="AJ201" s="111" t="s">
        <v>4253</v>
      </c>
      <c r="AK201" s="111">
        <v>-1600000</v>
      </c>
      <c r="AL201" s="97">
        <v>1</v>
      </c>
      <c r="AM201" s="20">
        <f t="shared" si="55"/>
        <v>837</v>
      </c>
      <c r="AN201" s="115">
        <f t="shared" si="56"/>
        <v>-1339200000</v>
      </c>
      <c r="AO201" s="20"/>
      <c r="AR201" t="s">
        <v>25</v>
      </c>
    </row>
    <row r="202" spans="7:46">
      <c r="G202" s="205" t="s">
        <v>5622</v>
      </c>
      <c r="H202" s="111">
        <v>242957252.40163299</v>
      </c>
      <c r="J202" t="s">
        <v>25</v>
      </c>
      <c r="Q202" s="112"/>
      <c r="R202" s="187" t="s">
        <v>5512</v>
      </c>
      <c r="S202" s="187" t="s">
        <v>4209</v>
      </c>
      <c r="T202" s="186">
        <v>13752871.322800001</v>
      </c>
      <c r="U202" s="205" t="s">
        <v>4732</v>
      </c>
      <c r="V202" s="205">
        <v>8444</v>
      </c>
      <c r="W202" s="111">
        <v>266.43029999999999</v>
      </c>
      <c r="X202" s="111">
        <f t="shared" si="50"/>
        <v>2249737.4531999999</v>
      </c>
      <c r="Y202" s="97" t="s">
        <v>452</v>
      </c>
      <c r="AI202" s="97">
        <v>182</v>
      </c>
      <c r="AJ202" s="111" t="s">
        <v>5122</v>
      </c>
      <c r="AK202" s="111">
        <v>-800000</v>
      </c>
      <c r="AL202" s="97">
        <v>7</v>
      </c>
      <c r="AM202" s="20">
        <f t="shared" si="55"/>
        <v>836</v>
      </c>
      <c r="AN202" s="115">
        <f t="shared" si="56"/>
        <v>-668800000</v>
      </c>
      <c r="AO202" s="20"/>
    </row>
    <row r="203" spans="7:46">
      <c r="G203" s="205" t="s">
        <v>5626</v>
      </c>
      <c r="H203" s="111">
        <v>7357181.2750800001</v>
      </c>
      <c r="Q203" s="112"/>
      <c r="R203" s="19" t="s">
        <v>5524</v>
      </c>
      <c r="S203" s="19" t="s">
        <v>5521</v>
      </c>
      <c r="T203" s="115">
        <v>3123901.3702000002</v>
      </c>
      <c r="U203" s="323" t="s">
        <v>4737</v>
      </c>
      <c r="V203" s="323">
        <v>-6209</v>
      </c>
      <c r="W203" s="90">
        <v>273.79649999999998</v>
      </c>
      <c r="X203" s="90">
        <f t="shared" si="50"/>
        <v>-1700002.4685</v>
      </c>
      <c r="Y203" s="89" t="s">
        <v>6404</v>
      </c>
      <c r="AI203" s="97">
        <v>183</v>
      </c>
      <c r="AJ203" s="111" t="s">
        <v>5130</v>
      </c>
      <c r="AK203" s="111">
        <v>50000</v>
      </c>
      <c r="AL203" s="97">
        <v>2</v>
      </c>
      <c r="AM203" s="20">
        <f t="shared" si="55"/>
        <v>829</v>
      </c>
      <c r="AN203" s="115">
        <f t="shared" si="56"/>
        <v>41450000</v>
      </c>
      <c r="AO203" s="20"/>
    </row>
    <row r="204" spans="7:46">
      <c r="G204" s="205" t="s">
        <v>5628</v>
      </c>
      <c r="H204" s="111">
        <v>14951411.942400001</v>
      </c>
      <c r="J204" t="s">
        <v>25</v>
      </c>
      <c r="Q204" s="112"/>
      <c r="R204" s="187" t="s">
        <v>5840</v>
      </c>
      <c r="S204" s="187" t="s">
        <v>5595</v>
      </c>
      <c r="T204" s="186">
        <v>-322076.40905199997</v>
      </c>
      <c r="U204" s="205" t="s">
        <v>4737</v>
      </c>
      <c r="V204" s="205">
        <v>-8014</v>
      </c>
      <c r="W204" s="111">
        <v>273.79649999999998</v>
      </c>
      <c r="X204" s="111">
        <f t="shared" si="50"/>
        <v>-2194205.1510000001</v>
      </c>
      <c r="Y204" s="97" t="s">
        <v>743</v>
      </c>
      <c r="AI204" s="97">
        <v>184</v>
      </c>
      <c r="AJ204" s="111" t="s">
        <v>5132</v>
      </c>
      <c r="AK204" s="111">
        <v>400000</v>
      </c>
      <c r="AL204" s="97">
        <v>8</v>
      </c>
      <c r="AM204" s="20">
        <f t="shared" ref="AM204:AM213" si="57">AM205+AL204</f>
        <v>827</v>
      </c>
      <c r="AN204" s="115">
        <f t="shared" ref="AN204:AN213" si="58">AK204*AM204</f>
        <v>330800000</v>
      </c>
      <c r="AO204" s="20"/>
      <c r="AS204" t="s">
        <v>25</v>
      </c>
    </row>
    <row r="205" spans="7:46">
      <c r="G205" s="205" t="s">
        <v>5632</v>
      </c>
      <c r="H205" s="111">
        <v>47928209.377011999</v>
      </c>
      <c r="J205" t="s">
        <v>25</v>
      </c>
      <c r="Q205" s="112"/>
      <c r="R205" s="19" t="s">
        <v>4928</v>
      </c>
      <c r="S205" s="19" t="s">
        <v>5595</v>
      </c>
      <c r="T205" s="115">
        <v>-1500000</v>
      </c>
      <c r="U205" s="205" t="s">
        <v>4746</v>
      </c>
      <c r="V205" s="205">
        <v>-9176</v>
      </c>
      <c r="W205" s="111">
        <v>273.79649999999998</v>
      </c>
      <c r="X205" s="111">
        <f t="shared" si="50"/>
        <v>-2512356.6839999999</v>
      </c>
      <c r="Y205" s="97" t="s">
        <v>452</v>
      </c>
      <c r="AI205" s="97">
        <v>185</v>
      </c>
      <c r="AJ205" s="111" t="s">
        <v>5108</v>
      </c>
      <c r="AK205" s="111">
        <v>-10000000</v>
      </c>
      <c r="AL205" s="97">
        <v>0</v>
      </c>
      <c r="AM205" s="20">
        <f t="shared" si="57"/>
        <v>819</v>
      </c>
      <c r="AN205" s="115">
        <f t="shared" si="58"/>
        <v>-8190000000</v>
      </c>
      <c r="AO205" s="20" t="s">
        <v>4953</v>
      </c>
    </row>
    <row r="206" spans="7:46">
      <c r="G206" s="205" t="s">
        <v>5634</v>
      </c>
      <c r="H206" s="111">
        <v>2281595.69937</v>
      </c>
      <c r="P206" s="112"/>
      <c r="Q206" s="112"/>
      <c r="R206" s="187" t="s">
        <v>5609</v>
      </c>
      <c r="S206" s="187" t="s">
        <v>5595</v>
      </c>
      <c r="T206" s="186">
        <v>15000000</v>
      </c>
      <c r="U206" s="205" t="s">
        <v>4746</v>
      </c>
      <c r="V206" s="205">
        <v>1087</v>
      </c>
      <c r="W206" s="111">
        <v>273.79649999999998</v>
      </c>
      <c r="X206" s="111">
        <f t="shared" si="50"/>
        <v>297616.79550000001</v>
      </c>
      <c r="Y206" s="97" t="s">
        <v>452</v>
      </c>
      <c r="AI206" s="97">
        <v>186</v>
      </c>
      <c r="AJ206" s="111" t="s">
        <v>5108</v>
      </c>
      <c r="AK206" s="111">
        <v>3000000</v>
      </c>
      <c r="AL206" s="97">
        <v>1</v>
      </c>
      <c r="AM206" s="20">
        <f t="shared" si="57"/>
        <v>819</v>
      </c>
      <c r="AN206" s="115">
        <f t="shared" si="58"/>
        <v>2457000000</v>
      </c>
      <c r="AO206" s="20"/>
    </row>
    <row r="207" spans="7:46">
      <c r="G207" s="205" t="s">
        <v>5636</v>
      </c>
      <c r="H207" s="111">
        <v>2964916.035069</v>
      </c>
      <c r="O207" t="s">
        <v>25</v>
      </c>
      <c r="P207" s="112"/>
      <c r="Q207" s="112"/>
      <c r="R207" s="187" t="s">
        <v>5624</v>
      </c>
      <c r="S207" s="187" t="s">
        <v>5619</v>
      </c>
      <c r="T207" s="186">
        <v>-1500000</v>
      </c>
      <c r="U207" s="323" t="s">
        <v>964</v>
      </c>
      <c r="V207" s="323">
        <v>-4017</v>
      </c>
      <c r="W207" s="90">
        <v>273.79649999999998</v>
      </c>
      <c r="X207" s="90">
        <f t="shared" si="50"/>
        <v>-1099840.5404999999</v>
      </c>
      <c r="Y207" s="89" t="s">
        <v>4406</v>
      </c>
      <c r="AI207" s="97">
        <v>187</v>
      </c>
      <c r="AJ207" s="111" t="s">
        <v>5144</v>
      </c>
      <c r="AK207" s="111">
        <v>500000</v>
      </c>
      <c r="AL207" s="97">
        <v>23</v>
      </c>
      <c r="AM207" s="20">
        <f t="shared" si="57"/>
        <v>818</v>
      </c>
      <c r="AN207" s="115">
        <f t="shared" si="58"/>
        <v>409000000</v>
      </c>
      <c r="AO207" s="20"/>
      <c r="AS207" t="s">
        <v>25</v>
      </c>
    </row>
    <row r="208" spans="7:46">
      <c r="G208" s="205" t="s">
        <v>5637</v>
      </c>
      <c r="H208" s="111">
        <v>6460549.4269619994</v>
      </c>
      <c r="K208" t="s">
        <v>25</v>
      </c>
      <c r="P208" s="112"/>
      <c r="R208" s="187" t="s">
        <v>5703</v>
      </c>
      <c r="S208" s="187" t="s">
        <v>5701</v>
      </c>
      <c r="T208" s="186">
        <v>-70000</v>
      </c>
      <c r="U208" s="205" t="s">
        <v>964</v>
      </c>
      <c r="V208" s="205">
        <v>4017</v>
      </c>
      <c r="W208" s="111">
        <v>273.79649999999998</v>
      </c>
      <c r="X208" s="111">
        <f t="shared" si="50"/>
        <v>1099840.5404999999</v>
      </c>
      <c r="Y208" s="97" t="s">
        <v>452</v>
      </c>
      <c r="AI208" s="97">
        <v>188</v>
      </c>
      <c r="AJ208" s="111" t="s">
        <v>5165</v>
      </c>
      <c r="AK208" s="111">
        <v>101268</v>
      </c>
      <c r="AL208" s="97">
        <v>1</v>
      </c>
      <c r="AM208" s="20">
        <f t="shared" si="57"/>
        <v>795</v>
      </c>
      <c r="AN208" s="115">
        <f t="shared" si="58"/>
        <v>80508060</v>
      </c>
      <c r="AO208" s="20"/>
      <c r="AS208" t="s">
        <v>25</v>
      </c>
    </row>
    <row r="209" spans="7:47">
      <c r="G209" s="205" t="s">
        <v>5639</v>
      </c>
      <c r="H209" s="111">
        <v>5212319.8968359996</v>
      </c>
      <c r="P209" s="112"/>
      <c r="Q209" s="112"/>
      <c r="R209" s="187" t="s">
        <v>5709</v>
      </c>
      <c r="S209" s="187" t="s">
        <v>5707</v>
      </c>
      <c r="T209" s="186">
        <v>1300000</v>
      </c>
      <c r="U209" s="205" t="s">
        <v>4752</v>
      </c>
      <c r="V209" s="205">
        <v>3137</v>
      </c>
      <c r="W209" s="111">
        <v>283.69110000000001</v>
      </c>
      <c r="X209" s="111">
        <f t="shared" si="50"/>
        <v>889938.98070000007</v>
      </c>
      <c r="Y209" s="97" t="s">
        <v>452</v>
      </c>
      <c r="Z209" t="s">
        <v>25</v>
      </c>
      <c r="AI209" s="97">
        <v>189</v>
      </c>
      <c r="AJ209" s="111" t="s">
        <v>5168</v>
      </c>
      <c r="AK209" s="111">
        <v>101000</v>
      </c>
      <c r="AL209" s="97">
        <v>34</v>
      </c>
      <c r="AM209" s="20">
        <f t="shared" si="57"/>
        <v>794</v>
      </c>
      <c r="AN209" s="115">
        <f t="shared" si="58"/>
        <v>80194000</v>
      </c>
      <c r="AO209" s="20"/>
      <c r="AQ209" t="s">
        <v>25</v>
      </c>
      <c r="AU209" s="94" t="s">
        <v>25</v>
      </c>
    </row>
    <row r="210" spans="7:47">
      <c r="G210" s="205" t="s">
        <v>5642</v>
      </c>
      <c r="H210" s="111">
        <v>4524496.4792809999</v>
      </c>
      <c r="J210" t="s">
        <v>25</v>
      </c>
      <c r="P210" s="112"/>
      <c r="Q210" s="112"/>
      <c r="R210" s="187" t="s">
        <v>60</v>
      </c>
      <c r="S210" s="187" t="s">
        <v>5715</v>
      </c>
      <c r="T210" s="186">
        <v>90000000</v>
      </c>
      <c r="U210" s="205" t="s">
        <v>4765</v>
      </c>
      <c r="V210" s="205">
        <v>101933</v>
      </c>
      <c r="W210" s="111">
        <v>294.30973999999998</v>
      </c>
      <c r="X210" s="111">
        <f t="shared" si="50"/>
        <v>29999874.727419998</v>
      </c>
      <c r="Y210" s="97" t="s">
        <v>1069</v>
      </c>
      <c r="Z210" t="s">
        <v>25</v>
      </c>
      <c r="AI210" s="97">
        <v>190</v>
      </c>
      <c r="AJ210" s="111" t="s">
        <v>5193</v>
      </c>
      <c r="AK210" s="111">
        <v>-488602</v>
      </c>
      <c r="AL210" s="97">
        <v>5</v>
      </c>
      <c r="AM210" s="20">
        <f t="shared" si="57"/>
        <v>760</v>
      </c>
      <c r="AN210" s="115">
        <f t="shared" si="58"/>
        <v>-371337520</v>
      </c>
      <c r="AO210" s="20"/>
      <c r="AS210" t="s">
        <v>25</v>
      </c>
    </row>
    <row r="211" spans="7:47">
      <c r="G211" s="205" t="s">
        <v>5644</v>
      </c>
      <c r="H211" s="111">
        <v>22866040.240959998</v>
      </c>
      <c r="P211" s="112"/>
      <c r="R211" s="187" t="s">
        <v>5800</v>
      </c>
      <c r="S211" s="187" t="s">
        <v>5796</v>
      </c>
      <c r="T211" s="186">
        <v>33832510.64875</v>
      </c>
      <c r="U211" s="205" t="s">
        <v>4772</v>
      </c>
      <c r="V211" s="205">
        <v>3407</v>
      </c>
      <c r="W211" s="111">
        <v>293.43799999999999</v>
      </c>
      <c r="X211" s="111">
        <f t="shared" si="50"/>
        <v>999743.26599999995</v>
      </c>
      <c r="Y211" s="97" t="s">
        <v>452</v>
      </c>
      <c r="AI211" s="97">
        <v>191</v>
      </c>
      <c r="AJ211" s="111" t="s">
        <v>5207</v>
      </c>
      <c r="AK211" s="111">
        <v>360000</v>
      </c>
      <c r="AL211" s="97">
        <v>10</v>
      </c>
      <c r="AM211" s="20">
        <f t="shared" si="57"/>
        <v>755</v>
      </c>
      <c r="AN211" s="115">
        <f t="shared" si="58"/>
        <v>271800000</v>
      </c>
      <c r="AO211" s="20"/>
      <c r="AS211" t="s">
        <v>25</v>
      </c>
    </row>
    <row r="212" spans="7:47">
      <c r="G212" s="205" t="s">
        <v>5646</v>
      </c>
      <c r="H212" s="111">
        <v>15359304.269892</v>
      </c>
      <c r="J212" t="s">
        <v>25</v>
      </c>
      <c r="P212" s="112"/>
      <c r="Q212" s="112"/>
      <c r="R212" s="187" t="s">
        <v>5815</v>
      </c>
      <c r="S212" s="187" t="s">
        <v>5812</v>
      </c>
      <c r="T212" s="186">
        <v>21634932</v>
      </c>
      <c r="U212" s="205" t="s">
        <v>4773</v>
      </c>
      <c r="V212" s="205">
        <v>68796</v>
      </c>
      <c r="W212" s="111">
        <v>293.53250000000003</v>
      </c>
      <c r="X212" s="111">
        <f t="shared" si="50"/>
        <v>20193861.870000001</v>
      </c>
      <c r="Y212" s="97" t="s">
        <v>743</v>
      </c>
      <c r="AI212" s="97">
        <v>192</v>
      </c>
      <c r="AJ212" s="111" t="s">
        <v>5217</v>
      </c>
      <c r="AK212" s="111">
        <v>-3600000</v>
      </c>
      <c r="AL212" s="97">
        <v>4</v>
      </c>
      <c r="AM212" s="20">
        <f t="shared" si="57"/>
        <v>745</v>
      </c>
      <c r="AN212" s="115">
        <f t="shared" si="58"/>
        <v>-2682000000</v>
      </c>
      <c r="AO212" s="20"/>
      <c r="AT212" t="s">
        <v>25</v>
      </c>
    </row>
    <row r="213" spans="7:47">
      <c r="G213" s="205" t="s">
        <v>5648</v>
      </c>
      <c r="H213" s="111">
        <v>2868508.1846330003</v>
      </c>
      <c r="P213" s="112"/>
      <c r="Q213" s="112"/>
      <c r="R213" s="187" t="s">
        <v>4725</v>
      </c>
      <c r="S213" s="187" t="s">
        <v>5812</v>
      </c>
      <c r="T213" s="186">
        <v>-22520813.151772</v>
      </c>
      <c r="U213" s="205" t="s">
        <v>4773</v>
      </c>
      <c r="V213" s="205">
        <v>154791</v>
      </c>
      <c r="W213" s="111">
        <v>293.53250000000003</v>
      </c>
      <c r="X213" s="111">
        <f t="shared" si="50"/>
        <v>45436189.207500003</v>
      </c>
      <c r="Y213" s="97" t="s">
        <v>452</v>
      </c>
      <c r="AI213" s="97">
        <v>193</v>
      </c>
      <c r="AJ213" s="111" t="s">
        <v>5223</v>
      </c>
      <c r="AK213" s="111">
        <v>-1000000</v>
      </c>
      <c r="AL213" s="97">
        <v>5</v>
      </c>
      <c r="AM213" s="20">
        <f t="shared" si="57"/>
        <v>741</v>
      </c>
      <c r="AN213" s="115">
        <f t="shared" si="58"/>
        <v>-741000000</v>
      </c>
      <c r="AO213" s="20"/>
      <c r="AS213" t="s">
        <v>25</v>
      </c>
    </row>
    <row r="214" spans="7:47">
      <c r="G214" s="205" t="s">
        <v>5649</v>
      </c>
      <c r="H214" s="111">
        <v>17450393.011856001</v>
      </c>
      <c r="R214" s="19" t="s">
        <v>6197</v>
      </c>
      <c r="S214" s="19" t="s">
        <v>6195</v>
      </c>
      <c r="T214" s="115">
        <v>-6000000</v>
      </c>
      <c r="U214" s="205" t="s">
        <v>4773</v>
      </c>
      <c r="V214" s="205">
        <v>-11923</v>
      </c>
      <c r="W214" s="111">
        <v>293.53250000000003</v>
      </c>
      <c r="X214" s="111">
        <f t="shared" si="50"/>
        <v>-3499787.9975000005</v>
      </c>
      <c r="Y214" s="97" t="s">
        <v>452</v>
      </c>
      <c r="AI214" s="97">
        <v>194</v>
      </c>
      <c r="AJ214" s="111" t="s">
        <v>5228</v>
      </c>
      <c r="AK214" s="111">
        <v>360000</v>
      </c>
      <c r="AL214" s="97">
        <v>2</v>
      </c>
      <c r="AM214" s="20">
        <f t="shared" ref="AM214:AM278" si="59">AM215+AL214</f>
        <v>736</v>
      </c>
      <c r="AN214" s="115">
        <f t="shared" ref="AN214:AN278" si="60">AK214*AM214</f>
        <v>264960000</v>
      </c>
      <c r="AO214" s="20"/>
      <c r="AR214" t="s">
        <v>25</v>
      </c>
    </row>
    <row r="215" spans="7:47">
      <c r="G215" s="205" t="s">
        <v>5650</v>
      </c>
      <c r="H215" s="111">
        <v>31388943.254850004</v>
      </c>
      <c r="J215" t="s">
        <v>25</v>
      </c>
      <c r="O215" t="s">
        <v>25</v>
      </c>
      <c r="P215" s="112"/>
      <c r="Q215" s="112"/>
      <c r="R215" s="187" t="s">
        <v>5363</v>
      </c>
      <c r="S215" s="187" t="s">
        <v>6267</v>
      </c>
      <c r="T215" s="186">
        <v>130888.351165</v>
      </c>
      <c r="U215" s="205" t="s">
        <v>4785</v>
      </c>
      <c r="V215" s="205">
        <v>8424</v>
      </c>
      <c r="W215" s="111">
        <v>299.15170000000001</v>
      </c>
      <c r="X215" s="111">
        <f t="shared" si="50"/>
        <v>2520053.9208</v>
      </c>
      <c r="Y215" s="97" t="s">
        <v>452</v>
      </c>
      <c r="AI215" s="97">
        <v>195</v>
      </c>
      <c r="AJ215" s="111" t="s">
        <v>5233</v>
      </c>
      <c r="AK215" s="111">
        <v>2000000</v>
      </c>
      <c r="AL215" s="97">
        <v>1</v>
      </c>
      <c r="AM215" s="20">
        <f t="shared" si="59"/>
        <v>734</v>
      </c>
      <c r="AN215" s="115">
        <f t="shared" si="60"/>
        <v>1468000000</v>
      </c>
      <c r="AO215" s="20"/>
    </row>
    <row r="216" spans="7:47">
      <c r="G216" s="205" t="s">
        <v>5651</v>
      </c>
      <c r="H216" s="111">
        <v>30912095.373174001</v>
      </c>
      <c r="P216" s="112"/>
      <c r="R216" s="187" t="s">
        <v>6374</v>
      </c>
      <c r="S216" s="187" t="s">
        <v>6370</v>
      </c>
      <c r="T216" s="186">
        <v>50000000</v>
      </c>
      <c r="U216" s="205" t="s">
        <v>4820</v>
      </c>
      <c r="V216" s="205">
        <v>15943</v>
      </c>
      <c r="W216" s="111">
        <v>307.34415000000001</v>
      </c>
      <c r="X216" s="111">
        <f t="shared" si="50"/>
        <v>4899987.78345</v>
      </c>
      <c r="Y216" s="97" t="s">
        <v>452</v>
      </c>
      <c r="AI216" s="97">
        <v>196</v>
      </c>
      <c r="AJ216" s="111" t="s">
        <v>5235</v>
      </c>
      <c r="AK216" s="111">
        <v>20000000</v>
      </c>
      <c r="AL216" s="97">
        <v>0</v>
      </c>
      <c r="AM216" s="20">
        <f t="shared" si="59"/>
        <v>733</v>
      </c>
      <c r="AN216" s="115">
        <f t="shared" si="60"/>
        <v>14660000000</v>
      </c>
      <c r="AO216" s="20" t="s">
        <v>4668</v>
      </c>
      <c r="AS216" t="s">
        <v>25</v>
      </c>
    </row>
    <row r="217" spans="7:47">
      <c r="G217" s="205" t="s">
        <v>5653</v>
      </c>
      <c r="H217" s="111">
        <v>19602926.115093999</v>
      </c>
      <c r="K217" t="s">
        <v>25</v>
      </c>
      <c r="R217" s="19" t="s">
        <v>6398</v>
      </c>
      <c r="S217" s="19" t="s">
        <v>6397</v>
      </c>
      <c r="T217" s="115">
        <v>96000</v>
      </c>
      <c r="U217" s="205" t="s">
        <v>4832</v>
      </c>
      <c r="V217" s="205">
        <v>3741</v>
      </c>
      <c r="W217" s="111">
        <v>307.34415000000001</v>
      </c>
      <c r="X217" s="111">
        <f t="shared" si="50"/>
        <v>1149774.4651500001</v>
      </c>
      <c r="Y217" s="97" t="s">
        <v>452</v>
      </c>
      <c r="AA217" t="s">
        <v>25</v>
      </c>
      <c r="AI217" s="97">
        <v>197</v>
      </c>
      <c r="AJ217" s="111" t="s">
        <v>5235</v>
      </c>
      <c r="AK217" s="111">
        <v>-4700000</v>
      </c>
      <c r="AL217" s="97">
        <v>1</v>
      </c>
      <c r="AM217" s="20">
        <f t="shared" si="59"/>
        <v>733</v>
      </c>
      <c r="AN217" s="115">
        <f t="shared" si="60"/>
        <v>-3445100000</v>
      </c>
      <c r="AO217" s="20"/>
    </row>
    <row r="218" spans="7:47">
      <c r="G218" s="205" t="s">
        <v>5657</v>
      </c>
      <c r="H218" s="111">
        <v>34458590.308710001</v>
      </c>
      <c r="P218" s="112"/>
      <c r="R218" s="187" t="s">
        <v>6804</v>
      </c>
      <c r="S218" s="187" t="s">
        <v>6802</v>
      </c>
      <c r="T218" s="186">
        <v>-40615000</v>
      </c>
      <c r="U218" s="205" t="s">
        <v>4837</v>
      </c>
      <c r="V218" s="205">
        <v>-6207</v>
      </c>
      <c r="W218" s="111">
        <v>322.214</v>
      </c>
      <c r="X218" s="111">
        <f t="shared" si="50"/>
        <v>-1999982.298</v>
      </c>
      <c r="Y218" s="97" t="s">
        <v>743</v>
      </c>
      <c r="AI218" s="97">
        <v>198</v>
      </c>
      <c r="AJ218" s="111" t="s">
        <v>5238</v>
      </c>
      <c r="AK218" s="111">
        <v>3000000</v>
      </c>
      <c r="AL218" s="97">
        <v>4</v>
      </c>
      <c r="AM218" s="20">
        <f t="shared" si="59"/>
        <v>732</v>
      </c>
      <c r="AN218" s="115">
        <f t="shared" si="60"/>
        <v>2196000000</v>
      </c>
      <c r="AO218" s="20"/>
      <c r="AT218" t="s">
        <v>25</v>
      </c>
    </row>
    <row r="219" spans="7:47">
      <c r="G219" s="205" t="s">
        <v>5659</v>
      </c>
      <c r="H219" s="111">
        <v>21697868.203256</v>
      </c>
      <c r="P219" s="112"/>
      <c r="Q219" s="112"/>
      <c r="R219" s="187" t="s">
        <v>6827</v>
      </c>
      <c r="S219" s="187" t="s">
        <v>6826</v>
      </c>
      <c r="T219" s="186">
        <v>7300000</v>
      </c>
      <c r="U219" s="205" t="s">
        <v>4837</v>
      </c>
      <c r="V219" s="205">
        <v>6207</v>
      </c>
      <c r="W219" s="111">
        <v>322.214</v>
      </c>
      <c r="X219" s="111">
        <f t="shared" si="50"/>
        <v>1999982.298</v>
      </c>
      <c r="Y219" s="97" t="s">
        <v>4406</v>
      </c>
      <c r="AI219" s="97">
        <v>199</v>
      </c>
      <c r="AJ219" s="111" t="s">
        <v>5240</v>
      </c>
      <c r="AK219" s="111">
        <v>1500000</v>
      </c>
      <c r="AL219" s="97">
        <v>1</v>
      </c>
      <c r="AM219" s="20">
        <f t="shared" si="59"/>
        <v>728</v>
      </c>
      <c r="AN219" s="115">
        <f t="shared" si="60"/>
        <v>1092000000</v>
      </c>
      <c r="AO219" s="20"/>
    </row>
    <row r="220" spans="7:47">
      <c r="G220" s="205" t="s">
        <v>5661</v>
      </c>
      <c r="H220" s="111">
        <v>25340079.252110001</v>
      </c>
      <c r="Q220" s="112"/>
      <c r="R220" s="19" t="s">
        <v>6868</v>
      </c>
      <c r="S220" s="19" t="s">
        <v>6865</v>
      </c>
      <c r="T220" s="115">
        <v>-6128000</v>
      </c>
      <c r="U220" s="205" t="s">
        <v>4792</v>
      </c>
      <c r="V220" s="205">
        <v>776</v>
      </c>
      <c r="W220" s="111">
        <v>322.214</v>
      </c>
      <c r="X220" s="111">
        <f t="shared" si="50"/>
        <v>250038.06400000001</v>
      </c>
      <c r="Y220" s="97" t="s">
        <v>452</v>
      </c>
      <c r="AI220" s="97">
        <v>200</v>
      </c>
      <c r="AJ220" s="111" t="s">
        <v>5242</v>
      </c>
      <c r="AK220" s="111">
        <v>30000000</v>
      </c>
      <c r="AL220" s="97">
        <v>33</v>
      </c>
      <c r="AM220" s="20">
        <f t="shared" si="59"/>
        <v>727</v>
      </c>
      <c r="AN220" s="115">
        <f t="shared" si="60"/>
        <v>21810000000</v>
      </c>
      <c r="AO220" s="20"/>
    </row>
    <row r="221" spans="7:47">
      <c r="G221" s="205" t="s">
        <v>5662</v>
      </c>
      <c r="H221" s="111">
        <v>14780983.183526</v>
      </c>
      <c r="P221" s="112"/>
      <c r="Q221" s="112"/>
      <c r="R221" s="187" t="s">
        <v>6918</v>
      </c>
      <c r="S221" s="187" t="s">
        <v>6916</v>
      </c>
      <c r="T221" s="186">
        <v>-79825035</v>
      </c>
      <c r="U221" s="205" t="s">
        <v>4859</v>
      </c>
      <c r="V221" s="205">
        <v>1524</v>
      </c>
      <c r="W221" s="111">
        <v>314.95999999999998</v>
      </c>
      <c r="X221" s="111">
        <f t="shared" si="50"/>
        <v>479999.04</v>
      </c>
      <c r="Y221" s="97" t="s">
        <v>1069</v>
      </c>
      <c r="AI221" s="97">
        <v>201</v>
      </c>
      <c r="AJ221" s="111" t="s">
        <v>5316</v>
      </c>
      <c r="AK221" s="111">
        <v>3000000</v>
      </c>
      <c r="AL221" s="97">
        <v>1</v>
      </c>
      <c r="AM221" s="20">
        <f t="shared" si="59"/>
        <v>694</v>
      </c>
      <c r="AN221" s="115">
        <f t="shared" si="60"/>
        <v>2082000000</v>
      </c>
      <c r="AO221" s="20"/>
    </row>
    <row r="222" spans="7:47">
      <c r="G222" s="205" t="s">
        <v>5665</v>
      </c>
      <c r="H222" s="111">
        <v>17804396.448481999</v>
      </c>
      <c r="P222" t="s">
        <v>25</v>
      </c>
      <c r="Q222" s="112"/>
      <c r="R222" s="19" t="s">
        <v>6943</v>
      </c>
      <c r="S222" s="19" t="s">
        <v>6938</v>
      </c>
      <c r="T222" s="115">
        <v>-11300000</v>
      </c>
      <c r="U222" s="205" t="s">
        <v>4866</v>
      </c>
      <c r="V222" s="205">
        <v>4435</v>
      </c>
      <c r="W222" s="111">
        <v>316.4375</v>
      </c>
      <c r="X222" s="111">
        <f t="shared" si="50"/>
        <v>1403400.3125</v>
      </c>
      <c r="Y222" s="97" t="s">
        <v>452</v>
      </c>
      <c r="AI222" s="97">
        <v>202</v>
      </c>
      <c r="AJ222" s="111" t="s">
        <v>5317</v>
      </c>
      <c r="AK222" s="111">
        <v>7000000</v>
      </c>
      <c r="AL222" s="97">
        <v>4</v>
      </c>
      <c r="AM222" s="20">
        <f t="shared" si="59"/>
        <v>693</v>
      </c>
      <c r="AN222" s="115">
        <f t="shared" si="60"/>
        <v>4851000000</v>
      </c>
      <c r="AO222" s="20"/>
    </row>
    <row r="223" spans="7:47">
      <c r="G223" s="205" t="s">
        <v>5668</v>
      </c>
      <c r="H223" s="111">
        <v>11538335.631417999</v>
      </c>
      <c r="Q223" s="112"/>
      <c r="R223" s="187"/>
      <c r="S223" s="187" t="s">
        <v>6964</v>
      </c>
      <c r="T223" s="186">
        <v>-15162600</v>
      </c>
      <c r="U223" s="205" t="s">
        <v>4869</v>
      </c>
      <c r="V223" s="205">
        <v>624</v>
      </c>
      <c r="W223" s="111">
        <v>320.5</v>
      </c>
      <c r="X223" s="111">
        <f t="shared" si="50"/>
        <v>199992</v>
      </c>
      <c r="Y223" s="97" t="s">
        <v>452</v>
      </c>
      <c r="AI223" s="97">
        <v>203</v>
      </c>
      <c r="AJ223" s="111" t="s">
        <v>5325</v>
      </c>
      <c r="AK223" s="111">
        <v>8800000</v>
      </c>
      <c r="AL223" s="97">
        <v>2</v>
      </c>
      <c r="AM223" s="20">
        <f t="shared" si="59"/>
        <v>689</v>
      </c>
      <c r="AN223" s="115">
        <f t="shared" si="60"/>
        <v>6063200000</v>
      </c>
      <c r="AO223" s="20"/>
    </row>
    <row r="224" spans="7:47" ht="28.5" customHeight="1">
      <c r="G224" s="205" t="s">
        <v>5669</v>
      </c>
      <c r="H224" s="111">
        <v>12429517.767776001</v>
      </c>
      <c r="Q224" s="112"/>
      <c r="R224" s="187"/>
      <c r="S224" s="187" t="s">
        <v>6970</v>
      </c>
      <c r="T224" s="186">
        <v>-10216551.764954999</v>
      </c>
      <c r="U224" s="205" t="s">
        <v>4874</v>
      </c>
      <c r="V224" s="205">
        <v>1086</v>
      </c>
      <c r="W224" s="111">
        <v>317.55</v>
      </c>
      <c r="X224" s="111">
        <f t="shared" si="50"/>
        <v>344859.3</v>
      </c>
      <c r="Y224" s="97" t="s">
        <v>452</v>
      </c>
      <c r="AI224" s="97">
        <v>204</v>
      </c>
      <c r="AJ224" s="111" t="s">
        <v>5330</v>
      </c>
      <c r="AK224" s="111">
        <v>40000000</v>
      </c>
      <c r="AL224" s="97">
        <v>8</v>
      </c>
      <c r="AM224" s="20">
        <f t="shared" si="59"/>
        <v>687</v>
      </c>
      <c r="AN224" s="115">
        <f t="shared" si="60"/>
        <v>27480000000</v>
      </c>
      <c r="AO224" s="20" t="s">
        <v>4668</v>
      </c>
    </row>
    <row r="225" spans="4:46">
      <c r="G225" s="205" t="s">
        <v>5677</v>
      </c>
      <c r="H225" s="111">
        <v>5031176.5087869996</v>
      </c>
      <c r="J225" t="s">
        <v>25</v>
      </c>
      <c r="P225" s="112"/>
      <c r="Q225" s="112"/>
      <c r="R225" s="187"/>
      <c r="S225" s="187" t="s">
        <v>6976</v>
      </c>
      <c r="T225" s="186">
        <v>-5095614.0723999999</v>
      </c>
      <c r="U225" s="205" t="s">
        <v>4879</v>
      </c>
      <c r="V225" s="205">
        <v>2820</v>
      </c>
      <c r="W225" s="111">
        <v>319.1096</v>
      </c>
      <c r="X225" s="111">
        <f t="shared" si="50"/>
        <v>899889.07200000004</v>
      </c>
      <c r="Y225" s="97" t="s">
        <v>452</v>
      </c>
      <c r="AI225" s="97">
        <v>205</v>
      </c>
      <c r="AJ225" s="111" t="s">
        <v>5345</v>
      </c>
      <c r="AK225" s="111">
        <v>400000</v>
      </c>
      <c r="AL225" s="97">
        <v>17</v>
      </c>
      <c r="AM225" s="20">
        <f t="shared" si="59"/>
        <v>679</v>
      </c>
      <c r="AN225" s="115">
        <f t="shared" si="60"/>
        <v>271600000</v>
      </c>
      <c r="AO225" s="20"/>
      <c r="AS225" t="s">
        <v>25</v>
      </c>
    </row>
    <row r="226" spans="4:46">
      <c r="G226" s="205" t="s">
        <v>5679</v>
      </c>
      <c r="H226" s="111">
        <v>6822803.9080700008</v>
      </c>
      <c r="J226" t="s">
        <v>25</v>
      </c>
      <c r="P226" s="112"/>
      <c r="Q226" s="112"/>
      <c r="R226" s="19"/>
      <c r="S226" s="19"/>
      <c r="T226" s="115"/>
      <c r="U226" s="205" t="s">
        <v>4882</v>
      </c>
      <c r="V226" s="205">
        <v>1145</v>
      </c>
      <c r="W226" s="111">
        <v>325.44</v>
      </c>
      <c r="X226" s="111">
        <f t="shared" si="50"/>
        <v>372628.8</v>
      </c>
      <c r="Y226" s="97" t="s">
        <v>452</v>
      </c>
      <c r="Z226" t="s">
        <v>25</v>
      </c>
      <c r="AI226" s="97">
        <v>206</v>
      </c>
      <c r="AJ226" s="111" t="s">
        <v>5365</v>
      </c>
      <c r="AK226" s="111">
        <v>-20000000</v>
      </c>
      <c r="AL226" s="97">
        <v>18</v>
      </c>
      <c r="AM226" s="20">
        <f t="shared" si="59"/>
        <v>662</v>
      </c>
      <c r="AN226" s="115">
        <f t="shared" si="60"/>
        <v>-13240000000</v>
      </c>
      <c r="AO226" s="20" t="s">
        <v>4953</v>
      </c>
    </row>
    <row r="227" spans="4:46">
      <c r="D227" s="94"/>
      <c r="E227" s="94"/>
      <c r="G227" s="205" t="s">
        <v>5683</v>
      </c>
      <c r="H227" s="111">
        <v>330889.73324399994</v>
      </c>
      <c r="P227" s="112"/>
      <c r="Q227" s="112"/>
      <c r="R227" s="19"/>
      <c r="S227" s="19"/>
      <c r="T227" s="115"/>
      <c r="U227" s="205" t="s">
        <v>4890</v>
      </c>
      <c r="V227" s="205">
        <v>20153</v>
      </c>
      <c r="W227" s="111">
        <v>322</v>
      </c>
      <c r="X227" s="111">
        <f t="shared" si="50"/>
        <v>6489266</v>
      </c>
      <c r="Y227" s="97" t="s">
        <v>452</v>
      </c>
      <c r="AI227" s="97">
        <v>207</v>
      </c>
      <c r="AJ227" s="111" t="s">
        <v>5379</v>
      </c>
      <c r="AK227" s="111">
        <v>3006000</v>
      </c>
      <c r="AL227" s="97">
        <v>19</v>
      </c>
      <c r="AM227" s="20">
        <f t="shared" si="59"/>
        <v>644</v>
      </c>
      <c r="AN227" s="115">
        <f t="shared" si="60"/>
        <v>1935864000</v>
      </c>
      <c r="AO227" s="20"/>
    </row>
    <row r="228" spans="4:46">
      <c r="D228" s="94"/>
      <c r="E228" s="94"/>
      <c r="G228" s="205" t="s">
        <v>5692</v>
      </c>
      <c r="H228" s="111">
        <v>6610318.1610199995</v>
      </c>
      <c r="P228" s="112"/>
      <c r="R228" s="205" t="s">
        <v>25</v>
      </c>
      <c r="S228" s="205"/>
      <c r="T228" s="111"/>
      <c r="U228" s="205" t="s">
        <v>4900</v>
      </c>
      <c r="V228" s="205">
        <v>93720</v>
      </c>
      <c r="W228" s="111">
        <v>325.435</v>
      </c>
      <c r="X228" s="111">
        <f t="shared" si="50"/>
        <v>30499768.199999999</v>
      </c>
      <c r="Y228" s="97" t="s">
        <v>1069</v>
      </c>
      <c r="AI228" s="97">
        <v>208</v>
      </c>
      <c r="AJ228" s="111" t="s">
        <v>5278</v>
      </c>
      <c r="AK228" s="111">
        <v>-130382924</v>
      </c>
      <c r="AL228" s="97">
        <v>0</v>
      </c>
      <c r="AM228" s="20">
        <f t="shared" si="59"/>
        <v>625</v>
      </c>
      <c r="AN228" s="115">
        <f t="shared" si="60"/>
        <v>-81489327500</v>
      </c>
      <c r="AO228" s="20" t="s">
        <v>5402</v>
      </c>
      <c r="AS228" t="s">
        <v>25</v>
      </c>
    </row>
    <row r="229" spans="4:46">
      <c r="D229" s="94"/>
      <c r="E229" s="94"/>
      <c r="F229" s="94"/>
      <c r="G229" s="205" t="s">
        <v>5693</v>
      </c>
      <c r="H229" s="111">
        <v>710713.17725199996</v>
      </c>
      <c r="P229" s="112"/>
      <c r="R229" s="205"/>
      <c r="S229" s="205"/>
      <c r="T229" s="111">
        <f>SUM(T175:T228)</f>
        <v>-89843.705263983458</v>
      </c>
      <c r="U229" s="205" t="s">
        <v>4900</v>
      </c>
      <c r="V229" s="205">
        <v>20895</v>
      </c>
      <c r="W229" s="111">
        <v>325.435</v>
      </c>
      <c r="X229" s="111">
        <f t="shared" si="50"/>
        <v>6799964.3250000002</v>
      </c>
      <c r="Y229" s="97" t="s">
        <v>743</v>
      </c>
      <c r="AI229" s="97">
        <v>209</v>
      </c>
      <c r="AJ229" s="111" t="s">
        <v>5278</v>
      </c>
      <c r="AK229" s="111">
        <v>125000000</v>
      </c>
      <c r="AL229" s="97">
        <v>1</v>
      </c>
      <c r="AM229" s="20">
        <f t="shared" si="59"/>
        <v>625</v>
      </c>
      <c r="AN229" s="115">
        <f t="shared" si="60"/>
        <v>78125000000</v>
      </c>
      <c r="AO229" s="20"/>
      <c r="AS229" t="s">
        <v>25</v>
      </c>
    </row>
    <row r="230" spans="4:46">
      <c r="D230" s="94"/>
      <c r="E230" s="94"/>
      <c r="F230" s="94"/>
      <c r="G230" s="205" t="s">
        <v>5695</v>
      </c>
      <c r="H230" s="111">
        <v>81025</v>
      </c>
      <c r="P230" s="112"/>
      <c r="Q230" s="112"/>
      <c r="R230" s="41"/>
      <c r="S230" s="205"/>
      <c r="T230" s="205" t="s">
        <v>6</v>
      </c>
      <c r="U230" s="205" t="s">
        <v>4907</v>
      </c>
      <c r="V230" s="205">
        <v>2611</v>
      </c>
      <c r="W230" s="111">
        <v>325.435</v>
      </c>
      <c r="X230" s="111">
        <f t="shared" si="50"/>
        <v>849710.78500000003</v>
      </c>
      <c r="Y230" s="97" t="s">
        <v>743</v>
      </c>
      <c r="AI230" s="97">
        <v>210</v>
      </c>
      <c r="AJ230" s="111" t="s">
        <v>5401</v>
      </c>
      <c r="AK230" s="111">
        <v>7200000</v>
      </c>
      <c r="AL230" s="97">
        <v>15</v>
      </c>
      <c r="AM230" s="20">
        <f t="shared" si="59"/>
        <v>624</v>
      </c>
      <c r="AN230" s="115">
        <f t="shared" si="60"/>
        <v>4492800000</v>
      </c>
      <c r="AO230" s="20"/>
      <c r="AR230" t="s">
        <v>25</v>
      </c>
      <c r="AT230" t="s">
        <v>25</v>
      </c>
    </row>
    <row r="231" spans="4:46">
      <c r="D231" s="94"/>
      <c r="E231" s="94"/>
      <c r="F231" s="94"/>
      <c r="G231" s="205" t="s">
        <v>5698</v>
      </c>
      <c r="H231" s="111">
        <v>219696.613128</v>
      </c>
      <c r="P231" s="112"/>
      <c r="Q231" s="112"/>
      <c r="R231" s="94"/>
      <c r="U231" s="205" t="s">
        <v>4915</v>
      </c>
      <c r="V231" s="205">
        <v>6750</v>
      </c>
      <c r="W231" s="111">
        <v>339.3</v>
      </c>
      <c r="X231" s="111">
        <f t="shared" si="50"/>
        <v>2290275</v>
      </c>
      <c r="Y231" s="97" t="s">
        <v>743</v>
      </c>
      <c r="AB231" t="s">
        <v>25</v>
      </c>
      <c r="AI231" s="97">
        <v>211</v>
      </c>
      <c r="AJ231" s="111" t="s">
        <v>5420</v>
      </c>
      <c r="AK231" s="111">
        <v>2050000</v>
      </c>
      <c r="AL231" s="97">
        <v>7</v>
      </c>
      <c r="AM231" s="20">
        <f t="shared" si="59"/>
        <v>609</v>
      </c>
      <c r="AN231" s="115">
        <f t="shared" si="60"/>
        <v>1248450000</v>
      </c>
      <c r="AO231" s="20"/>
      <c r="AS231" t="s">
        <v>25</v>
      </c>
      <c r="AT231" t="s">
        <v>25</v>
      </c>
    </row>
    <row r="232" spans="4:46">
      <c r="D232" s="94"/>
      <c r="E232" s="94"/>
      <c r="F232" s="94"/>
      <c r="G232" s="205" t="s">
        <v>5699</v>
      </c>
      <c r="H232" s="111">
        <v>6035472.4070199998</v>
      </c>
      <c r="P232" s="112"/>
      <c r="R232" s="94" t="s">
        <v>25</v>
      </c>
      <c r="S232" s="94" t="s">
        <v>25</v>
      </c>
      <c r="U232" s="205" t="s">
        <v>4923</v>
      </c>
      <c r="V232" s="205">
        <v>1850</v>
      </c>
      <c r="W232" s="111">
        <v>334.10050000000001</v>
      </c>
      <c r="X232" s="111">
        <f t="shared" si="50"/>
        <v>618085.92500000005</v>
      </c>
      <c r="Y232" s="97" t="s">
        <v>452</v>
      </c>
      <c r="Z232" t="s">
        <v>25</v>
      </c>
      <c r="AI232" s="97">
        <v>212</v>
      </c>
      <c r="AJ232" s="111" t="s">
        <v>5437</v>
      </c>
      <c r="AK232" s="111">
        <v>50000000</v>
      </c>
      <c r="AL232" s="97">
        <v>24</v>
      </c>
      <c r="AM232" s="20">
        <f t="shared" si="59"/>
        <v>602</v>
      </c>
      <c r="AN232" s="115">
        <f t="shared" si="60"/>
        <v>30100000000</v>
      </c>
      <c r="AO232" s="20" t="s">
        <v>4668</v>
      </c>
    </row>
    <row r="233" spans="4:46">
      <c r="D233" s="94"/>
      <c r="E233" s="94"/>
      <c r="F233" s="94"/>
      <c r="G233" s="205" t="s">
        <v>5700</v>
      </c>
      <c r="H233" s="111">
        <v>984486.34963200008</v>
      </c>
      <c r="P233" s="112"/>
      <c r="R233" s="94" t="s">
        <v>25</v>
      </c>
      <c r="S233" s="94" t="s">
        <v>25</v>
      </c>
      <c r="T233" t="s">
        <v>25</v>
      </c>
      <c r="U233" s="205" t="s">
        <v>4923</v>
      </c>
      <c r="V233" s="205">
        <v>-1194</v>
      </c>
      <c r="W233" s="111">
        <v>335</v>
      </c>
      <c r="X233" s="111">
        <f t="shared" si="50"/>
        <v>-399990</v>
      </c>
      <c r="Y233" s="97" t="s">
        <v>4406</v>
      </c>
      <c r="Z233" t="s">
        <v>25</v>
      </c>
      <c r="AI233" s="97">
        <v>213</v>
      </c>
      <c r="AJ233" s="111" t="s">
        <v>5473</v>
      </c>
      <c r="AK233" s="111">
        <v>-58196600</v>
      </c>
      <c r="AL233" s="97">
        <v>22</v>
      </c>
      <c r="AM233" s="20">
        <f t="shared" si="59"/>
        <v>578</v>
      </c>
      <c r="AN233" s="115">
        <f t="shared" si="60"/>
        <v>-33637634800</v>
      </c>
      <c r="AO233" s="20" t="s">
        <v>4846</v>
      </c>
    </row>
    <row r="234" spans="4:46">
      <c r="F234" s="94"/>
      <c r="G234" s="205" t="s">
        <v>5701</v>
      </c>
      <c r="H234" s="111">
        <v>2143469.938015</v>
      </c>
      <c r="T234" t="s">
        <v>25</v>
      </c>
      <c r="U234" s="205" t="s">
        <v>4923</v>
      </c>
      <c r="V234" s="205">
        <v>1194</v>
      </c>
      <c r="W234" s="111">
        <v>335</v>
      </c>
      <c r="X234" s="111">
        <f t="shared" si="50"/>
        <v>399990</v>
      </c>
      <c r="Y234" s="97" t="s">
        <v>743</v>
      </c>
      <c r="AI234" s="97">
        <v>214</v>
      </c>
      <c r="AJ234" s="111" t="s">
        <v>5514</v>
      </c>
      <c r="AK234" s="111">
        <v>25000</v>
      </c>
      <c r="AL234" s="97">
        <v>8</v>
      </c>
      <c r="AM234" s="20">
        <f t="shared" si="59"/>
        <v>556</v>
      </c>
      <c r="AN234" s="115">
        <f t="shared" si="60"/>
        <v>13900000</v>
      </c>
      <c r="AO234" s="20"/>
    </row>
    <row r="235" spans="4:46">
      <c r="F235" s="94"/>
      <c r="G235" s="205" t="s">
        <v>5711</v>
      </c>
      <c r="H235" s="111">
        <v>3085460.5177150001</v>
      </c>
      <c r="R235" s="97" t="s">
        <v>743</v>
      </c>
      <c r="S235" s="97"/>
      <c r="T235" t="s">
        <v>25</v>
      </c>
      <c r="U235" s="205" t="s">
        <v>4930</v>
      </c>
      <c r="V235" s="205">
        <v>433</v>
      </c>
      <c r="W235" s="111">
        <v>345.68</v>
      </c>
      <c r="X235" s="111">
        <f t="shared" si="50"/>
        <v>149679.44</v>
      </c>
      <c r="Y235" s="97" t="s">
        <v>743</v>
      </c>
      <c r="AI235" s="97">
        <v>215</v>
      </c>
      <c r="AJ235" s="111" t="s">
        <v>5535</v>
      </c>
      <c r="AK235" s="111">
        <v>70000</v>
      </c>
      <c r="AL235" s="97">
        <v>6</v>
      </c>
      <c r="AM235" s="20">
        <f t="shared" si="59"/>
        <v>548</v>
      </c>
      <c r="AN235" s="115">
        <f t="shared" si="60"/>
        <v>38360000</v>
      </c>
      <c r="AO235" s="20"/>
    </row>
    <row r="236" spans="4:46">
      <c r="G236" s="205" t="s">
        <v>5712</v>
      </c>
      <c r="H236" s="111">
        <v>8261456.790906</v>
      </c>
      <c r="P236" s="112"/>
      <c r="R236" s="97" t="s">
        <v>4399</v>
      </c>
      <c r="S236" s="93">
        <v>172908000</v>
      </c>
      <c r="T236" t="s">
        <v>25</v>
      </c>
      <c r="U236" s="205" t="s">
        <v>4934</v>
      </c>
      <c r="V236" s="205">
        <v>55459</v>
      </c>
      <c r="W236" s="111">
        <v>362.51978000000003</v>
      </c>
      <c r="X236" s="111">
        <f t="shared" si="50"/>
        <v>20104984.479020003</v>
      </c>
      <c r="Y236" s="97" t="s">
        <v>452</v>
      </c>
      <c r="AI236" s="97">
        <v>216</v>
      </c>
      <c r="AJ236" s="111" t="s">
        <v>5540</v>
      </c>
      <c r="AK236" s="111">
        <v>70000</v>
      </c>
      <c r="AL236" s="97">
        <v>1</v>
      </c>
      <c r="AM236" s="20">
        <f t="shared" si="59"/>
        <v>542</v>
      </c>
      <c r="AN236" s="115">
        <f t="shared" si="60"/>
        <v>37940000</v>
      </c>
      <c r="AO236" s="20"/>
      <c r="AS236" t="s">
        <v>25</v>
      </c>
    </row>
    <row r="237" spans="4:46">
      <c r="G237" s="205" t="s">
        <v>5713</v>
      </c>
      <c r="H237" s="111">
        <v>6572373.7593120001</v>
      </c>
      <c r="K237" t="s">
        <v>25</v>
      </c>
      <c r="P237" s="112"/>
      <c r="R237" s="97" t="s">
        <v>4429</v>
      </c>
      <c r="S237" s="93">
        <v>1400000</v>
      </c>
      <c r="U237" s="205" t="s">
        <v>4938</v>
      </c>
      <c r="V237" s="205">
        <v>-57212</v>
      </c>
      <c r="W237" s="111">
        <v>368.45400000000001</v>
      </c>
      <c r="X237" s="111">
        <f t="shared" si="50"/>
        <v>-21079990.248</v>
      </c>
      <c r="Y237" s="97" t="s">
        <v>452</v>
      </c>
      <c r="AI237" s="97">
        <v>217</v>
      </c>
      <c r="AJ237" s="111" t="s">
        <v>5529</v>
      </c>
      <c r="AK237" s="111">
        <v>150000</v>
      </c>
      <c r="AL237" s="97">
        <v>0</v>
      </c>
      <c r="AM237" s="20">
        <f t="shared" si="59"/>
        <v>541</v>
      </c>
      <c r="AN237" s="115">
        <f t="shared" si="60"/>
        <v>81150000</v>
      </c>
      <c r="AO237" s="20"/>
      <c r="AR237" t="s">
        <v>25</v>
      </c>
      <c r="AT237" t="s">
        <v>25</v>
      </c>
    </row>
    <row r="238" spans="4:46">
      <c r="G238" s="205" t="s">
        <v>5717</v>
      </c>
      <c r="H238" s="111">
        <v>2893243.5730909999</v>
      </c>
      <c r="R238" s="97" t="s">
        <v>4205</v>
      </c>
      <c r="S238" s="93">
        <v>247393</v>
      </c>
      <c r="T238" t="s">
        <v>25</v>
      </c>
      <c r="U238" s="205" t="s">
        <v>4939</v>
      </c>
      <c r="V238" s="205">
        <v>-15881</v>
      </c>
      <c r="W238" s="111">
        <v>374.61599999999999</v>
      </c>
      <c r="X238" s="111">
        <f t="shared" si="50"/>
        <v>-5949276.6959999995</v>
      </c>
      <c r="Y238" s="97" t="s">
        <v>452</v>
      </c>
      <c r="AI238" s="97">
        <v>218</v>
      </c>
      <c r="AJ238" s="111" t="s">
        <v>5529</v>
      </c>
      <c r="AK238" s="111">
        <v>-95599450</v>
      </c>
      <c r="AL238" s="97">
        <v>7</v>
      </c>
      <c r="AM238" s="20">
        <f t="shared" si="59"/>
        <v>541</v>
      </c>
      <c r="AN238" s="115">
        <f t="shared" si="60"/>
        <v>-51719302450</v>
      </c>
      <c r="AO238" s="20" t="s">
        <v>5543</v>
      </c>
      <c r="AS238" t="s">
        <v>25</v>
      </c>
    </row>
    <row r="239" spans="4:46">
      <c r="G239" s="205" t="s">
        <v>5718</v>
      </c>
      <c r="H239" s="111">
        <v>94992058.939007998</v>
      </c>
      <c r="J239" t="s">
        <v>25</v>
      </c>
      <c r="R239" s="97" t="s">
        <v>4204</v>
      </c>
      <c r="S239" s="93">
        <v>6780000</v>
      </c>
      <c r="U239" s="205" t="s">
        <v>4945</v>
      </c>
      <c r="V239" s="205">
        <v>-41289</v>
      </c>
      <c r="W239" s="111">
        <v>372.27</v>
      </c>
      <c r="X239" s="111">
        <f t="shared" si="50"/>
        <v>-15370656.029999999</v>
      </c>
      <c r="Y239" s="97" t="s">
        <v>452</v>
      </c>
      <c r="AI239" s="97">
        <v>219</v>
      </c>
      <c r="AJ239" s="111" t="s">
        <v>5551</v>
      </c>
      <c r="AK239" s="111">
        <v>200000</v>
      </c>
      <c r="AL239" s="97">
        <v>7</v>
      </c>
      <c r="AM239" s="20">
        <f t="shared" si="59"/>
        <v>534</v>
      </c>
      <c r="AN239" s="115">
        <f t="shared" si="60"/>
        <v>106800000</v>
      </c>
      <c r="AO239" s="20"/>
      <c r="AS239" t="s">
        <v>25</v>
      </c>
    </row>
    <row r="240" spans="4:46">
      <c r="G240" s="205" t="s">
        <v>5723</v>
      </c>
      <c r="H240" s="111">
        <v>275021.925965</v>
      </c>
      <c r="K240" t="s">
        <v>25</v>
      </c>
      <c r="R240" s="97" t="s">
        <v>4527</v>
      </c>
      <c r="S240" s="93">
        <v>-4000000</v>
      </c>
      <c r="U240" s="205" t="s">
        <v>4951</v>
      </c>
      <c r="V240" s="205">
        <v>13563</v>
      </c>
      <c r="W240" s="111">
        <v>365.69799999999998</v>
      </c>
      <c r="X240" s="111">
        <f t="shared" si="50"/>
        <v>4959961.9739999995</v>
      </c>
      <c r="Y240" s="97" t="s">
        <v>452</v>
      </c>
      <c r="AI240" s="97">
        <v>220</v>
      </c>
      <c r="AJ240" s="111" t="s">
        <v>5556</v>
      </c>
      <c r="AK240" s="111">
        <v>150000</v>
      </c>
      <c r="AL240" s="97">
        <v>5</v>
      </c>
      <c r="AM240" s="20">
        <f t="shared" si="59"/>
        <v>527</v>
      </c>
      <c r="AN240" s="115">
        <f t="shared" si="60"/>
        <v>79050000</v>
      </c>
      <c r="AO240" s="20"/>
    </row>
    <row r="241" spans="7:47">
      <c r="G241" s="205" t="s">
        <v>5728</v>
      </c>
      <c r="H241" s="111">
        <v>327451.9203</v>
      </c>
      <c r="R241" s="97" t="s">
        <v>4552</v>
      </c>
      <c r="S241" s="93">
        <v>16727037</v>
      </c>
      <c r="U241" s="205" t="s">
        <v>4951</v>
      </c>
      <c r="V241" s="205">
        <v>27344</v>
      </c>
      <c r="W241" s="111">
        <v>365.69799999999998</v>
      </c>
      <c r="X241" s="111">
        <f t="shared" si="50"/>
        <v>9999646.1119999997</v>
      </c>
      <c r="Y241" s="97" t="s">
        <v>452</v>
      </c>
      <c r="AI241" s="97">
        <v>221</v>
      </c>
      <c r="AJ241" s="111" t="s">
        <v>5559</v>
      </c>
      <c r="AK241" s="111">
        <v>310000</v>
      </c>
      <c r="AL241" s="97">
        <v>31</v>
      </c>
      <c r="AM241" s="20">
        <f t="shared" si="59"/>
        <v>522</v>
      </c>
      <c r="AN241" s="115">
        <f t="shared" si="60"/>
        <v>161820000</v>
      </c>
      <c r="AO241" s="20"/>
      <c r="AS241" t="s">
        <v>25</v>
      </c>
    </row>
    <row r="242" spans="7:47" ht="30">
      <c r="G242" s="205" t="s">
        <v>5738</v>
      </c>
      <c r="H242" s="111">
        <v>260081.94096800001</v>
      </c>
      <c r="R242" s="97" t="s">
        <v>4557</v>
      </c>
      <c r="S242" s="93">
        <v>46460683</v>
      </c>
      <c r="T242" t="s">
        <v>25</v>
      </c>
      <c r="U242" s="205" t="s">
        <v>4958</v>
      </c>
      <c r="V242" s="205">
        <v>-103145</v>
      </c>
      <c r="W242" s="111">
        <v>393.334</v>
      </c>
      <c r="X242" s="111">
        <f t="shared" si="50"/>
        <v>-40570435.43</v>
      </c>
      <c r="Y242" s="36" t="s">
        <v>4963</v>
      </c>
      <c r="AI242" s="97">
        <v>222</v>
      </c>
      <c r="AJ242" s="111" t="s">
        <v>5595</v>
      </c>
      <c r="AK242" s="111">
        <v>4200000</v>
      </c>
      <c r="AL242" s="97">
        <v>53</v>
      </c>
      <c r="AM242" s="20">
        <f t="shared" si="59"/>
        <v>491</v>
      </c>
      <c r="AN242" s="115">
        <f t="shared" si="60"/>
        <v>2062200000</v>
      </c>
      <c r="AO242" s="20"/>
      <c r="AU242" s="94" t="s">
        <v>25</v>
      </c>
    </row>
    <row r="243" spans="7:47">
      <c r="G243" s="205" t="s">
        <v>5746</v>
      </c>
      <c r="H243" s="111">
        <v>2909284.5308940001</v>
      </c>
      <c r="R243" s="97" t="s">
        <v>4558</v>
      </c>
      <c r="S243" s="93">
        <v>19663646</v>
      </c>
      <c r="U243" s="205" t="s">
        <v>4958</v>
      </c>
      <c r="V243" s="205">
        <v>-369</v>
      </c>
      <c r="W243" s="111">
        <v>393.334</v>
      </c>
      <c r="X243" s="111">
        <f t="shared" si="50"/>
        <v>-145140.24600000001</v>
      </c>
      <c r="Y243" s="36" t="s">
        <v>5035</v>
      </c>
      <c r="AI243" s="97">
        <v>223</v>
      </c>
      <c r="AJ243" s="111" t="s">
        <v>5665</v>
      </c>
      <c r="AK243" s="111">
        <v>260000000</v>
      </c>
      <c r="AL243" s="97">
        <v>22</v>
      </c>
      <c r="AM243" s="20">
        <f t="shared" si="59"/>
        <v>438</v>
      </c>
      <c r="AN243" s="115">
        <f t="shared" si="60"/>
        <v>113880000000</v>
      </c>
      <c r="AO243" s="20" t="s">
        <v>5666</v>
      </c>
    </row>
    <row r="244" spans="7:47">
      <c r="G244" s="205" t="s">
        <v>5747</v>
      </c>
      <c r="H244" s="111">
        <v>37723205.094084002</v>
      </c>
      <c r="R244" s="97" t="s">
        <v>4579</v>
      </c>
      <c r="S244" s="93">
        <v>4374525</v>
      </c>
      <c r="U244" s="205" t="s">
        <v>4958</v>
      </c>
      <c r="V244" s="205">
        <v>-889</v>
      </c>
      <c r="W244" s="111">
        <v>393.334</v>
      </c>
      <c r="X244" s="111">
        <f t="shared" si="50"/>
        <v>-349673.92599999998</v>
      </c>
      <c r="Y244" s="36" t="s">
        <v>5036</v>
      </c>
      <c r="AI244" s="97">
        <v>224</v>
      </c>
      <c r="AJ244" s="111" t="s">
        <v>5693</v>
      </c>
      <c r="AK244" s="111">
        <v>20000</v>
      </c>
      <c r="AL244" s="97">
        <v>7</v>
      </c>
      <c r="AM244" s="20">
        <f t="shared" si="59"/>
        <v>416</v>
      </c>
      <c r="AN244" s="115">
        <f t="shared" si="60"/>
        <v>8320000</v>
      </c>
      <c r="AO244" s="20"/>
      <c r="AQ244" t="s">
        <v>25</v>
      </c>
    </row>
    <row r="245" spans="7:47">
      <c r="G245" s="205" t="s">
        <v>5748</v>
      </c>
      <c r="H245" s="111">
        <v>1500094.75168</v>
      </c>
      <c r="R245" s="97" t="s">
        <v>4590</v>
      </c>
      <c r="S245" s="93">
        <v>6550580</v>
      </c>
      <c r="U245" s="205" t="s">
        <v>4967</v>
      </c>
      <c r="V245" s="205">
        <v>2546</v>
      </c>
      <c r="W245" s="111">
        <v>393</v>
      </c>
      <c r="X245" s="111">
        <f t="shared" si="50"/>
        <v>1000578</v>
      </c>
      <c r="Y245" s="36" t="s">
        <v>452</v>
      </c>
      <c r="AI245" s="97">
        <v>225</v>
      </c>
      <c r="AJ245" s="111" t="s">
        <v>5701</v>
      </c>
      <c r="AK245" s="111">
        <v>70000</v>
      </c>
      <c r="AL245" s="97">
        <v>1</v>
      </c>
      <c r="AM245" s="20">
        <f t="shared" si="59"/>
        <v>409</v>
      </c>
      <c r="AN245" s="115">
        <f t="shared" si="60"/>
        <v>28630000</v>
      </c>
      <c r="AO245" s="20"/>
    </row>
    <row r="246" spans="7:47">
      <c r="G246" s="205" t="s">
        <v>5749</v>
      </c>
      <c r="H246" s="111">
        <v>7230628.4378079996</v>
      </c>
      <c r="J246" t="s">
        <v>25</v>
      </c>
      <c r="R246" s="97" t="s">
        <v>4592</v>
      </c>
      <c r="S246" s="93">
        <v>6650895</v>
      </c>
      <c r="U246" s="205" t="s">
        <v>4968</v>
      </c>
      <c r="V246" s="205">
        <v>1034</v>
      </c>
      <c r="W246" s="111">
        <v>386.608</v>
      </c>
      <c r="X246" s="111">
        <f t="shared" si="50"/>
        <v>399752.67200000002</v>
      </c>
      <c r="Y246" s="36" t="s">
        <v>452</v>
      </c>
      <c r="AI246" s="97">
        <v>226</v>
      </c>
      <c r="AJ246" s="111" t="s">
        <v>5707</v>
      </c>
      <c r="AK246" s="111">
        <v>330000</v>
      </c>
      <c r="AL246" s="97">
        <v>1</v>
      </c>
      <c r="AM246" s="20">
        <f t="shared" si="59"/>
        <v>408</v>
      </c>
      <c r="AN246" s="115">
        <f t="shared" si="60"/>
        <v>134640000</v>
      </c>
      <c r="AO246" s="20"/>
    </row>
    <row r="247" spans="7:47">
      <c r="G247" s="205" t="s">
        <v>5751</v>
      </c>
      <c r="H247" s="111">
        <v>29767389.390390001</v>
      </c>
      <c r="R247" s="97" t="s">
        <v>4605</v>
      </c>
      <c r="S247" s="93">
        <v>2145814</v>
      </c>
      <c r="U247" s="205" t="s">
        <v>4975</v>
      </c>
      <c r="V247" s="205">
        <v>300</v>
      </c>
      <c r="W247" s="111">
        <v>400</v>
      </c>
      <c r="X247" s="111">
        <f t="shared" si="50"/>
        <v>120000</v>
      </c>
      <c r="Y247" s="36" t="s">
        <v>452</v>
      </c>
      <c r="AI247" s="97">
        <v>227</v>
      </c>
      <c r="AJ247" s="111" t="s">
        <v>5796</v>
      </c>
      <c r="AK247" s="111">
        <v>33833075</v>
      </c>
      <c r="AL247" s="97">
        <v>18</v>
      </c>
      <c r="AM247" s="20">
        <f t="shared" si="59"/>
        <v>407</v>
      </c>
      <c r="AN247" s="115">
        <f t="shared" si="60"/>
        <v>13770061525</v>
      </c>
      <c r="AO247" s="20" t="s">
        <v>5800</v>
      </c>
    </row>
    <row r="248" spans="7:47">
      <c r="G248" s="205" t="s">
        <v>5753</v>
      </c>
      <c r="H248" s="111">
        <v>151560.25597</v>
      </c>
      <c r="P248" t="s">
        <v>25</v>
      </c>
      <c r="R248" s="97" t="s">
        <v>4616</v>
      </c>
      <c r="S248" s="93">
        <v>4369730</v>
      </c>
      <c r="U248" s="205" t="s">
        <v>4983</v>
      </c>
      <c r="V248" s="205">
        <v>782</v>
      </c>
      <c r="W248" s="111">
        <v>409</v>
      </c>
      <c r="X248" s="111">
        <f t="shared" si="50"/>
        <v>319838</v>
      </c>
      <c r="Y248" s="36" t="s">
        <v>743</v>
      </c>
      <c r="AI248" s="97">
        <v>228</v>
      </c>
      <c r="AJ248" s="111" t="s">
        <v>5807</v>
      </c>
      <c r="AK248" s="111">
        <v>150000</v>
      </c>
      <c r="AL248" s="97">
        <v>10</v>
      </c>
      <c r="AM248" s="20">
        <f t="shared" si="59"/>
        <v>389</v>
      </c>
      <c r="AN248" s="115">
        <f t="shared" si="60"/>
        <v>58350000</v>
      </c>
      <c r="AO248" s="20"/>
    </row>
    <row r="249" spans="7:47">
      <c r="G249" s="205" t="s">
        <v>5754</v>
      </c>
      <c r="H249" s="111">
        <v>481318.88078800001</v>
      </c>
      <c r="J249" t="s">
        <v>25</v>
      </c>
      <c r="R249" s="97" t="s">
        <v>4618</v>
      </c>
      <c r="S249" s="93">
        <v>8739459</v>
      </c>
      <c r="T249" t="s">
        <v>25</v>
      </c>
      <c r="U249" s="205" t="s">
        <v>4987</v>
      </c>
      <c r="V249" s="205">
        <v>1220</v>
      </c>
      <c r="W249" s="111">
        <v>409.9</v>
      </c>
      <c r="X249" s="111">
        <f t="shared" si="50"/>
        <v>500078</v>
      </c>
      <c r="Y249" s="36" t="s">
        <v>743</v>
      </c>
      <c r="AI249" s="97">
        <v>229</v>
      </c>
      <c r="AJ249" s="111" t="s">
        <v>5812</v>
      </c>
      <c r="AK249" s="111">
        <v>-341847876.93843603</v>
      </c>
      <c r="AL249" s="97">
        <v>1</v>
      </c>
      <c r="AM249" s="20">
        <f t="shared" si="59"/>
        <v>379</v>
      </c>
      <c r="AN249" s="115">
        <f t="shared" si="60"/>
        <v>-129560345359.66725</v>
      </c>
      <c r="AO249" s="20" t="s">
        <v>4725</v>
      </c>
      <c r="AQ249" t="s">
        <v>25</v>
      </c>
    </row>
    <row r="250" spans="7:47" ht="20.25" customHeight="1">
      <c r="G250" s="205" t="s">
        <v>5757</v>
      </c>
      <c r="H250" s="111">
        <v>146277.56820000001</v>
      </c>
      <c r="R250" s="97" t="s">
        <v>4627</v>
      </c>
      <c r="S250" s="93">
        <v>6667654</v>
      </c>
      <c r="U250" s="205" t="s">
        <v>4989</v>
      </c>
      <c r="V250" s="205">
        <v>1285</v>
      </c>
      <c r="W250" s="111">
        <v>388.84</v>
      </c>
      <c r="X250" s="111">
        <f t="shared" si="50"/>
        <v>499659.39999999997</v>
      </c>
      <c r="Y250" s="36" t="s">
        <v>452</v>
      </c>
      <c r="AI250" s="97">
        <v>230</v>
      </c>
      <c r="AJ250" s="111" t="s">
        <v>5823</v>
      </c>
      <c r="AK250" s="111">
        <v>100000000</v>
      </c>
      <c r="AL250" s="97">
        <v>0</v>
      </c>
      <c r="AM250" s="20">
        <f t="shared" si="59"/>
        <v>378</v>
      </c>
      <c r="AN250" s="115">
        <f t="shared" si="60"/>
        <v>37800000000</v>
      </c>
      <c r="AO250" s="20" t="s">
        <v>5824</v>
      </c>
    </row>
    <row r="251" spans="7:47" ht="30">
      <c r="G251" s="205" t="s">
        <v>5769</v>
      </c>
      <c r="H251" s="111">
        <v>424693.40162399999</v>
      </c>
      <c r="J251" t="s">
        <v>25</v>
      </c>
      <c r="R251" s="97" t="s">
        <v>4635</v>
      </c>
      <c r="S251" s="93">
        <v>8981245</v>
      </c>
      <c r="U251" s="205" t="s">
        <v>4980</v>
      </c>
      <c r="V251" s="205">
        <v>1924</v>
      </c>
      <c r="W251" s="111">
        <v>386.69600000000003</v>
      </c>
      <c r="X251" s="111">
        <f t="shared" si="50"/>
        <v>744003.10400000005</v>
      </c>
      <c r="Y251" s="36" t="s">
        <v>452</v>
      </c>
      <c r="AI251" s="97">
        <v>231</v>
      </c>
      <c r="AJ251" s="111" t="s">
        <v>5823</v>
      </c>
      <c r="AK251" s="111">
        <v>-100000000</v>
      </c>
      <c r="AL251" s="97">
        <v>1</v>
      </c>
      <c r="AM251" s="20">
        <f t="shared" si="59"/>
        <v>378</v>
      </c>
      <c r="AN251" s="115">
        <f t="shared" si="60"/>
        <v>-37800000000</v>
      </c>
      <c r="AO251" s="259" t="s">
        <v>5825</v>
      </c>
    </row>
    <row r="252" spans="7:47">
      <c r="G252" s="205" t="s">
        <v>5772</v>
      </c>
      <c r="H252" s="111">
        <v>558320.40202399995</v>
      </c>
      <c r="J252" t="s">
        <v>25</v>
      </c>
      <c r="R252" s="97" t="s">
        <v>4639</v>
      </c>
      <c r="S252" s="93">
        <v>9181756</v>
      </c>
      <c r="U252" s="205" t="s">
        <v>5005</v>
      </c>
      <c r="V252" s="205">
        <v>165</v>
      </c>
      <c r="W252" s="111">
        <v>393.5</v>
      </c>
      <c r="X252" s="111">
        <f t="shared" si="50"/>
        <v>64927.5</v>
      </c>
      <c r="Y252" s="36" t="s">
        <v>452</v>
      </c>
      <c r="AI252" s="97">
        <v>232</v>
      </c>
      <c r="AJ252" s="111" t="s">
        <v>5826</v>
      </c>
      <c r="AK252" s="111">
        <v>90000000</v>
      </c>
      <c r="AL252" s="97">
        <v>0</v>
      </c>
      <c r="AM252" s="20">
        <f t="shared" si="59"/>
        <v>377</v>
      </c>
      <c r="AN252" s="115">
        <f t="shared" si="60"/>
        <v>33930000000</v>
      </c>
      <c r="AO252" s="20"/>
    </row>
    <row r="253" spans="7:47" ht="30">
      <c r="G253" s="205" t="s">
        <v>5774</v>
      </c>
      <c r="H253" s="111">
        <v>207642.22201140001</v>
      </c>
      <c r="J253" t="s">
        <v>25</v>
      </c>
      <c r="R253" s="97" t="s">
        <v>4642</v>
      </c>
      <c r="S253" s="93">
        <v>11811208</v>
      </c>
      <c r="T253" t="s">
        <v>25</v>
      </c>
      <c r="U253" s="205" t="s">
        <v>5010</v>
      </c>
      <c r="V253" s="205">
        <v>-34859</v>
      </c>
      <c r="W253" s="111">
        <v>403.1585</v>
      </c>
      <c r="X253" s="111">
        <f t="shared" si="50"/>
        <v>-14053702.1515</v>
      </c>
      <c r="Y253" s="36" t="s">
        <v>5013</v>
      </c>
      <c r="AI253" s="97">
        <v>233</v>
      </c>
      <c r="AJ253" s="111" t="s">
        <v>5826</v>
      </c>
      <c r="AK253" s="111">
        <v>-90000000</v>
      </c>
      <c r="AL253" s="97">
        <v>1</v>
      </c>
      <c r="AM253" s="20">
        <f t="shared" si="59"/>
        <v>377</v>
      </c>
      <c r="AN253" s="115">
        <f t="shared" si="60"/>
        <v>-33930000000</v>
      </c>
      <c r="AO253" s="259" t="s">
        <v>5827</v>
      </c>
      <c r="AR253" t="s">
        <v>25</v>
      </c>
      <c r="AT253" t="s">
        <v>25</v>
      </c>
    </row>
    <row r="254" spans="7:47">
      <c r="G254" s="276" t="s">
        <v>5805</v>
      </c>
      <c r="H254" s="88">
        <v>637977.33504399995</v>
      </c>
      <c r="O254" t="s">
        <v>25</v>
      </c>
      <c r="P254" t="s">
        <v>25</v>
      </c>
      <c r="R254" s="97" t="s">
        <v>4654</v>
      </c>
      <c r="S254" s="93">
        <v>41248054</v>
      </c>
      <c r="T254" t="s">
        <v>25</v>
      </c>
      <c r="U254" s="205" t="s">
        <v>4981</v>
      </c>
      <c r="V254" s="205">
        <v>8476</v>
      </c>
      <c r="W254" s="111">
        <v>419.49900000000002</v>
      </c>
      <c r="X254" s="111">
        <f t="shared" si="50"/>
        <v>3555673.5240000002</v>
      </c>
      <c r="Y254" s="36" t="s">
        <v>5019</v>
      </c>
      <c r="AI254" s="97">
        <v>234</v>
      </c>
      <c r="AJ254" s="111" t="s">
        <v>5828</v>
      </c>
      <c r="AK254" s="111">
        <v>30000000</v>
      </c>
      <c r="AL254" s="97">
        <v>0</v>
      </c>
      <c r="AM254" s="20">
        <f t="shared" si="59"/>
        <v>376</v>
      </c>
      <c r="AN254" s="115">
        <f t="shared" si="60"/>
        <v>11280000000</v>
      </c>
      <c r="AO254" s="259"/>
    </row>
    <row r="255" spans="7:47" ht="30">
      <c r="G255" s="205" t="s">
        <v>5806</v>
      </c>
      <c r="H255" s="111">
        <v>466552.25632400002</v>
      </c>
      <c r="R255" s="97" t="s">
        <v>4661</v>
      </c>
      <c r="S255" s="93">
        <v>37328780</v>
      </c>
      <c r="U255" s="205" t="s">
        <v>5031</v>
      </c>
      <c r="V255" s="205">
        <v>903</v>
      </c>
      <c r="W255" s="111">
        <v>442.77379999999999</v>
      </c>
      <c r="X255" s="111">
        <f t="shared" si="50"/>
        <v>399824.7414</v>
      </c>
      <c r="Y255" s="36" t="s">
        <v>743</v>
      </c>
      <c r="AI255" s="97">
        <v>235</v>
      </c>
      <c r="AJ255" s="111" t="s">
        <v>5828</v>
      </c>
      <c r="AK255" s="111">
        <v>-30000000</v>
      </c>
      <c r="AL255" s="97">
        <v>3</v>
      </c>
      <c r="AM255" s="20">
        <f t="shared" si="59"/>
        <v>376</v>
      </c>
      <c r="AN255" s="115">
        <f t="shared" si="60"/>
        <v>-11280000000</v>
      </c>
      <c r="AO255" s="259" t="s">
        <v>5829</v>
      </c>
    </row>
    <row r="256" spans="7:47">
      <c r="G256" s="205" t="s">
        <v>5807</v>
      </c>
      <c r="H256" s="111">
        <v>189134.85153000001</v>
      </c>
      <c r="J256" t="s">
        <v>25</v>
      </c>
      <c r="R256" s="97" t="s">
        <v>4737</v>
      </c>
      <c r="S256" s="93">
        <v>-2194100</v>
      </c>
      <c r="U256" s="205" t="s">
        <v>5034</v>
      </c>
      <c r="V256" s="205">
        <v>113</v>
      </c>
      <c r="W256" s="111">
        <v>442.48200000000003</v>
      </c>
      <c r="X256" s="111">
        <f t="shared" ref="X256:X337" si="61">V256*W256</f>
        <v>50000.466</v>
      </c>
      <c r="Y256" s="36" t="s">
        <v>743</v>
      </c>
      <c r="AI256" s="97">
        <v>236</v>
      </c>
      <c r="AJ256" s="111" t="s">
        <v>5835</v>
      </c>
      <c r="AK256" s="111">
        <v>50000000</v>
      </c>
      <c r="AL256" s="97">
        <v>1</v>
      </c>
      <c r="AM256" s="20">
        <f t="shared" si="59"/>
        <v>373</v>
      </c>
      <c r="AN256" s="115">
        <f t="shared" si="60"/>
        <v>18650000000</v>
      </c>
      <c r="AO256" s="259"/>
    </row>
    <row r="257" spans="7:46" ht="30">
      <c r="G257" s="205" t="s">
        <v>5809</v>
      </c>
      <c r="H257" s="111">
        <v>564888.82799599995</v>
      </c>
      <c r="O257" t="s">
        <v>25</v>
      </c>
      <c r="R257" s="97" t="s">
        <v>4773</v>
      </c>
      <c r="S257" s="93">
        <v>20193916</v>
      </c>
      <c r="U257" s="205" t="s">
        <v>5044</v>
      </c>
      <c r="V257" s="205">
        <v>671</v>
      </c>
      <c r="W257" s="111">
        <v>447</v>
      </c>
      <c r="X257" s="111">
        <f t="shared" si="61"/>
        <v>299937</v>
      </c>
      <c r="Y257" s="36" t="s">
        <v>743</v>
      </c>
      <c r="AI257" s="97">
        <v>237</v>
      </c>
      <c r="AJ257" s="111" t="s">
        <v>5836</v>
      </c>
      <c r="AK257" s="111">
        <v>-50000000</v>
      </c>
      <c r="AL257" s="97">
        <v>5</v>
      </c>
      <c r="AM257" s="20">
        <f t="shared" si="59"/>
        <v>372</v>
      </c>
      <c r="AN257" s="115">
        <f t="shared" si="60"/>
        <v>-18600000000</v>
      </c>
      <c r="AO257" s="259" t="s">
        <v>5837</v>
      </c>
      <c r="AQ257" t="s">
        <v>25</v>
      </c>
    </row>
    <row r="258" spans="7:46">
      <c r="G258" s="205" t="s">
        <v>5835</v>
      </c>
      <c r="H258" s="111">
        <v>259993.58394100002</v>
      </c>
      <c r="J258" t="s">
        <v>25</v>
      </c>
      <c r="R258" s="97" t="s">
        <v>4837</v>
      </c>
      <c r="S258" s="93">
        <v>-2000000</v>
      </c>
      <c r="U258" s="205" t="s">
        <v>5046</v>
      </c>
      <c r="V258" s="205">
        <v>7</v>
      </c>
      <c r="W258" s="111">
        <v>465.31200000000001</v>
      </c>
      <c r="X258" s="111">
        <f t="shared" si="61"/>
        <v>3257.1840000000002</v>
      </c>
      <c r="Y258" s="36" t="s">
        <v>452</v>
      </c>
      <c r="AI258" s="97">
        <v>238</v>
      </c>
      <c r="AJ258" s="111" t="s">
        <v>6182</v>
      </c>
      <c r="AK258" s="111">
        <v>10000</v>
      </c>
      <c r="AL258" s="97">
        <v>1</v>
      </c>
      <c r="AM258" s="20">
        <f t="shared" si="59"/>
        <v>367</v>
      </c>
      <c r="AN258" s="115">
        <f t="shared" si="60"/>
        <v>3670000</v>
      </c>
      <c r="AO258" s="259"/>
    </row>
    <row r="259" spans="7:46" ht="15" customHeight="1">
      <c r="G259" s="205" t="s">
        <v>5836</v>
      </c>
      <c r="H259" s="111">
        <v>269955.31205999997</v>
      </c>
      <c r="R259" s="97" t="s">
        <v>4900</v>
      </c>
      <c r="S259" s="93">
        <v>6800000</v>
      </c>
      <c r="T259" t="s">
        <v>25</v>
      </c>
      <c r="U259" s="205" t="s">
        <v>5050</v>
      </c>
      <c r="V259" s="205">
        <v>12950</v>
      </c>
      <c r="W259" s="111">
        <v>463.31599999999997</v>
      </c>
      <c r="X259" s="111">
        <f t="shared" si="61"/>
        <v>5999942.1999999993</v>
      </c>
      <c r="Y259" s="36" t="s">
        <v>452</v>
      </c>
      <c r="AI259" s="97">
        <v>239</v>
      </c>
      <c r="AJ259" s="111" t="s">
        <v>6185</v>
      </c>
      <c r="AK259" s="111">
        <v>50000000</v>
      </c>
      <c r="AL259" s="97">
        <v>43</v>
      </c>
      <c r="AM259" s="20">
        <f t="shared" si="59"/>
        <v>366</v>
      </c>
      <c r="AN259" s="115">
        <f t="shared" si="60"/>
        <v>18300000000</v>
      </c>
      <c r="AO259" s="259" t="s">
        <v>5333</v>
      </c>
    </row>
    <row r="260" spans="7:46">
      <c r="G260" s="205" t="s">
        <v>6191</v>
      </c>
      <c r="H260" s="111">
        <v>560534.38387200003</v>
      </c>
      <c r="O260" t="s">
        <v>25</v>
      </c>
      <c r="R260" s="97" t="s">
        <v>4907</v>
      </c>
      <c r="S260" s="93">
        <v>850000</v>
      </c>
      <c r="U260" s="205" t="s">
        <v>5052</v>
      </c>
      <c r="V260" s="205">
        <v>37</v>
      </c>
      <c r="W260" s="111">
        <v>463.315</v>
      </c>
      <c r="X260" s="111">
        <f t="shared" si="61"/>
        <v>17142.654999999999</v>
      </c>
      <c r="Y260" s="36" t="s">
        <v>452</v>
      </c>
      <c r="AI260" s="97">
        <v>240</v>
      </c>
      <c r="AJ260" s="111" t="s">
        <v>6229</v>
      </c>
      <c r="AK260" s="111">
        <v>50000000</v>
      </c>
      <c r="AL260" s="97">
        <v>10</v>
      </c>
      <c r="AM260" s="20">
        <f t="shared" si="59"/>
        <v>323</v>
      </c>
      <c r="AN260" s="115">
        <f t="shared" si="60"/>
        <v>16150000000</v>
      </c>
      <c r="AO260" s="259" t="s">
        <v>6230</v>
      </c>
    </row>
    <row r="261" spans="7:46">
      <c r="G261" s="205" t="s">
        <v>6193</v>
      </c>
      <c r="H261" s="111">
        <v>581484.96802499995</v>
      </c>
      <c r="P261" t="s">
        <v>25</v>
      </c>
      <c r="R261" s="97" t="s">
        <v>4915</v>
      </c>
      <c r="S261" s="93">
        <v>2290500</v>
      </c>
      <c r="U261" s="205" t="s">
        <v>5053</v>
      </c>
      <c r="V261" s="205">
        <v>19</v>
      </c>
      <c r="W261" s="111">
        <v>434.3</v>
      </c>
      <c r="X261" s="111">
        <f t="shared" si="61"/>
        <v>8251.7000000000007</v>
      </c>
      <c r="Y261" s="36" t="s">
        <v>452</v>
      </c>
      <c r="Z261" t="s">
        <v>25</v>
      </c>
      <c r="AI261" s="97">
        <v>241</v>
      </c>
      <c r="AJ261" s="111" t="s">
        <v>6231</v>
      </c>
      <c r="AK261" s="111">
        <v>8200000</v>
      </c>
      <c r="AL261" s="97">
        <v>29</v>
      </c>
      <c r="AM261" s="20">
        <f t="shared" si="59"/>
        <v>313</v>
      </c>
      <c r="AN261" s="115">
        <f t="shared" si="60"/>
        <v>2566600000</v>
      </c>
      <c r="AO261" s="259" t="s">
        <v>6230</v>
      </c>
      <c r="AS261" t="s">
        <v>25</v>
      </c>
      <c r="AT261" t="s">
        <v>25</v>
      </c>
    </row>
    <row r="262" spans="7:46">
      <c r="G262" s="205" t="s">
        <v>6195</v>
      </c>
      <c r="H262" s="111">
        <v>2136964.3409779998</v>
      </c>
      <c r="J262" t="s">
        <v>25</v>
      </c>
      <c r="R262" s="97" t="s">
        <v>4923</v>
      </c>
      <c r="S262" s="93">
        <v>400000</v>
      </c>
      <c r="T262" t="s">
        <v>25</v>
      </c>
      <c r="U262" s="205" t="s">
        <v>5055</v>
      </c>
      <c r="V262" s="205">
        <v>16</v>
      </c>
      <c r="W262" s="111">
        <v>439</v>
      </c>
      <c r="X262" s="111">
        <f t="shared" si="61"/>
        <v>7024</v>
      </c>
      <c r="Y262" s="36" t="s">
        <v>452</v>
      </c>
      <c r="Z262" t="s">
        <v>25</v>
      </c>
      <c r="AI262" s="97">
        <v>242</v>
      </c>
      <c r="AJ262" s="111" t="s">
        <v>6263</v>
      </c>
      <c r="AK262" s="111">
        <v>-180000000</v>
      </c>
      <c r="AL262" s="97">
        <v>16</v>
      </c>
      <c r="AM262" s="20">
        <f t="shared" si="59"/>
        <v>284</v>
      </c>
      <c r="AN262" s="115">
        <f t="shared" si="60"/>
        <v>-51120000000</v>
      </c>
      <c r="AO262" s="259" t="s">
        <v>6266</v>
      </c>
    </row>
    <row r="263" spans="7:46" ht="17.25" customHeight="1">
      <c r="G263" s="205" t="s">
        <v>6198</v>
      </c>
      <c r="H263" s="111">
        <v>593783.22629999998</v>
      </c>
      <c r="J263" t="s">
        <v>25</v>
      </c>
      <c r="R263" s="97" t="s">
        <v>4930</v>
      </c>
      <c r="S263" s="93">
        <v>150000</v>
      </c>
      <c r="U263" s="205" t="s">
        <v>5055</v>
      </c>
      <c r="V263" s="205">
        <v>9191</v>
      </c>
      <c r="W263" s="111">
        <v>440.24630000000002</v>
      </c>
      <c r="X263" s="111">
        <f t="shared" si="61"/>
        <v>4046303.7433000002</v>
      </c>
      <c r="Y263" s="36" t="s">
        <v>5056</v>
      </c>
      <c r="AI263" s="97">
        <v>243</v>
      </c>
      <c r="AJ263" s="111" t="s">
        <v>6370</v>
      </c>
      <c r="AK263" s="111">
        <v>60000000</v>
      </c>
      <c r="AL263" s="97">
        <v>6</v>
      </c>
      <c r="AM263" s="20">
        <f t="shared" si="59"/>
        <v>268</v>
      </c>
      <c r="AN263" s="115">
        <f t="shared" si="60"/>
        <v>16080000000</v>
      </c>
      <c r="AO263" s="259" t="s">
        <v>6371</v>
      </c>
      <c r="AT263" t="s">
        <v>25</v>
      </c>
    </row>
    <row r="264" spans="7:46">
      <c r="G264" s="205" t="s">
        <v>6202</v>
      </c>
      <c r="H264" s="111">
        <v>469469.96222000004</v>
      </c>
      <c r="J264" t="s">
        <v>25</v>
      </c>
      <c r="K264" t="s">
        <v>25</v>
      </c>
      <c r="P264" t="s">
        <v>25</v>
      </c>
      <c r="R264" s="97" t="s">
        <v>4958</v>
      </c>
      <c r="S264" s="93">
        <v>-144950</v>
      </c>
      <c r="U264" s="205" t="s">
        <v>5058</v>
      </c>
      <c r="V264" s="205">
        <v>-8792</v>
      </c>
      <c r="W264" s="111">
        <v>441.90665999999999</v>
      </c>
      <c r="X264" s="111">
        <f t="shared" si="61"/>
        <v>-3885243.3547199997</v>
      </c>
      <c r="Y264" s="36" t="s">
        <v>5059</v>
      </c>
      <c r="AI264" s="97">
        <v>244</v>
      </c>
      <c r="AJ264" s="111" t="s">
        <v>6379</v>
      </c>
      <c r="AK264" s="111">
        <v>5000</v>
      </c>
      <c r="AL264" s="97">
        <v>8</v>
      </c>
      <c r="AM264" s="20">
        <f t="shared" si="59"/>
        <v>262</v>
      </c>
      <c r="AN264" s="115">
        <f t="shared" si="60"/>
        <v>1310000</v>
      </c>
      <c r="AO264" s="259" t="s">
        <v>6230</v>
      </c>
    </row>
    <row r="265" spans="7:46">
      <c r="G265" s="205" t="s">
        <v>6232</v>
      </c>
      <c r="H265" s="111">
        <v>15777944</v>
      </c>
      <c r="R265" s="97" t="s">
        <v>4983</v>
      </c>
      <c r="S265" s="93">
        <v>320000</v>
      </c>
      <c r="U265" s="205" t="s">
        <v>5065</v>
      </c>
      <c r="V265" s="205">
        <v>530</v>
      </c>
      <c r="W265" s="111">
        <v>472</v>
      </c>
      <c r="X265" s="111">
        <f t="shared" si="61"/>
        <v>250160</v>
      </c>
      <c r="Y265" s="36" t="s">
        <v>743</v>
      </c>
      <c r="AI265" s="97">
        <v>245</v>
      </c>
      <c r="AJ265" s="111" t="s">
        <v>6384</v>
      </c>
      <c r="AK265" s="111">
        <v>102750000</v>
      </c>
      <c r="AL265" s="97">
        <v>5</v>
      </c>
      <c r="AM265" s="20">
        <f t="shared" si="59"/>
        <v>254</v>
      </c>
      <c r="AN265" s="115">
        <f t="shared" si="60"/>
        <v>26098500000</v>
      </c>
      <c r="AO265" s="259"/>
    </row>
    <row r="266" spans="7:46" ht="30">
      <c r="G266" s="205" t="s">
        <v>6239</v>
      </c>
      <c r="H266" s="111">
        <v>3585319.2317280001</v>
      </c>
      <c r="J266" t="s">
        <v>25</v>
      </c>
      <c r="K266" t="s">
        <v>25</v>
      </c>
      <c r="R266" s="97" t="s">
        <v>4987</v>
      </c>
      <c r="S266" s="93">
        <v>500000</v>
      </c>
      <c r="T266" t="s">
        <v>25</v>
      </c>
      <c r="U266" s="205" t="s">
        <v>5065</v>
      </c>
      <c r="V266" s="205">
        <v>12</v>
      </c>
      <c r="W266" s="111">
        <v>481.86</v>
      </c>
      <c r="X266" s="111">
        <f t="shared" si="61"/>
        <v>5782.32</v>
      </c>
      <c r="Y266" s="36" t="s">
        <v>5067</v>
      </c>
      <c r="AI266" s="97">
        <v>246</v>
      </c>
      <c r="AJ266" s="111" t="s">
        <v>6391</v>
      </c>
      <c r="AK266" s="111">
        <v>-60000000</v>
      </c>
      <c r="AL266" s="97">
        <v>42</v>
      </c>
      <c r="AM266" s="20">
        <f t="shared" si="59"/>
        <v>249</v>
      </c>
      <c r="AN266" s="115">
        <f t="shared" si="60"/>
        <v>-14940000000</v>
      </c>
      <c r="AO266" s="259" t="s">
        <v>6395</v>
      </c>
    </row>
    <row r="267" spans="7:46" ht="20.25" customHeight="1">
      <c r="G267" s="205" t="s">
        <v>6242</v>
      </c>
      <c r="H267" s="111">
        <v>676700.69889600005</v>
      </c>
      <c r="J267" t="s">
        <v>25</v>
      </c>
      <c r="R267" s="97" t="s">
        <v>5031</v>
      </c>
      <c r="S267" s="93">
        <v>400000</v>
      </c>
      <c r="T267" t="s">
        <v>25</v>
      </c>
      <c r="U267" s="205" t="s">
        <v>5091</v>
      </c>
      <c r="V267" s="205">
        <v>846</v>
      </c>
      <c r="W267" s="111">
        <v>472.7</v>
      </c>
      <c r="X267" s="111">
        <f t="shared" si="61"/>
        <v>399904.2</v>
      </c>
      <c r="Y267" s="36" t="s">
        <v>452</v>
      </c>
      <c r="AI267" s="97">
        <v>247</v>
      </c>
      <c r="AJ267" s="111" t="s">
        <v>6699</v>
      </c>
      <c r="AK267" s="111">
        <v>50000</v>
      </c>
      <c r="AL267" s="97">
        <v>59</v>
      </c>
      <c r="AM267" s="20">
        <f t="shared" si="59"/>
        <v>207</v>
      </c>
      <c r="AN267" s="115">
        <f t="shared" si="60"/>
        <v>10350000</v>
      </c>
      <c r="AO267" s="259" t="s">
        <v>6230</v>
      </c>
      <c r="AT267" t="s">
        <v>25</v>
      </c>
    </row>
    <row r="268" spans="7:46">
      <c r="G268" s="205" t="s">
        <v>6250</v>
      </c>
      <c r="H268" s="111">
        <v>1105777.5430340001</v>
      </c>
      <c r="J268" t="s">
        <v>25</v>
      </c>
      <c r="P268" t="s">
        <v>25</v>
      </c>
      <c r="R268" s="97" t="s">
        <v>5034</v>
      </c>
      <c r="S268" s="93">
        <v>50000</v>
      </c>
      <c r="T268" t="s">
        <v>25</v>
      </c>
      <c r="U268" s="205" t="s">
        <v>5094</v>
      </c>
      <c r="V268" s="205">
        <v>191</v>
      </c>
      <c r="W268" s="111">
        <v>484.572</v>
      </c>
      <c r="X268" s="111">
        <f t="shared" si="61"/>
        <v>92553.252000000008</v>
      </c>
      <c r="Y268" s="36" t="s">
        <v>5095</v>
      </c>
      <c r="AI268" s="97">
        <v>248</v>
      </c>
      <c r="AJ268" s="111" t="s">
        <v>6821</v>
      </c>
      <c r="AK268" s="111">
        <v>300000</v>
      </c>
      <c r="AL268" s="97">
        <v>55</v>
      </c>
      <c r="AM268" s="20">
        <f t="shared" si="59"/>
        <v>148</v>
      </c>
      <c r="AN268" s="115">
        <f t="shared" si="60"/>
        <v>44400000</v>
      </c>
      <c r="AO268" s="259"/>
    </row>
    <row r="269" spans="7:46" ht="21.75" customHeight="1">
      <c r="G269" s="205" t="s">
        <v>6253</v>
      </c>
      <c r="H269" s="111">
        <v>2315234.8602510002</v>
      </c>
      <c r="R269" s="97" t="s">
        <v>5044</v>
      </c>
      <c r="S269" s="93">
        <v>300000</v>
      </c>
      <c r="U269" s="205" t="s">
        <v>5094</v>
      </c>
      <c r="V269" s="205">
        <v>-206</v>
      </c>
      <c r="W269" s="111">
        <v>484.572</v>
      </c>
      <c r="X269" s="111">
        <f t="shared" si="61"/>
        <v>-99821.831999999995</v>
      </c>
      <c r="Y269" s="36" t="s">
        <v>5097</v>
      </c>
      <c r="AI269" s="97">
        <v>249</v>
      </c>
      <c r="AJ269" s="111" t="s">
        <v>6852</v>
      </c>
      <c r="AK269" s="111">
        <v>200000000</v>
      </c>
      <c r="AL269" s="97">
        <v>7</v>
      </c>
      <c r="AM269" s="20">
        <f t="shared" si="59"/>
        <v>93</v>
      </c>
      <c r="AN269" s="115">
        <f t="shared" si="60"/>
        <v>18600000000</v>
      </c>
      <c r="AO269" s="259" t="s">
        <v>6853</v>
      </c>
    </row>
    <row r="270" spans="7:46">
      <c r="G270" s="205" t="s">
        <v>6254</v>
      </c>
      <c r="H270" s="111">
        <v>4136360.6541840001</v>
      </c>
      <c r="J270" t="s">
        <v>25</v>
      </c>
      <c r="R270" s="97" t="s">
        <v>5065</v>
      </c>
      <c r="S270" s="93">
        <v>250000</v>
      </c>
      <c r="U270" s="205" t="s">
        <v>5098</v>
      </c>
      <c r="V270" s="205">
        <v>20685</v>
      </c>
      <c r="W270" s="111">
        <v>483.43312200000003</v>
      </c>
      <c r="X270" s="111">
        <f t="shared" si="61"/>
        <v>9999814.1285699997</v>
      </c>
      <c r="Y270" s="36" t="s">
        <v>5100</v>
      </c>
      <c r="AI270" s="97">
        <v>250</v>
      </c>
      <c r="AJ270" s="111" t="s">
        <v>6856</v>
      </c>
      <c r="AK270" s="111">
        <v>50000</v>
      </c>
      <c r="AL270" s="97">
        <v>83</v>
      </c>
      <c r="AM270" s="20">
        <f t="shared" si="59"/>
        <v>86</v>
      </c>
      <c r="AN270" s="115">
        <f t="shared" si="60"/>
        <v>4300000</v>
      </c>
      <c r="AO270" s="20" t="s">
        <v>6230</v>
      </c>
    </row>
    <row r="271" spans="7:46">
      <c r="G271" s="205" t="s">
        <v>6256</v>
      </c>
      <c r="H271" s="111">
        <v>3035714.4702960001</v>
      </c>
      <c r="R271" s="97" t="s">
        <v>5098</v>
      </c>
      <c r="S271" s="93">
        <v>200000</v>
      </c>
      <c r="U271" s="205" t="s">
        <v>5098</v>
      </c>
      <c r="V271" s="205">
        <v>-413</v>
      </c>
      <c r="W271" s="111">
        <v>483.40199999999999</v>
      </c>
      <c r="X271" s="111">
        <f t="shared" si="61"/>
        <v>-199645.02599999998</v>
      </c>
      <c r="Y271" s="36" t="s">
        <v>4406</v>
      </c>
      <c r="AD271" t="s">
        <v>25</v>
      </c>
      <c r="AI271" s="97">
        <v>251</v>
      </c>
      <c r="AJ271" s="111" t="s">
        <v>6916</v>
      </c>
      <c r="AK271" s="111">
        <v>20000000</v>
      </c>
      <c r="AL271" s="97">
        <v>0</v>
      </c>
      <c r="AM271" s="20">
        <f t="shared" si="59"/>
        <v>3</v>
      </c>
      <c r="AN271" s="115">
        <f t="shared" si="60"/>
        <v>60000000</v>
      </c>
      <c r="AO271" s="20" t="s">
        <v>6922</v>
      </c>
      <c r="AS271" t="s">
        <v>25</v>
      </c>
    </row>
    <row r="272" spans="7:46">
      <c r="G272" s="205" t="s">
        <v>6263</v>
      </c>
      <c r="H272" s="111">
        <v>93814</v>
      </c>
      <c r="R272" s="97" t="s">
        <v>5130</v>
      </c>
      <c r="S272" s="93">
        <v>122000</v>
      </c>
      <c r="U272" s="205" t="s">
        <v>5098</v>
      </c>
      <c r="V272" s="205">
        <v>413</v>
      </c>
      <c r="W272" s="111">
        <v>483.40199999999999</v>
      </c>
      <c r="X272" s="111">
        <f t="shared" si="61"/>
        <v>199645.02599999998</v>
      </c>
      <c r="Y272" s="36" t="s">
        <v>743</v>
      </c>
      <c r="AI272" s="97">
        <v>252</v>
      </c>
      <c r="AJ272" s="111" t="s">
        <v>6921</v>
      </c>
      <c r="AK272" s="111">
        <v>-562402000</v>
      </c>
      <c r="AL272" s="97">
        <v>1</v>
      </c>
      <c r="AM272" s="20">
        <f t="shared" si="59"/>
        <v>3</v>
      </c>
      <c r="AN272" s="115">
        <f t="shared" si="60"/>
        <v>-1687206000</v>
      </c>
      <c r="AO272" s="20" t="s">
        <v>6923</v>
      </c>
    </row>
    <row r="273" spans="7:44">
      <c r="G273" s="205" t="s">
        <v>6267</v>
      </c>
      <c r="H273" s="111">
        <v>345069.28943499998</v>
      </c>
      <c r="R273" s="97" t="s">
        <v>5138</v>
      </c>
      <c r="S273" s="93">
        <v>200000</v>
      </c>
      <c r="T273" t="s">
        <v>25</v>
      </c>
      <c r="U273" s="205" t="s">
        <v>5103</v>
      </c>
      <c r="V273" s="205">
        <v>-828</v>
      </c>
      <c r="W273" s="111">
        <v>483.43312200000003</v>
      </c>
      <c r="X273" s="111">
        <f t="shared" si="61"/>
        <v>-400282.62501600001</v>
      </c>
      <c r="Y273" s="36" t="s">
        <v>452</v>
      </c>
      <c r="AI273" s="97">
        <v>253</v>
      </c>
      <c r="AJ273" s="111" t="s">
        <v>6924</v>
      </c>
      <c r="AK273" s="111">
        <v>30000000</v>
      </c>
      <c r="AL273" s="97">
        <v>1</v>
      </c>
      <c r="AM273" s="20">
        <f t="shared" si="59"/>
        <v>2</v>
      </c>
      <c r="AN273" s="115">
        <f t="shared" si="60"/>
        <v>60000000</v>
      </c>
      <c r="AO273" s="20" t="s">
        <v>6929</v>
      </c>
    </row>
    <row r="274" spans="7:44">
      <c r="G274" s="205" t="s">
        <v>6358</v>
      </c>
      <c r="H274" s="111">
        <v>567785.37859199999</v>
      </c>
      <c r="R274" s="97" t="s">
        <v>5148</v>
      </c>
      <c r="S274" s="93">
        <v>60000</v>
      </c>
      <c r="U274" s="205" t="s">
        <v>5106</v>
      </c>
      <c r="V274" s="205">
        <v>12</v>
      </c>
      <c r="W274" s="111">
        <v>473.61898300000001</v>
      </c>
      <c r="X274" s="111">
        <f t="shared" si="61"/>
        <v>5683.4277959999999</v>
      </c>
      <c r="Y274" s="36" t="s">
        <v>452</v>
      </c>
      <c r="AI274" s="97">
        <v>254</v>
      </c>
      <c r="AJ274" s="111" t="s">
        <v>6932</v>
      </c>
      <c r="AK274" s="111">
        <v>50000000</v>
      </c>
      <c r="AL274" s="97">
        <v>1</v>
      </c>
      <c r="AM274" s="20">
        <f t="shared" si="59"/>
        <v>1</v>
      </c>
      <c r="AN274" s="115">
        <f t="shared" si="60"/>
        <v>50000000</v>
      </c>
      <c r="AO274" s="20" t="s">
        <v>6929</v>
      </c>
      <c r="AQ274" t="s">
        <v>25</v>
      </c>
    </row>
    <row r="275" spans="7:44">
      <c r="G275" s="205" t="s">
        <v>6369</v>
      </c>
      <c r="H275" s="111">
        <v>189683.91675</v>
      </c>
      <c r="J275" t="s">
        <v>25</v>
      </c>
      <c r="R275" s="97" t="s">
        <v>5207</v>
      </c>
      <c r="S275" s="93">
        <v>-200000</v>
      </c>
      <c r="T275" t="s">
        <v>25</v>
      </c>
      <c r="U275" s="205" t="s">
        <v>5109</v>
      </c>
      <c r="V275" s="205">
        <v>963</v>
      </c>
      <c r="W275" s="111">
        <v>477.92200000000003</v>
      </c>
      <c r="X275" s="111">
        <f t="shared" si="61"/>
        <v>460238.886</v>
      </c>
      <c r="Y275" s="36" t="s">
        <v>452</v>
      </c>
      <c r="AI275" s="97"/>
      <c r="AJ275" s="111"/>
      <c r="AK275" s="111"/>
      <c r="AL275" s="97"/>
      <c r="AM275" s="20">
        <f t="shared" si="59"/>
        <v>0</v>
      </c>
      <c r="AN275" s="115">
        <f t="shared" si="60"/>
        <v>0</v>
      </c>
      <c r="AO275" s="20"/>
      <c r="AQ275" t="s">
        <v>25</v>
      </c>
    </row>
    <row r="276" spans="7:44">
      <c r="G276" s="205" t="s">
        <v>6370</v>
      </c>
      <c r="H276" s="111">
        <v>519135.75707200001</v>
      </c>
      <c r="R276" s="97" t="s">
        <v>5269</v>
      </c>
      <c r="S276" s="93">
        <v>-9000000</v>
      </c>
      <c r="U276" s="205" t="s">
        <v>5110</v>
      </c>
      <c r="V276" s="205">
        <v>2815</v>
      </c>
      <c r="W276" s="111">
        <v>461.79</v>
      </c>
      <c r="X276" s="111">
        <f t="shared" si="61"/>
        <v>1299938.8500000001</v>
      </c>
      <c r="Y276" s="36" t="s">
        <v>452</v>
      </c>
      <c r="AI276" s="97"/>
      <c r="AJ276" s="111"/>
      <c r="AK276" s="111"/>
      <c r="AL276" s="97"/>
      <c r="AM276" s="20">
        <f t="shared" si="59"/>
        <v>0</v>
      </c>
      <c r="AN276" s="115">
        <f t="shared" si="60"/>
        <v>0</v>
      </c>
      <c r="AO276" s="20"/>
    </row>
    <row r="277" spans="7:44">
      <c r="G277" s="205" t="s">
        <v>6376</v>
      </c>
      <c r="H277" s="111">
        <v>3406413.9029760002</v>
      </c>
      <c r="R277" s="97" t="s">
        <v>5326</v>
      </c>
      <c r="S277" s="93">
        <v>-26000000</v>
      </c>
      <c r="U277" s="205" t="s">
        <v>5110</v>
      </c>
      <c r="V277" s="205">
        <v>1581</v>
      </c>
      <c r="W277" s="111">
        <v>461.79</v>
      </c>
      <c r="X277" s="111">
        <f t="shared" si="61"/>
        <v>730089.99</v>
      </c>
      <c r="Y277" s="36" t="s">
        <v>452</v>
      </c>
      <c r="Z277" t="s">
        <v>25</v>
      </c>
      <c r="AI277" s="97"/>
      <c r="AJ277" s="111"/>
      <c r="AK277" s="111">
        <v>0</v>
      </c>
      <c r="AL277" s="97"/>
      <c r="AM277" s="20">
        <f t="shared" si="59"/>
        <v>0</v>
      </c>
      <c r="AN277" s="115">
        <f t="shared" si="60"/>
        <v>0</v>
      </c>
      <c r="AO277" s="20"/>
    </row>
    <row r="278" spans="7:44">
      <c r="G278" s="351" t="s">
        <v>6378</v>
      </c>
      <c r="H278" s="77">
        <v>435036.348168</v>
      </c>
      <c r="R278" s="97" t="s">
        <v>5330</v>
      </c>
      <c r="S278" s="93">
        <v>-95900000</v>
      </c>
      <c r="U278" s="205" t="s">
        <v>975</v>
      </c>
      <c r="V278" s="205">
        <v>41</v>
      </c>
      <c r="W278" s="111">
        <v>514.48099999999999</v>
      </c>
      <c r="X278" s="111">
        <f t="shared" si="61"/>
        <v>21093.721000000001</v>
      </c>
      <c r="Y278" s="36" t="s">
        <v>5095</v>
      </c>
      <c r="AI278" s="97"/>
      <c r="AJ278" s="111"/>
      <c r="AK278" s="111"/>
      <c r="AL278" s="97">
        <v>0</v>
      </c>
      <c r="AM278" s="20">
        <f t="shared" si="59"/>
        <v>0</v>
      </c>
      <c r="AN278" s="115">
        <f t="shared" si="60"/>
        <v>0</v>
      </c>
      <c r="AO278" s="20"/>
    </row>
    <row r="279" spans="7:44">
      <c r="G279" s="205" t="s">
        <v>6409</v>
      </c>
      <c r="H279" s="111">
        <v>2321535.4633200001</v>
      </c>
      <c r="R279" s="97" t="s">
        <v>5331</v>
      </c>
      <c r="S279" s="93">
        <v>-28950000</v>
      </c>
      <c r="T279" t="s">
        <v>25</v>
      </c>
      <c r="U279" s="205" t="s">
        <v>4253</v>
      </c>
      <c r="V279" s="205">
        <v>71</v>
      </c>
      <c r="W279" s="111">
        <v>482.57</v>
      </c>
      <c r="X279" s="111">
        <f t="shared" si="61"/>
        <v>34262.47</v>
      </c>
      <c r="Y279" s="36" t="s">
        <v>5095</v>
      </c>
      <c r="AI279" s="97"/>
      <c r="AJ279" s="97"/>
      <c r="AK279" s="93">
        <f>SUM(AK20:AK278)</f>
        <v>207433949.06156397</v>
      </c>
      <c r="AL279" s="97"/>
      <c r="AM279" s="97">
        <v>0</v>
      </c>
      <c r="AN279" s="93">
        <f>SUM(AN20:AN278)</f>
        <v>621652917598.33276</v>
      </c>
      <c r="AO279" s="93">
        <f>AN279*AO282/31</f>
        <v>334228683.14875525</v>
      </c>
    </row>
    <row r="280" spans="7:44">
      <c r="G280" s="205" t="s">
        <v>6690</v>
      </c>
      <c r="H280" s="111">
        <v>1098146.8035800001</v>
      </c>
      <c r="R280" s="97" t="s">
        <v>5473</v>
      </c>
      <c r="S280" s="93">
        <v>-93000000</v>
      </c>
      <c r="T280" t="s">
        <v>25</v>
      </c>
      <c r="U280" s="205" t="s">
        <v>5130</v>
      </c>
      <c r="V280" s="205">
        <v>-250</v>
      </c>
      <c r="W280" s="111">
        <v>487.125</v>
      </c>
      <c r="X280" s="111">
        <f t="shared" si="61"/>
        <v>-121781.25</v>
      </c>
      <c r="Y280" s="36" t="s">
        <v>4406</v>
      </c>
      <c r="AI280" s="97"/>
      <c r="AJ280" s="97"/>
      <c r="AK280" s="97" t="s">
        <v>4041</v>
      </c>
      <c r="AL280" s="97"/>
      <c r="AM280" s="97"/>
      <c r="AN280" s="97" t="s">
        <v>284</v>
      </c>
      <c r="AO280" s="97" t="s">
        <v>926</v>
      </c>
    </row>
    <row r="281" spans="7:44">
      <c r="G281" s="205" t="s">
        <v>6695</v>
      </c>
      <c r="H281" s="111">
        <v>540424.560405</v>
      </c>
      <c r="R281" s="97" t="s">
        <v>5482</v>
      </c>
      <c r="S281" s="93">
        <v>50000000</v>
      </c>
      <c r="U281" s="205" t="s">
        <v>5130</v>
      </c>
      <c r="V281" s="205">
        <v>250</v>
      </c>
      <c r="W281" s="111">
        <v>487.125</v>
      </c>
      <c r="X281" s="111">
        <f t="shared" si="61"/>
        <v>121781.25</v>
      </c>
      <c r="Y281" s="36" t="s">
        <v>743</v>
      </c>
      <c r="AI281" s="97"/>
      <c r="AJ281" s="97"/>
      <c r="AK281" s="97"/>
      <c r="AL281" s="97"/>
      <c r="AM281" s="97"/>
      <c r="AN281" s="97"/>
      <c r="AO281" s="97"/>
    </row>
    <row r="282" spans="7:44">
      <c r="G282" s="205" t="s">
        <v>6696</v>
      </c>
      <c r="H282" s="111">
        <v>2781712.2405709997</v>
      </c>
      <c r="R282" s="97" t="s">
        <v>4209</v>
      </c>
      <c r="S282" s="93">
        <v>2749471.1668000002</v>
      </c>
      <c r="U282" s="205" t="s">
        <v>5138</v>
      </c>
      <c r="V282" s="205">
        <v>-1439</v>
      </c>
      <c r="W282" s="111">
        <v>486.53068999999999</v>
      </c>
      <c r="X282" s="111">
        <f t="shared" si="61"/>
        <v>-700117.66290999996</v>
      </c>
      <c r="Y282" s="36" t="s">
        <v>4406</v>
      </c>
      <c r="AI282" s="97"/>
      <c r="AJ282" s="97"/>
      <c r="AK282" s="97"/>
      <c r="AL282" s="97"/>
      <c r="AM282" s="97"/>
      <c r="AN282" s="97" t="s">
        <v>4042</v>
      </c>
      <c r="AO282" s="97">
        <v>1.6667000000000001E-2</v>
      </c>
    </row>
    <row r="283" spans="7:44">
      <c r="G283" s="205" t="s">
        <v>6702</v>
      </c>
      <c r="H283" s="111">
        <v>109680.86334900001</v>
      </c>
      <c r="R283" s="97" t="s">
        <v>5571</v>
      </c>
      <c r="S283" s="93">
        <v>-680940.07019999996</v>
      </c>
      <c r="U283" s="205" t="s">
        <v>5138</v>
      </c>
      <c r="V283" s="205">
        <v>411</v>
      </c>
      <c r="W283" s="111">
        <v>486.53068999999999</v>
      </c>
      <c r="X283" s="111">
        <f t="shared" si="61"/>
        <v>199964.11358999999</v>
      </c>
      <c r="Y283" s="36" t="s">
        <v>743</v>
      </c>
      <c r="Z283" t="s">
        <v>25</v>
      </c>
      <c r="AI283" s="97"/>
      <c r="AJ283" s="97"/>
      <c r="AK283" s="97"/>
      <c r="AL283" s="97"/>
      <c r="AM283" s="97"/>
      <c r="AN283" s="97"/>
      <c r="AO283" s="97"/>
    </row>
    <row r="284" spans="7:44">
      <c r="G284" s="205" t="s">
        <v>6723</v>
      </c>
      <c r="H284" s="111">
        <v>13945790.265610002</v>
      </c>
      <c r="R284" s="97" t="s">
        <v>5571</v>
      </c>
      <c r="S284" s="93">
        <v>-48684800.338199995</v>
      </c>
      <c r="U284" s="205" t="s">
        <v>5108</v>
      </c>
      <c r="V284" s="205">
        <v>-4290</v>
      </c>
      <c r="W284" s="111">
        <v>497.57670000000002</v>
      </c>
      <c r="X284" s="111">
        <f t="shared" si="61"/>
        <v>-2134604.0430000001</v>
      </c>
      <c r="Y284" s="36" t="s">
        <v>452</v>
      </c>
      <c r="AI284" s="97"/>
      <c r="AJ284" s="97" t="s">
        <v>4043</v>
      </c>
      <c r="AK284" s="93">
        <f>AK279+AO279</f>
        <v>541662632.21031928</v>
      </c>
      <c r="AL284" s="97"/>
      <c r="AM284" s="97"/>
      <c r="AN284" s="97"/>
      <c r="AO284" s="97"/>
    </row>
    <row r="285" spans="7:44">
      <c r="G285" s="205" t="s">
        <v>6725</v>
      </c>
      <c r="H285" s="111">
        <v>457914.84466800001</v>
      </c>
      <c r="R285" s="97" t="s">
        <v>5595</v>
      </c>
      <c r="S285" s="93">
        <v>1500000</v>
      </c>
      <c r="T285" t="s">
        <v>25</v>
      </c>
      <c r="U285" s="205" t="s">
        <v>5145</v>
      </c>
      <c r="V285" s="205">
        <v>-644</v>
      </c>
      <c r="W285" s="111">
        <v>494.76464499999997</v>
      </c>
      <c r="X285" s="111">
        <f t="shared" si="61"/>
        <v>-318628.43137999997</v>
      </c>
      <c r="Y285" s="36" t="s">
        <v>452</v>
      </c>
      <c r="AJ285" t="s">
        <v>4046</v>
      </c>
      <c r="AK285" s="112">
        <f>SUM(N50:N59)</f>
        <v>7798127220</v>
      </c>
      <c r="AN285" t="s">
        <v>25</v>
      </c>
      <c r="AR285" t="s">
        <v>25</v>
      </c>
    </row>
    <row r="286" spans="7:44">
      <c r="G286" s="205" t="s">
        <v>6727</v>
      </c>
      <c r="H286" s="111">
        <v>974570.33942399989</v>
      </c>
      <c r="R286" s="97" t="s">
        <v>963</v>
      </c>
      <c r="S286" s="93">
        <v>11221062</v>
      </c>
      <c r="T286" t="s">
        <v>25</v>
      </c>
      <c r="U286" s="205" t="s">
        <v>5148</v>
      </c>
      <c r="V286" s="205">
        <v>-112</v>
      </c>
      <c r="W286" s="111">
        <v>485.78</v>
      </c>
      <c r="X286" s="111">
        <f t="shared" si="61"/>
        <v>-54407.360000000001</v>
      </c>
      <c r="Y286" s="36" t="s">
        <v>452</v>
      </c>
      <c r="AJ286" t="s">
        <v>4116</v>
      </c>
      <c r="AK286" s="112">
        <f>AK285-AK279</f>
        <v>7590693270.9384365</v>
      </c>
      <c r="AN286" t="s">
        <v>25</v>
      </c>
    </row>
    <row r="287" spans="7:44">
      <c r="G287" s="205" t="s">
        <v>6729</v>
      </c>
      <c r="H287" s="111">
        <v>746198.52596400003</v>
      </c>
      <c r="J287" t="s">
        <v>25</v>
      </c>
      <c r="R287" s="97" t="s">
        <v>5801</v>
      </c>
      <c r="S287" s="93">
        <v>20031495.928431001</v>
      </c>
      <c r="U287" s="205" t="s">
        <v>5148</v>
      </c>
      <c r="V287" s="205">
        <v>123</v>
      </c>
      <c r="W287" s="111">
        <v>485.78</v>
      </c>
      <c r="X287" s="111">
        <f t="shared" si="61"/>
        <v>59750.939999999995</v>
      </c>
      <c r="Y287" s="36" t="s">
        <v>743</v>
      </c>
      <c r="AJ287" t="s">
        <v>926</v>
      </c>
      <c r="AK287" s="112">
        <f>AO279</f>
        <v>334228683.14875525</v>
      </c>
      <c r="AO287" t="s">
        <v>25</v>
      </c>
    </row>
    <row r="288" spans="7:44">
      <c r="G288" s="205" t="s">
        <v>6731</v>
      </c>
      <c r="H288" s="111">
        <v>416108</v>
      </c>
      <c r="R288" s="97" t="s">
        <v>5812</v>
      </c>
      <c r="S288" s="93">
        <v>-154353015.43906799</v>
      </c>
      <c r="T288" t="s">
        <v>25</v>
      </c>
      <c r="U288" s="205" t="s">
        <v>5148</v>
      </c>
      <c r="V288" s="205">
        <v>-123</v>
      </c>
      <c r="W288" s="111">
        <v>485.78</v>
      </c>
      <c r="X288" s="111">
        <f t="shared" si="61"/>
        <v>-59750.939999999995</v>
      </c>
      <c r="Y288" s="36" t="s">
        <v>4406</v>
      </c>
      <c r="AJ288" t="s">
        <v>4047</v>
      </c>
      <c r="AK288" s="112">
        <f>AK285-AK284</f>
        <v>7256464587.7896805</v>
      </c>
      <c r="AO288" t="s">
        <v>25</v>
      </c>
    </row>
    <row r="289" spans="7:45">
      <c r="G289" s="205" t="s">
        <v>6743</v>
      </c>
      <c r="H289" s="111">
        <v>361620.57555000001</v>
      </c>
      <c r="O289" t="s">
        <v>25</v>
      </c>
      <c r="R289" s="97" t="s">
        <v>5831</v>
      </c>
      <c r="S289" s="93">
        <v>16643927.89773</v>
      </c>
      <c r="T289" t="s">
        <v>25</v>
      </c>
      <c r="U289" s="205" t="s">
        <v>5191</v>
      </c>
      <c r="V289" s="205">
        <v>32367</v>
      </c>
      <c r="W289" s="111">
        <v>556.12900000000002</v>
      </c>
      <c r="X289" s="111">
        <f t="shared" si="61"/>
        <v>18000227.343000002</v>
      </c>
      <c r="Y289" s="36" t="s">
        <v>452</v>
      </c>
      <c r="AN289" t="s">
        <v>25</v>
      </c>
    </row>
    <row r="290" spans="7:45">
      <c r="G290" s="205" t="s">
        <v>6744</v>
      </c>
      <c r="H290" s="111">
        <v>761310.51884999999</v>
      </c>
      <c r="R290" s="97" t="s">
        <v>5832</v>
      </c>
      <c r="S290" s="93">
        <v>33355467.51292</v>
      </c>
      <c r="U290" s="205" t="s">
        <v>5207</v>
      </c>
      <c r="V290" s="205">
        <v>1254</v>
      </c>
      <c r="W290" s="111">
        <v>558.24400000000003</v>
      </c>
      <c r="X290" s="111">
        <f t="shared" si="61"/>
        <v>700037.97600000002</v>
      </c>
      <c r="Y290" s="36" t="s">
        <v>4406</v>
      </c>
      <c r="AK290" t="s">
        <v>25</v>
      </c>
    </row>
    <row r="291" spans="7:45">
      <c r="G291" s="205" t="s">
        <v>6746</v>
      </c>
      <c r="H291" s="111">
        <v>3047100.3041699999</v>
      </c>
      <c r="R291" s="97" t="s">
        <v>6182</v>
      </c>
      <c r="S291" s="93">
        <v>30000000</v>
      </c>
      <c r="T291" t="s">
        <v>25</v>
      </c>
      <c r="U291" s="166" t="s">
        <v>5207</v>
      </c>
      <c r="V291" s="205">
        <v>-358</v>
      </c>
      <c r="W291" s="111">
        <v>558.24400000000003</v>
      </c>
      <c r="X291" s="111">
        <f t="shared" si="61"/>
        <v>-199851.35200000001</v>
      </c>
      <c r="Y291" s="36" t="s">
        <v>743</v>
      </c>
      <c r="AA291" t="s">
        <v>25</v>
      </c>
    </row>
    <row r="292" spans="7:45">
      <c r="G292" s="205" t="s">
        <v>6748</v>
      </c>
      <c r="H292" s="111">
        <v>2437078.451072</v>
      </c>
      <c r="I292" t="s">
        <v>25</v>
      </c>
      <c r="R292" s="97" t="s">
        <v>6195</v>
      </c>
      <c r="S292" s="93">
        <v>6000000</v>
      </c>
      <c r="U292" s="187" t="s">
        <v>5226</v>
      </c>
      <c r="V292" s="187">
        <v>63259</v>
      </c>
      <c r="W292" s="186">
        <v>632.31960000000004</v>
      </c>
      <c r="X292" s="186">
        <f t="shared" si="61"/>
        <v>39999905.576400004</v>
      </c>
      <c r="Y292" s="258" t="s">
        <v>1069</v>
      </c>
    </row>
    <row r="293" spans="7:45">
      <c r="G293" s="205" t="s">
        <v>6824</v>
      </c>
      <c r="H293" s="111">
        <v>7747639.4065840002</v>
      </c>
      <c r="J293" t="s">
        <v>25</v>
      </c>
      <c r="K293" t="s">
        <v>25</v>
      </c>
      <c r="R293" s="97" t="s">
        <v>6267</v>
      </c>
      <c r="S293" s="93">
        <v>126128.77475900001</v>
      </c>
      <c r="U293" s="19" t="s">
        <v>5230</v>
      </c>
      <c r="V293" s="19">
        <v>-1278</v>
      </c>
      <c r="W293" s="115">
        <v>625.98</v>
      </c>
      <c r="X293" s="115">
        <f t="shared" si="61"/>
        <v>-800002.44000000006</v>
      </c>
      <c r="Y293" s="259" t="s">
        <v>5231</v>
      </c>
    </row>
    <row r="294" spans="7:45">
      <c r="G294" s="205" t="s">
        <v>6825</v>
      </c>
      <c r="H294" s="111">
        <v>5584918.3522559991</v>
      </c>
      <c r="R294" s="97" t="s">
        <v>6826</v>
      </c>
      <c r="S294" s="93">
        <v>7000000</v>
      </c>
      <c r="U294" s="19" t="s">
        <v>5235</v>
      </c>
      <c r="V294" s="19">
        <v>32049</v>
      </c>
      <c r="W294" s="115">
        <v>624.04600000000005</v>
      </c>
      <c r="X294" s="115">
        <f t="shared" si="61"/>
        <v>20000050.254000001</v>
      </c>
      <c r="Y294" s="259" t="s">
        <v>5100</v>
      </c>
      <c r="AA294" t="s">
        <v>25</v>
      </c>
    </row>
    <row r="295" spans="7:45" ht="30">
      <c r="G295" s="205" t="s">
        <v>6826</v>
      </c>
      <c r="H295" s="111">
        <v>573666.77206800005</v>
      </c>
      <c r="R295" s="97" t="s">
        <v>6916</v>
      </c>
      <c r="S295" s="93">
        <v>-450269000</v>
      </c>
      <c r="T295" t="s">
        <v>25</v>
      </c>
      <c r="U295" s="19" t="s">
        <v>5242</v>
      </c>
      <c r="V295" s="19">
        <v>45094</v>
      </c>
      <c r="W295" s="115">
        <v>614.13559759999998</v>
      </c>
      <c r="X295" s="115">
        <f t="shared" si="61"/>
        <v>27693830.6381744</v>
      </c>
      <c r="Y295" s="259" t="s">
        <v>5244</v>
      </c>
      <c r="Z295" t="s">
        <v>25</v>
      </c>
      <c r="AI295" s="97" t="s">
        <v>3623</v>
      </c>
      <c r="AJ295" s="97" t="s">
        <v>180</v>
      </c>
      <c r="AK295" s="97" t="s">
        <v>267</v>
      </c>
      <c r="AL295" s="97" t="s">
        <v>4040</v>
      </c>
      <c r="AM295" s="97" t="s">
        <v>4032</v>
      </c>
      <c r="AN295" s="97" t="s">
        <v>282</v>
      </c>
      <c r="AO295" s="97" t="s">
        <v>4265</v>
      </c>
    </row>
    <row r="296" spans="7:45">
      <c r="G296" s="205" t="s">
        <v>6831</v>
      </c>
      <c r="H296" s="111">
        <v>1870018.6536539998</v>
      </c>
      <c r="J296" t="s">
        <v>25</v>
      </c>
      <c r="R296" s="97" t="s">
        <v>6924</v>
      </c>
      <c r="S296" s="93">
        <v>50000000</v>
      </c>
      <c r="U296" s="19" t="s">
        <v>5269</v>
      </c>
      <c r="V296" s="19">
        <v>-11804</v>
      </c>
      <c r="W296" s="115">
        <v>762.46640000000002</v>
      </c>
      <c r="X296" s="115">
        <f t="shared" si="61"/>
        <v>-9000153.3856000006</v>
      </c>
      <c r="Y296" s="259" t="s">
        <v>5271</v>
      </c>
      <c r="AI296" s="97">
        <v>1</v>
      </c>
      <c r="AJ296" s="97" t="s">
        <v>3931</v>
      </c>
      <c r="AK296" s="115">
        <v>3555820</v>
      </c>
      <c r="AL296" s="97">
        <v>2</v>
      </c>
      <c r="AM296" s="97">
        <f>AL296+AM297</f>
        <v>991</v>
      </c>
      <c r="AN296" s="97">
        <f>AK296*AM296</f>
        <v>3523817620</v>
      </c>
      <c r="AO296" s="97" t="s">
        <v>4283</v>
      </c>
    </row>
    <row r="297" spans="7:45">
      <c r="G297" s="205" t="s">
        <v>6836</v>
      </c>
      <c r="H297" s="111">
        <v>117222.435308</v>
      </c>
      <c r="O297" t="s">
        <v>25</v>
      </c>
      <c r="R297" s="97" t="s">
        <v>6931</v>
      </c>
      <c r="S297" s="93">
        <v>50000000</v>
      </c>
      <c r="U297" s="19" t="s">
        <v>5312</v>
      </c>
      <c r="V297" s="19">
        <v>844</v>
      </c>
      <c r="W297" s="115">
        <v>830</v>
      </c>
      <c r="X297" s="115">
        <f t="shared" si="61"/>
        <v>700520</v>
      </c>
      <c r="Y297" s="259" t="s">
        <v>4406</v>
      </c>
      <c r="Z297" t="s">
        <v>25</v>
      </c>
      <c r="AI297" s="97">
        <v>2</v>
      </c>
      <c r="AJ297" s="97" t="s">
        <v>4006</v>
      </c>
      <c r="AK297" s="115">
        <v>1720837</v>
      </c>
      <c r="AL297" s="97">
        <v>51</v>
      </c>
      <c r="AM297" s="97">
        <f t="shared" ref="AM297:AM306" si="62">AL297+AM298</f>
        <v>989</v>
      </c>
      <c r="AN297" s="97">
        <f t="shared" ref="AN297:AN325" si="63">AK297*AM297</f>
        <v>1701907793</v>
      </c>
      <c r="AO297" s="97" t="s">
        <v>4284</v>
      </c>
    </row>
    <row r="298" spans="7:45">
      <c r="G298" s="205" t="s">
        <v>6838</v>
      </c>
      <c r="H298" s="111">
        <v>1940857.6749900002</v>
      </c>
      <c r="R298" s="97" t="s">
        <v>6932</v>
      </c>
      <c r="S298" s="93">
        <v>50000000</v>
      </c>
      <c r="T298" t="s">
        <v>25</v>
      </c>
      <c r="U298" s="19" t="s">
        <v>5316</v>
      </c>
      <c r="V298" s="19">
        <v>8662</v>
      </c>
      <c r="W298" s="115">
        <v>832.57011999999997</v>
      </c>
      <c r="X298" s="115">
        <f t="shared" si="61"/>
        <v>7211722.3794399993</v>
      </c>
      <c r="Y298" s="259" t="s">
        <v>5095</v>
      </c>
      <c r="AA298" t="s">
        <v>25</v>
      </c>
      <c r="AI298" s="97">
        <v>3</v>
      </c>
      <c r="AJ298" s="97" t="s">
        <v>4110</v>
      </c>
      <c r="AK298" s="115">
        <v>150000</v>
      </c>
      <c r="AL298" s="97">
        <v>3</v>
      </c>
      <c r="AM298" s="97">
        <f t="shared" si="62"/>
        <v>938</v>
      </c>
      <c r="AN298" s="97">
        <f t="shared" si="63"/>
        <v>140700000</v>
      </c>
      <c r="AO298" s="97"/>
    </row>
    <row r="299" spans="7:45" ht="30">
      <c r="G299" s="205" t="s">
        <v>6859</v>
      </c>
      <c r="H299" s="111">
        <v>195324.59944799999</v>
      </c>
      <c r="R299" s="97" t="s">
        <v>6933</v>
      </c>
      <c r="S299" s="93">
        <v>50000000</v>
      </c>
      <c r="U299" s="19" t="s">
        <v>5317</v>
      </c>
      <c r="V299" s="19">
        <v>10253</v>
      </c>
      <c r="W299" s="115">
        <v>827.2568</v>
      </c>
      <c r="X299" s="115">
        <f t="shared" si="61"/>
        <v>8481863.9704</v>
      </c>
      <c r="Y299" s="259" t="s">
        <v>5320</v>
      </c>
      <c r="AB299" t="s">
        <v>25</v>
      </c>
      <c r="AI299" s="97">
        <v>4</v>
      </c>
      <c r="AJ299" s="97" t="s">
        <v>4125</v>
      </c>
      <c r="AK299" s="115">
        <v>-95000</v>
      </c>
      <c r="AL299" s="97">
        <v>8</v>
      </c>
      <c r="AM299" s="97">
        <f t="shared" si="62"/>
        <v>935</v>
      </c>
      <c r="AN299" s="97">
        <f t="shared" si="63"/>
        <v>-88825000</v>
      </c>
      <c r="AO299" s="97"/>
    </row>
    <row r="300" spans="7:45">
      <c r="G300" s="205" t="s">
        <v>6859</v>
      </c>
      <c r="H300" s="111">
        <v>20318581.172208</v>
      </c>
      <c r="R300" s="97" t="s">
        <v>6934</v>
      </c>
      <c r="S300" s="93">
        <v>100000000</v>
      </c>
      <c r="T300" t="s">
        <v>25</v>
      </c>
      <c r="U300" s="229" t="s">
        <v>5321</v>
      </c>
      <c r="V300" s="229">
        <v>-33077</v>
      </c>
      <c r="W300" s="230">
        <v>786.02973999999995</v>
      </c>
      <c r="X300" s="230">
        <f t="shared" si="61"/>
        <v>-25999505.70998</v>
      </c>
      <c r="Y300" s="267" t="s">
        <v>5323</v>
      </c>
      <c r="AI300" s="97">
        <v>5</v>
      </c>
      <c r="AJ300" s="97" t="s">
        <v>4149</v>
      </c>
      <c r="AK300" s="115">
        <v>3150000</v>
      </c>
      <c r="AL300" s="97">
        <v>16</v>
      </c>
      <c r="AM300" s="97">
        <f t="shared" si="62"/>
        <v>927</v>
      </c>
      <c r="AN300" s="97">
        <f t="shared" si="63"/>
        <v>2920050000</v>
      </c>
      <c r="AO300" s="97"/>
      <c r="AS300" t="s">
        <v>25</v>
      </c>
    </row>
    <row r="301" spans="7:45">
      <c r="G301" s="205" t="s">
        <v>6861</v>
      </c>
      <c r="H301" s="111">
        <v>2893976.613864</v>
      </c>
      <c r="R301" s="97" t="s">
        <v>6936</v>
      </c>
      <c r="S301" s="93">
        <v>50000000</v>
      </c>
      <c r="T301" t="s">
        <v>25</v>
      </c>
      <c r="U301" s="19" t="s">
        <v>5321</v>
      </c>
      <c r="V301" s="19">
        <v>-33077</v>
      </c>
      <c r="W301" s="115">
        <v>786.02973999999995</v>
      </c>
      <c r="X301" s="115">
        <f t="shared" si="61"/>
        <v>-25999505.70998</v>
      </c>
      <c r="Y301" s="259" t="s">
        <v>5324</v>
      </c>
      <c r="Z301" t="s">
        <v>25</v>
      </c>
      <c r="AI301" s="97">
        <v>6</v>
      </c>
      <c r="AJ301" s="97" t="s">
        <v>4214</v>
      </c>
      <c r="AK301" s="115">
        <v>-65000</v>
      </c>
      <c r="AL301" s="97">
        <v>1</v>
      </c>
      <c r="AM301" s="97">
        <f t="shared" si="62"/>
        <v>911</v>
      </c>
      <c r="AN301" s="97">
        <f t="shared" si="63"/>
        <v>-59215000</v>
      </c>
      <c r="AO301" s="97"/>
    </row>
    <row r="302" spans="7:45">
      <c r="G302" s="205" t="s">
        <v>6862</v>
      </c>
      <c r="H302" s="111">
        <v>348175.86130300001</v>
      </c>
      <c r="R302" s="97" t="s">
        <v>6938</v>
      </c>
      <c r="S302" s="93">
        <v>11300000</v>
      </c>
      <c r="U302" s="19" t="s">
        <v>5321</v>
      </c>
      <c r="V302" s="19">
        <v>1983</v>
      </c>
      <c r="W302" s="115">
        <v>786.02973999999995</v>
      </c>
      <c r="X302" s="115">
        <f t="shared" si="61"/>
        <v>1558696.9744199999</v>
      </c>
      <c r="Y302" s="259" t="s">
        <v>5095</v>
      </c>
      <c r="AI302" s="97">
        <v>7</v>
      </c>
      <c r="AJ302" s="97" t="s">
        <v>4285</v>
      </c>
      <c r="AK302" s="115">
        <v>-95000</v>
      </c>
      <c r="AL302" s="97">
        <v>6</v>
      </c>
      <c r="AM302" s="97">
        <f t="shared" si="62"/>
        <v>910</v>
      </c>
      <c r="AN302" s="97">
        <f t="shared" si="63"/>
        <v>-86450000</v>
      </c>
      <c r="AO302" s="97"/>
    </row>
    <row r="303" spans="7:45">
      <c r="G303" s="205" t="s">
        <v>6865</v>
      </c>
      <c r="H303" s="111">
        <v>315280.48550000001</v>
      </c>
      <c r="R303" s="97" t="s">
        <v>6938</v>
      </c>
      <c r="S303" s="93">
        <v>65111600</v>
      </c>
      <c r="U303" s="229" t="s">
        <v>5325</v>
      </c>
      <c r="V303" s="229">
        <v>-119753</v>
      </c>
      <c r="W303" s="230">
        <v>800.81560000000002</v>
      </c>
      <c r="X303" s="230">
        <f t="shared" si="61"/>
        <v>-95900070.546800002</v>
      </c>
      <c r="Y303" s="267" t="s">
        <v>5323</v>
      </c>
      <c r="AI303" s="97">
        <v>8</v>
      </c>
      <c r="AJ303" s="97" t="s">
        <v>4286</v>
      </c>
      <c r="AK303" s="115">
        <v>232000</v>
      </c>
      <c r="AL303" s="97">
        <v>7</v>
      </c>
      <c r="AM303" s="97">
        <f t="shared" si="62"/>
        <v>904</v>
      </c>
      <c r="AN303" s="97">
        <f t="shared" si="63"/>
        <v>209728000</v>
      </c>
      <c r="AO303" s="97"/>
    </row>
    <row r="304" spans="7:45">
      <c r="G304" s="205" t="s">
        <v>6869</v>
      </c>
      <c r="H304" s="111">
        <v>184045.65498799999</v>
      </c>
      <c r="R304" s="97" t="s">
        <v>6942</v>
      </c>
      <c r="S304" s="93">
        <v>25000000</v>
      </c>
      <c r="U304" s="19" t="s">
        <v>5325</v>
      </c>
      <c r="V304" s="19">
        <v>-119753</v>
      </c>
      <c r="W304" s="115">
        <v>800.81560000000002</v>
      </c>
      <c r="X304" s="115">
        <f t="shared" si="61"/>
        <v>-95900070.546800002</v>
      </c>
      <c r="Y304" s="259" t="s">
        <v>5324</v>
      </c>
      <c r="AI304" s="97">
        <v>9</v>
      </c>
      <c r="AJ304" s="97" t="s">
        <v>4264</v>
      </c>
      <c r="AK304" s="115">
        <v>13000000</v>
      </c>
      <c r="AL304" s="97">
        <v>2</v>
      </c>
      <c r="AM304" s="97">
        <f t="shared" si="62"/>
        <v>897</v>
      </c>
      <c r="AN304" s="97">
        <f t="shared" si="63"/>
        <v>11661000000</v>
      </c>
      <c r="AO304" s="97"/>
    </row>
    <row r="305" spans="7:41">
      <c r="G305" s="424" t="s">
        <v>6884</v>
      </c>
      <c r="H305" s="425">
        <v>3224064.2855249997</v>
      </c>
      <c r="J305" t="s">
        <v>25</v>
      </c>
      <c r="O305" t="s">
        <v>25</v>
      </c>
      <c r="R305" s="97"/>
      <c r="S305" s="93"/>
      <c r="U305" s="19" t="s">
        <v>5325</v>
      </c>
      <c r="V305" s="19">
        <v>11291</v>
      </c>
      <c r="W305" s="115">
        <v>800.81560000000002</v>
      </c>
      <c r="X305" s="115">
        <f t="shared" si="61"/>
        <v>9042008.9396000002</v>
      </c>
      <c r="Y305" s="259" t="s">
        <v>452</v>
      </c>
      <c r="AB305" t="s">
        <v>25</v>
      </c>
      <c r="AI305" s="97">
        <v>10</v>
      </c>
      <c r="AJ305" s="97" t="s">
        <v>4287</v>
      </c>
      <c r="AK305" s="115">
        <v>10000000</v>
      </c>
      <c r="AL305" s="97">
        <v>3</v>
      </c>
      <c r="AM305" s="97">
        <f t="shared" si="62"/>
        <v>895</v>
      </c>
      <c r="AN305" s="97">
        <f t="shared" si="63"/>
        <v>8950000000</v>
      </c>
      <c r="AO305" s="97"/>
    </row>
    <row r="306" spans="7:41">
      <c r="G306" s="205" t="s">
        <v>6885</v>
      </c>
      <c r="H306" s="111">
        <v>145302.32212200001</v>
      </c>
      <c r="R306" s="97"/>
      <c r="S306" s="93"/>
      <c r="U306" s="187" t="s">
        <v>5326</v>
      </c>
      <c r="V306" s="187">
        <v>-35361</v>
      </c>
      <c r="W306" s="186">
        <v>818.697</v>
      </c>
      <c r="X306" s="186">
        <f t="shared" si="61"/>
        <v>-28949944.616999999</v>
      </c>
      <c r="Y306" s="258" t="s">
        <v>5323</v>
      </c>
      <c r="Z306" t="s">
        <v>25</v>
      </c>
      <c r="AI306" s="97">
        <v>11</v>
      </c>
      <c r="AJ306" s="97" t="s">
        <v>4276</v>
      </c>
      <c r="AK306" s="115">
        <v>3400000</v>
      </c>
      <c r="AL306" s="97">
        <v>9</v>
      </c>
      <c r="AM306" s="97">
        <f t="shared" si="62"/>
        <v>892</v>
      </c>
      <c r="AN306" s="97">
        <f t="shared" si="63"/>
        <v>3032800000</v>
      </c>
      <c r="AO306" s="97"/>
    </row>
    <row r="307" spans="7:41">
      <c r="G307" s="205" t="s">
        <v>6887</v>
      </c>
      <c r="H307" s="111">
        <v>7184125.4612399992</v>
      </c>
      <c r="P307" t="s">
        <v>25</v>
      </c>
      <c r="R307" s="97"/>
      <c r="S307" s="93"/>
      <c r="U307" s="19" t="s">
        <v>5326</v>
      </c>
      <c r="V307" s="19">
        <v>-35361</v>
      </c>
      <c r="W307" s="115">
        <v>818.697</v>
      </c>
      <c r="X307" s="115">
        <f t="shared" si="61"/>
        <v>-28949944.616999999</v>
      </c>
      <c r="Y307" s="259" t="s">
        <v>5324</v>
      </c>
      <c r="Z307" t="s">
        <v>25</v>
      </c>
      <c r="AA307" t="s">
        <v>25</v>
      </c>
      <c r="AI307" s="97">
        <v>12</v>
      </c>
      <c r="AJ307" s="97" t="s">
        <v>4313</v>
      </c>
      <c r="AK307" s="115">
        <v>-8736514</v>
      </c>
      <c r="AL307" s="97">
        <v>1</v>
      </c>
      <c r="AM307" s="97">
        <f>AL307+AM308</f>
        <v>883</v>
      </c>
      <c r="AN307" s="97">
        <f t="shared" si="63"/>
        <v>-7714341862</v>
      </c>
      <c r="AO307" s="97"/>
    </row>
    <row r="308" spans="7:41">
      <c r="G308" s="205" t="s">
        <v>6889</v>
      </c>
      <c r="H308" s="111">
        <v>8260484.4756000005</v>
      </c>
      <c r="R308" s="97" t="s">
        <v>25</v>
      </c>
      <c r="S308" s="93"/>
      <c r="U308" s="19" t="s">
        <v>5326</v>
      </c>
      <c r="V308" s="19">
        <v>116</v>
      </c>
      <c r="W308" s="115">
        <v>818.697</v>
      </c>
      <c r="X308" s="115">
        <f t="shared" si="61"/>
        <v>94968.851999999999</v>
      </c>
      <c r="Y308" s="259" t="s">
        <v>5095</v>
      </c>
      <c r="AI308" s="97">
        <v>13</v>
      </c>
      <c r="AJ308" s="97" t="s">
        <v>4314</v>
      </c>
      <c r="AK308" s="115">
        <v>555000</v>
      </c>
      <c r="AL308" s="97">
        <v>5</v>
      </c>
      <c r="AM308" s="97">
        <f t="shared" ref="AM308:AM324" si="64">AL308+AM309</f>
        <v>882</v>
      </c>
      <c r="AN308" s="97">
        <f t="shared" si="63"/>
        <v>489510000</v>
      </c>
      <c r="AO308" s="97"/>
    </row>
    <row r="309" spans="7:41">
      <c r="G309" s="205" t="s">
        <v>6890</v>
      </c>
      <c r="H309" s="111">
        <v>2791202.6544840001</v>
      </c>
      <c r="R309" s="97"/>
      <c r="S309" s="93">
        <f>SUM(S236:S308)</f>
        <v>159985222.43317199</v>
      </c>
      <c r="U309" s="19" t="s">
        <v>5330</v>
      </c>
      <c r="V309" s="19">
        <v>48633</v>
      </c>
      <c r="W309" s="115">
        <v>822.47199999999998</v>
      </c>
      <c r="X309" s="115">
        <f t="shared" si="61"/>
        <v>39999280.776000001</v>
      </c>
      <c r="Y309" s="259" t="s">
        <v>5333</v>
      </c>
      <c r="AB309" t="s">
        <v>25</v>
      </c>
      <c r="AI309" s="97">
        <v>14</v>
      </c>
      <c r="AJ309" s="97" t="s">
        <v>4338</v>
      </c>
      <c r="AK309" s="115">
        <v>-448308</v>
      </c>
      <c r="AL309" s="97">
        <v>6</v>
      </c>
      <c r="AM309" s="97">
        <f t="shared" si="64"/>
        <v>877</v>
      </c>
      <c r="AN309" s="97">
        <f t="shared" si="63"/>
        <v>-393166116</v>
      </c>
      <c r="AO309" s="97"/>
    </row>
    <row r="310" spans="7:41">
      <c r="G310" s="205" t="s">
        <v>6891</v>
      </c>
      <c r="H310" s="111">
        <v>248142.0681</v>
      </c>
      <c r="S310" s="97" t="s">
        <v>6</v>
      </c>
      <c r="U310" s="19" t="s">
        <v>5330</v>
      </c>
      <c r="V310" s="19">
        <v>3412</v>
      </c>
      <c r="W310" s="115">
        <v>822.47199999999998</v>
      </c>
      <c r="X310" s="115">
        <f t="shared" si="61"/>
        <v>2806274.4640000002</v>
      </c>
      <c r="Y310" s="259" t="s">
        <v>5335</v>
      </c>
      <c r="AI310" s="97">
        <v>15</v>
      </c>
      <c r="AJ310" s="97" t="s">
        <v>4365</v>
      </c>
      <c r="AK310" s="115">
        <v>33225</v>
      </c>
      <c r="AL310" s="97">
        <v>0</v>
      </c>
      <c r="AM310" s="97">
        <f t="shared" si="64"/>
        <v>871</v>
      </c>
      <c r="AN310" s="97">
        <f t="shared" si="63"/>
        <v>28938975</v>
      </c>
      <c r="AO310" s="97"/>
    </row>
    <row r="311" spans="7:41">
      <c r="G311" s="205" t="s">
        <v>6916</v>
      </c>
      <c r="H311" s="111">
        <v>3374278.1910000001</v>
      </c>
      <c r="J311" t="s">
        <v>25</v>
      </c>
      <c r="S311" t="s">
        <v>25</v>
      </c>
      <c r="T311" s="112"/>
      <c r="U311" s="19" t="s">
        <v>5331</v>
      </c>
      <c r="V311" s="19">
        <v>1531</v>
      </c>
      <c r="W311" s="115">
        <v>869.82500000000005</v>
      </c>
      <c r="X311" s="115">
        <f t="shared" si="61"/>
        <v>1331702.075</v>
      </c>
      <c r="Y311" s="259" t="s">
        <v>5336</v>
      </c>
      <c r="AI311" s="147">
        <v>16</v>
      </c>
      <c r="AJ311" s="147" t="s">
        <v>4365</v>
      </c>
      <c r="AK311" s="186">
        <v>4098523</v>
      </c>
      <c r="AL311" s="147">
        <v>2</v>
      </c>
      <c r="AM311" s="147">
        <f t="shared" si="64"/>
        <v>871</v>
      </c>
      <c r="AN311" s="147">
        <f t="shared" si="63"/>
        <v>3569813533</v>
      </c>
      <c r="AO311" s="147" t="s">
        <v>649</v>
      </c>
    </row>
    <row r="312" spans="7:41">
      <c r="G312" s="205" t="s">
        <v>6938</v>
      </c>
      <c r="H312" s="111">
        <v>2616960</v>
      </c>
      <c r="J312" t="s">
        <v>25</v>
      </c>
      <c r="O312" t="s">
        <v>25</v>
      </c>
      <c r="R312" s="97" t="s">
        <v>452</v>
      </c>
      <c r="U312" s="19" t="s">
        <v>5339</v>
      </c>
      <c r="V312" s="19">
        <v>1019</v>
      </c>
      <c r="W312" s="115">
        <v>835.36580000000004</v>
      </c>
      <c r="X312" s="115">
        <f t="shared" si="61"/>
        <v>851237.75020000001</v>
      </c>
      <c r="Y312" s="259" t="s">
        <v>452</v>
      </c>
      <c r="AI312" s="147">
        <v>17</v>
      </c>
      <c r="AJ312" s="147" t="s">
        <v>4376</v>
      </c>
      <c r="AK312" s="186">
        <v>-1000000</v>
      </c>
      <c r="AL312" s="147">
        <v>7</v>
      </c>
      <c r="AM312" s="147">
        <f t="shared" si="64"/>
        <v>869</v>
      </c>
      <c r="AN312" s="147">
        <f t="shared" si="63"/>
        <v>-869000000</v>
      </c>
      <c r="AO312" s="147" t="s">
        <v>649</v>
      </c>
    </row>
    <row r="313" spans="7:41">
      <c r="G313" s="205" t="s">
        <v>6945</v>
      </c>
      <c r="H313" s="111">
        <v>253557.36216800002</v>
      </c>
      <c r="R313" s="97" t="s">
        <v>4399</v>
      </c>
      <c r="S313" s="97"/>
      <c r="U313" s="187" t="s">
        <v>5345</v>
      </c>
      <c r="V313" s="187">
        <v>2316</v>
      </c>
      <c r="W313" s="186">
        <v>818.697</v>
      </c>
      <c r="X313" s="186">
        <f t="shared" si="61"/>
        <v>1896102.2520000001</v>
      </c>
      <c r="Y313" s="258" t="s">
        <v>5348</v>
      </c>
      <c r="AI313" s="147">
        <v>18</v>
      </c>
      <c r="AJ313" s="147" t="s">
        <v>4396</v>
      </c>
      <c r="AK313" s="186">
        <v>750000</v>
      </c>
      <c r="AL313" s="147">
        <v>1</v>
      </c>
      <c r="AM313" s="147">
        <f t="shared" si="64"/>
        <v>862</v>
      </c>
      <c r="AN313" s="147">
        <f t="shared" si="63"/>
        <v>646500000</v>
      </c>
      <c r="AO313" s="147" t="s">
        <v>649</v>
      </c>
    </row>
    <row r="314" spans="7:41">
      <c r="G314" s="205" t="s">
        <v>6948</v>
      </c>
      <c r="H314" s="111">
        <v>933193.93063399999</v>
      </c>
      <c r="R314" s="97" t="s">
        <v>4442</v>
      </c>
      <c r="S314" s="93">
        <v>63115000</v>
      </c>
      <c r="U314" s="19" t="s">
        <v>5351</v>
      </c>
      <c r="V314" s="19">
        <v>315</v>
      </c>
      <c r="W314" s="115">
        <v>680</v>
      </c>
      <c r="X314" s="115">
        <f t="shared" si="61"/>
        <v>214200</v>
      </c>
      <c r="Y314" s="259" t="s">
        <v>5095</v>
      </c>
      <c r="AI314" s="191">
        <v>19</v>
      </c>
      <c r="AJ314" s="191" t="s">
        <v>4397</v>
      </c>
      <c r="AK314" s="192">
        <v>-604152</v>
      </c>
      <c r="AL314" s="191">
        <v>0</v>
      </c>
      <c r="AM314" s="191">
        <f t="shared" si="64"/>
        <v>861</v>
      </c>
      <c r="AN314" s="191">
        <f t="shared" si="63"/>
        <v>-520174872</v>
      </c>
      <c r="AO314" s="191" t="s">
        <v>649</v>
      </c>
    </row>
    <row r="315" spans="7:41">
      <c r="G315" s="205" t="s">
        <v>6954</v>
      </c>
      <c r="H315" s="111">
        <v>1191707.1852839999</v>
      </c>
      <c r="J315" t="s">
        <v>25</v>
      </c>
      <c r="R315" s="97" t="s">
        <v>4450</v>
      </c>
      <c r="S315" s="93">
        <v>13300000</v>
      </c>
      <c r="U315" s="19" t="s">
        <v>5373</v>
      </c>
      <c r="V315" s="19">
        <v>832</v>
      </c>
      <c r="W315" s="115">
        <v>784.36500000000001</v>
      </c>
      <c r="X315" s="115">
        <f t="shared" si="61"/>
        <v>652591.68000000005</v>
      </c>
      <c r="Y315" s="259" t="s">
        <v>5095</v>
      </c>
      <c r="Z315" t="s">
        <v>25</v>
      </c>
      <c r="AI315" s="97">
        <v>20</v>
      </c>
      <c r="AJ315" s="97" t="s">
        <v>4398</v>
      </c>
      <c r="AK315" s="115">
        <v>-587083</v>
      </c>
      <c r="AL315" s="97">
        <v>4</v>
      </c>
      <c r="AM315" s="97">
        <f t="shared" si="64"/>
        <v>861</v>
      </c>
      <c r="AN315" s="97">
        <f t="shared" si="63"/>
        <v>-505478463</v>
      </c>
      <c r="AO315" s="97"/>
    </row>
    <row r="316" spans="7:41">
      <c r="G316" s="205" t="s">
        <v>6956</v>
      </c>
      <c r="H316" s="111">
        <v>2538812.595222</v>
      </c>
      <c r="R316" s="97" t="s">
        <v>4548</v>
      </c>
      <c r="S316" s="93">
        <v>2269000</v>
      </c>
      <c r="U316" s="19" t="s">
        <v>5416</v>
      </c>
      <c r="V316" s="19">
        <v>382</v>
      </c>
      <c r="W316" s="115">
        <v>1450.6065000000001</v>
      </c>
      <c r="X316" s="115">
        <f t="shared" si="61"/>
        <v>554131.68300000008</v>
      </c>
      <c r="Y316" s="259" t="s">
        <v>5095</v>
      </c>
      <c r="Z316" t="s">
        <v>25</v>
      </c>
      <c r="AI316" s="191">
        <v>21</v>
      </c>
      <c r="AJ316" s="191" t="s">
        <v>4399</v>
      </c>
      <c r="AK316" s="192">
        <v>-754351</v>
      </c>
      <c r="AL316" s="191">
        <v>0</v>
      </c>
      <c r="AM316" s="147">
        <f t="shared" si="64"/>
        <v>857</v>
      </c>
      <c r="AN316" s="191">
        <f t="shared" si="63"/>
        <v>-646478807</v>
      </c>
      <c r="AO316" s="191" t="s">
        <v>649</v>
      </c>
    </row>
    <row r="317" spans="7:41">
      <c r="G317" s="205" t="s">
        <v>6964</v>
      </c>
      <c r="H317" s="111">
        <v>2016850.526604</v>
      </c>
      <c r="P317" t="s">
        <v>25</v>
      </c>
      <c r="R317" s="97" t="s">
        <v>4557</v>
      </c>
      <c r="S317" s="93">
        <v>25071612</v>
      </c>
      <c r="U317" s="19" t="s">
        <v>5417</v>
      </c>
      <c r="V317" s="19">
        <v>50047</v>
      </c>
      <c r="W317" s="115">
        <v>1406.14</v>
      </c>
      <c r="X317" s="115">
        <f t="shared" si="61"/>
        <v>70373088.579999998</v>
      </c>
      <c r="Y317" s="259" t="s">
        <v>5095</v>
      </c>
      <c r="AA317" t="s">
        <v>25</v>
      </c>
      <c r="AI317" s="97">
        <v>22</v>
      </c>
      <c r="AJ317" s="97" t="s">
        <v>4399</v>
      </c>
      <c r="AK317" s="115">
        <v>-189619</v>
      </c>
      <c r="AL317" s="97">
        <v>15</v>
      </c>
      <c r="AM317" s="97">
        <f t="shared" si="64"/>
        <v>857</v>
      </c>
      <c r="AN317" s="97">
        <f t="shared" si="63"/>
        <v>-162503483</v>
      </c>
      <c r="AO317" s="97"/>
    </row>
    <row r="318" spans="7:41">
      <c r="G318" s="205" t="s">
        <v>6967</v>
      </c>
      <c r="H318" s="111">
        <v>130754.575732</v>
      </c>
      <c r="P318" t="s">
        <v>25</v>
      </c>
      <c r="R318" s="97" t="s">
        <v>4558</v>
      </c>
      <c r="S318" s="93">
        <v>42236984</v>
      </c>
      <c r="U318" s="19" t="s">
        <v>5418</v>
      </c>
      <c r="V318" s="19">
        <v>846</v>
      </c>
      <c r="W318" s="115">
        <v>1441.6724569999999</v>
      </c>
      <c r="X318" s="115">
        <f t="shared" si="61"/>
        <v>1219654.8986219999</v>
      </c>
      <c r="Y318" s="259" t="s">
        <v>5095</v>
      </c>
      <c r="Z318" t="s">
        <v>25</v>
      </c>
      <c r="AA318" t="s">
        <v>25</v>
      </c>
      <c r="AI318" s="191">
        <v>23</v>
      </c>
      <c r="AJ318" s="191" t="s">
        <v>4458</v>
      </c>
      <c r="AK318" s="186">
        <v>7100</v>
      </c>
      <c r="AL318" s="191">
        <v>0</v>
      </c>
      <c r="AM318" s="147">
        <f t="shared" si="64"/>
        <v>842</v>
      </c>
      <c r="AN318" s="191">
        <f t="shared" si="63"/>
        <v>5978200</v>
      </c>
      <c r="AO318" s="191" t="s">
        <v>649</v>
      </c>
    </row>
    <row r="319" spans="7:41">
      <c r="G319" s="205" t="s">
        <v>6968</v>
      </c>
      <c r="H319" s="111">
        <v>153756.41398000001</v>
      </c>
      <c r="J319" t="s">
        <v>25</v>
      </c>
      <c r="R319" s="97" t="s">
        <v>4579</v>
      </c>
      <c r="S319" s="93">
        <v>19663646</v>
      </c>
      <c r="U319" s="19" t="s">
        <v>5419</v>
      </c>
      <c r="V319" s="19">
        <v>10573</v>
      </c>
      <c r="W319" s="115">
        <v>1451.825</v>
      </c>
      <c r="X319" s="115">
        <f t="shared" si="61"/>
        <v>15350145.725</v>
      </c>
      <c r="Y319" s="259" t="s">
        <v>5095</v>
      </c>
      <c r="Z319" t="s">
        <v>25</v>
      </c>
      <c r="AI319" s="20">
        <v>24</v>
      </c>
      <c r="AJ319" s="20" t="s">
        <v>4458</v>
      </c>
      <c r="AK319" s="115">
        <v>-147902</v>
      </c>
      <c r="AL319" s="20">
        <v>3</v>
      </c>
      <c r="AM319" s="97">
        <f t="shared" si="64"/>
        <v>842</v>
      </c>
      <c r="AN319" s="20">
        <f t="shared" si="63"/>
        <v>-124533484</v>
      </c>
      <c r="AO319" s="20"/>
    </row>
    <row r="320" spans="7:41" ht="30">
      <c r="G320" s="205" t="s">
        <v>6976</v>
      </c>
      <c r="H320" s="111">
        <v>549780</v>
      </c>
      <c r="J320" t="s">
        <v>25</v>
      </c>
      <c r="R320" s="97" t="s">
        <v>4590</v>
      </c>
      <c r="S320" s="93">
        <v>4374525</v>
      </c>
      <c r="U320" s="19" t="s">
        <v>5420</v>
      </c>
      <c r="V320" s="19">
        <v>85</v>
      </c>
      <c r="W320" s="115">
        <v>1423.74</v>
      </c>
      <c r="X320" s="115">
        <f t="shared" si="61"/>
        <v>121017.9</v>
      </c>
      <c r="Y320" s="259" t="s">
        <v>5421</v>
      </c>
      <c r="Z320" t="s">
        <v>25</v>
      </c>
      <c r="AI320" s="147">
        <v>25</v>
      </c>
      <c r="AJ320" s="147" t="s">
        <v>4466</v>
      </c>
      <c r="AK320" s="186">
        <v>-37200</v>
      </c>
      <c r="AL320" s="147">
        <v>4</v>
      </c>
      <c r="AM320" s="147">
        <f t="shared" si="64"/>
        <v>839</v>
      </c>
      <c r="AN320" s="191">
        <f t="shared" si="63"/>
        <v>-31210800</v>
      </c>
      <c r="AO320" s="147" t="s">
        <v>649</v>
      </c>
    </row>
    <row r="321" spans="7:45" ht="30">
      <c r="G321" s="205" t="s">
        <v>6977</v>
      </c>
      <c r="H321" s="111">
        <v>1464826.6705450001</v>
      </c>
      <c r="J321" t="s">
        <v>25</v>
      </c>
      <c r="R321" s="97" t="s">
        <v>4592</v>
      </c>
      <c r="S321" s="93">
        <v>6550580</v>
      </c>
      <c r="U321" s="19" t="s">
        <v>5424</v>
      </c>
      <c r="V321" s="19">
        <v>738</v>
      </c>
      <c r="W321" s="115">
        <v>1388.87895</v>
      </c>
      <c r="X321" s="115">
        <f t="shared" si="61"/>
        <v>1024992.6651</v>
      </c>
      <c r="Y321" s="259" t="s">
        <v>5428</v>
      </c>
      <c r="Z321" t="s">
        <v>25</v>
      </c>
      <c r="AI321" s="97">
        <v>26</v>
      </c>
      <c r="AJ321" s="97" t="s">
        <v>4493</v>
      </c>
      <c r="AK321" s="115">
        <v>-372326</v>
      </c>
      <c r="AL321" s="97">
        <v>21</v>
      </c>
      <c r="AM321" s="97">
        <f t="shared" si="64"/>
        <v>835</v>
      </c>
      <c r="AN321" s="20">
        <f t="shared" si="63"/>
        <v>-310892210</v>
      </c>
      <c r="AO321" s="97"/>
    </row>
    <row r="322" spans="7:45">
      <c r="G322" s="205" t="s">
        <v>6983</v>
      </c>
      <c r="H322" s="111">
        <v>298481.41232</v>
      </c>
      <c r="R322" s="97" t="s">
        <v>4605</v>
      </c>
      <c r="S322" s="93">
        <v>7054895</v>
      </c>
      <c r="U322" s="19" t="s">
        <v>5436</v>
      </c>
      <c r="V322" s="19">
        <v>1442</v>
      </c>
      <c r="W322" s="115">
        <v>1350.9547279999999</v>
      </c>
      <c r="X322" s="115">
        <f t="shared" si="61"/>
        <v>1948076.7177759998</v>
      </c>
      <c r="Y322" s="259" t="s">
        <v>5095</v>
      </c>
      <c r="AB322" t="s">
        <v>25</v>
      </c>
      <c r="AI322" s="97">
        <v>27</v>
      </c>
      <c r="AJ322" s="97" t="s">
        <v>4540</v>
      </c>
      <c r="AK322" s="115">
        <v>235062</v>
      </c>
      <c r="AL322" s="97">
        <v>0</v>
      </c>
      <c r="AM322" s="97">
        <f t="shared" si="64"/>
        <v>814</v>
      </c>
      <c r="AN322" s="20">
        <f t="shared" si="63"/>
        <v>191340468</v>
      </c>
      <c r="AO322" s="97"/>
    </row>
    <row r="323" spans="7:45">
      <c r="G323" s="205"/>
      <c r="H323" s="111"/>
      <c r="R323" s="97" t="s">
        <v>4616</v>
      </c>
      <c r="S323" s="93">
        <v>2145814</v>
      </c>
      <c r="U323" s="19" t="s">
        <v>5437</v>
      </c>
      <c r="V323" s="19">
        <v>36847</v>
      </c>
      <c r="W323" s="115">
        <v>1356.9658300000001</v>
      </c>
      <c r="X323" s="115">
        <f t="shared" si="61"/>
        <v>50000119.938010007</v>
      </c>
      <c r="Y323" s="259" t="s">
        <v>5100</v>
      </c>
      <c r="AI323" s="147">
        <v>28</v>
      </c>
      <c r="AJ323" s="147" t="s">
        <v>4540</v>
      </c>
      <c r="AK323" s="186">
        <v>235062</v>
      </c>
      <c r="AL323" s="147">
        <v>9</v>
      </c>
      <c r="AM323" s="97">
        <f t="shared" si="64"/>
        <v>814</v>
      </c>
      <c r="AN323" s="147">
        <f t="shared" si="63"/>
        <v>191340468</v>
      </c>
      <c r="AO323" s="147" t="s">
        <v>649</v>
      </c>
    </row>
    <row r="324" spans="7:45" ht="30">
      <c r="G324" s="205"/>
      <c r="H324" s="111"/>
      <c r="J324" t="s">
        <v>25</v>
      </c>
      <c r="R324" s="97" t="s">
        <v>4618</v>
      </c>
      <c r="S324" s="93">
        <v>4369730</v>
      </c>
      <c r="U324" s="19" t="s">
        <v>5438</v>
      </c>
      <c r="V324" s="19">
        <v>13738</v>
      </c>
      <c r="W324" s="115">
        <v>1455.82</v>
      </c>
      <c r="X324" s="115">
        <f t="shared" si="61"/>
        <v>20000055.16</v>
      </c>
      <c r="Y324" s="259" t="s">
        <v>5454</v>
      </c>
      <c r="Z324" t="s">
        <v>25</v>
      </c>
      <c r="AB324" t="s">
        <v>25</v>
      </c>
      <c r="AI324" s="147">
        <v>29</v>
      </c>
      <c r="AJ324" s="147" t="s">
        <v>4558</v>
      </c>
      <c r="AK324" s="186">
        <v>450000</v>
      </c>
      <c r="AL324" s="147">
        <v>0</v>
      </c>
      <c r="AM324" s="97">
        <f t="shared" si="64"/>
        <v>805</v>
      </c>
      <c r="AN324" s="147">
        <f t="shared" si="63"/>
        <v>362250000</v>
      </c>
      <c r="AO324" s="147" t="s">
        <v>649</v>
      </c>
    </row>
    <row r="325" spans="7:45">
      <c r="G325" s="205"/>
      <c r="H325" s="111"/>
      <c r="R325" s="97" t="s">
        <v>4627</v>
      </c>
      <c r="S325" s="93">
        <v>8739459</v>
      </c>
      <c r="U325" s="19" t="s">
        <v>5461</v>
      </c>
      <c r="V325" s="19">
        <v>3100</v>
      </c>
      <c r="W325" s="115">
        <v>1853.4507470000001</v>
      </c>
      <c r="X325" s="115">
        <f t="shared" si="61"/>
        <v>5745697.3157000002</v>
      </c>
      <c r="Y325" s="259" t="s">
        <v>5095</v>
      </c>
      <c r="Z325" t="s">
        <v>25</v>
      </c>
      <c r="AI325" s="20">
        <v>30</v>
      </c>
      <c r="AJ325" s="20" t="s">
        <v>4558</v>
      </c>
      <c r="AK325" s="115">
        <v>450000</v>
      </c>
      <c r="AL325" s="20">
        <v>22</v>
      </c>
      <c r="AM325" s="97">
        <f>AL325+AM326</f>
        <v>805</v>
      </c>
      <c r="AN325" s="20">
        <f t="shared" si="63"/>
        <v>362250000</v>
      </c>
      <c r="AO325" s="20"/>
    </row>
    <row r="326" spans="7:45">
      <c r="G326" s="205"/>
      <c r="H326" s="111"/>
      <c r="J326" t="s">
        <v>25</v>
      </c>
      <c r="R326" s="97" t="s">
        <v>3666</v>
      </c>
      <c r="S326" s="93">
        <v>6667654</v>
      </c>
      <c r="U326" s="19" t="s">
        <v>5462</v>
      </c>
      <c r="V326" s="19">
        <v>480</v>
      </c>
      <c r="W326" s="115">
        <v>1891.9962069999999</v>
      </c>
      <c r="X326" s="115">
        <f t="shared" si="61"/>
        <v>908158.17935999995</v>
      </c>
      <c r="Y326" s="259" t="s">
        <v>5095</v>
      </c>
      <c r="Z326" t="s">
        <v>25</v>
      </c>
      <c r="AI326" s="147">
        <v>31</v>
      </c>
      <c r="AJ326" s="147" t="s">
        <v>4618</v>
      </c>
      <c r="AK326" s="186">
        <v>300000</v>
      </c>
      <c r="AL326" s="147">
        <v>0</v>
      </c>
      <c r="AM326" s="147">
        <f t="shared" ref="AM326:AM341" si="65">AL326+AM327</f>
        <v>783</v>
      </c>
      <c r="AN326" s="147">
        <f t="shared" ref="AN326:AN335" si="66">AK326*AM326</f>
        <v>234900000</v>
      </c>
      <c r="AO326" s="147"/>
    </row>
    <row r="327" spans="7:45" ht="30">
      <c r="G327" s="205"/>
      <c r="H327" s="111"/>
      <c r="R327" s="97" t="s">
        <v>4639</v>
      </c>
      <c r="S327" s="93">
        <v>8981245</v>
      </c>
      <c r="U327" s="19" t="s">
        <v>5463</v>
      </c>
      <c r="V327" s="19">
        <v>6522</v>
      </c>
      <c r="W327" s="115">
        <v>1938.4694340000001</v>
      </c>
      <c r="X327" s="115">
        <f t="shared" si="61"/>
        <v>12642697.648548001</v>
      </c>
      <c r="Y327" s="259" t="s">
        <v>5095</v>
      </c>
      <c r="AI327" s="119">
        <v>32</v>
      </c>
      <c r="AJ327" s="119" t="s">
        <v>4618</v>
      </c>
      <c r="AK327" s="77">
        <v>288936</v>
      </c>
      <c r="AL327" s="119">
        <v>3</v>
      </c>
      <c r="AM327" s="119">
        <f t="shared" si="65"/>
        <v>783</v>
      </c>
      <c r="AN327" s="119">
        <f t="shared" si="66"/>
        <v>226236888</v>
      </c>
      <c r="AO327" s="200" t="s">
        <v>4629</v>
      </c>
    </row>
    <row r="328" spans="7:45">
      <c r="G328" s="205"/>
      <c r="H328" s="111"/>
      <c r="R328" s="97" t="s">
        <v>4642</v>
      </c>
      <c r="S328" s="93">
        <v>9181756</v>
      </c>
      <c r="U328" s="19" t="s">
        <v>5464</v>
      </c>
      <c r="V328" s="19">
        <v>6197</v>
      </c>
      <c r="W328" s="115">
        <v>1984.3985499999999</v>
      </c>
      <c r="X328" s="115">
        <f t="shared" si="61"/>
        <v>12297317.81435</v>
      </c>
      <c r="Y328" s="259" t="s">
        <v>5095</v>
      </c>
      <c r="AB328" t="s">
        <v>25</v>
      </c>
      <c r="AI328" s="119">
        <v>33</v>
      </c>
      <c r="AJ328" s="119" t="s">
        <v>4627</v>
      </c>
      <c r="AK328" s="77">
        <v>17962491</v>
      </c>
      <c r="AL328" s="119">
        <v>1</v>
      </c>
      <c r="AM328" s="119">
        <f t="shared" si="65"/>
        <v>780</v>
      </c>
      <c r="AN328" s="119">
        <f t="shared" si="66"/>
        <v>14010742980</v>
      </c>
      <c r="AO328" s="119" t="s">
        <v>4634</v>
      </c>
    </row>
    <row r="329" spans="7:45">
      <c r="G329" s="205" t="s">
        <v>25</v>
      </c>
      <c r="H329" s="111" t="s">
        <v>25</v>
      </c>
      <c r="R329" s="97" t="s">
        <v>4654</v>
      </c>
      <c r="S329" s="93">
        <v>11811208</v>
      </c>
      <c r="U329" s="19" t="s">
        <v>5465</v>
      </c>
      <c r="V329" s="19">
        <v>4646</v>
      </c>
      <c r="W329" s="115">
        <v>1928.464023</v>
      </c>
      <c r="X329" s="115">
        <f t="shared" si="61"/>
        <v>8959643.8508579992</v>
      </c>
      <c r="Y329" s="259" t="s">
        <v>5095</v>
      </c>
      <c r="AA329" t="s">
        <v>25</v>
      </c>
      <c r="AB329" t="s">
        <v>25</v>
      </c>
      <c r="AI329" s="119">
        <v>34</v>
      </c>
      <c r="AJ329" s="119" t="s">
        <v>3666</v>
      </c>
      <c r="AK329" s="77">
        <v>18363511</v>
      </c>
      <c r="AL329" s="119">
        <v>1</v>
      </c>
      <c r="AM329" s="119">
        <f t="shared" si="65"/>
        <v>779</v>
      </c>
      <c r="AN329" s="119">
        <f t="shared" si="66"/>
        <v>14305175069</v>
      </c>
      <c r="AO329" s="119" t="s">
        <v>4634</v>
      </c>
    </row>
    <row r="330" spans="7:45">
      <c r="G330" s="205" t="s">
        <v>5469</v>
      </c>
      <c r="H330" s="111">
        <v>-87000000</v>
      </c>
      <c r="R330" s="97" t="s">
        <v>4661</v>
      </c>
      <c r="S330" s="93">
        <v>41248054</v>
      </c>
      <c r="U330" s="19" t="s">
        <v>5466</v>
      </c>
      <c r="V330" s="19">
        <v>7668</v>
      </c>
      <c r="W330" s="115">
        <v>1976.2774959999999</v>
      </c>
      <c r="X330" s="115">
        <f t="shared" si="61"/>
        <v>15154095.839328</v>
      </c>
      <c r="Y330" s="259" t="s">
        <v>5095</v>
      </c>
      <c r="AI330" s="119">
        <v>35</v>
      </c>
      <c r="AJ330" s="119" t="s">
        <v>4639</v>
      </c>
      <c r="AK330" s="77">
        <v>23622417</v>
      </c>
      <c r="AL330" s="119">
        <v>5</v>
      </c>
      <c r="AM330" s="119">
        <f t="shared" si="65"/>
        <v>778</v>
      </c>
      <c r="AN330" s="119">
        <f t="shared" si="66"/>
        <v>18378240426</v>
      </c>
      <c r="AO330" s="119" t="s">
        <v>4641</v>
      </c>
    </row>
    <row r="331" spans="7:45" ht="30">
      <c r="G331" s="205"/>
      <c r="H331" s="111"/>
      <c r="R331" s="97" t="s">
        <v>4667</v>
      </c>
      <c r="S331" s="93">
        <v>37328780</v>
      </c>
      <c r="U331" s="19" t="s">
        <v>5473</v>
      </c>
      <c r="V331" s="19">
        <v>-43325</v>
      </c>
      <c r="W331" s="115">
        <v>2146.5548840000001</v>
      </c>
      <c r="X331" s="115">
        <f t="shared" si="61"/>
        <v>-92999490.349300012</v>
      </c>
      <c r="Y331" s="259" t="s">
        <v>5474</v>
      </c>
      <c r="Z331" t="s">
        <v>25</v>
      </c>
      <c r="AI331" s="119">
        <v>36</v>
      </c>
      <c r="AJ331" s="119" t="s">
        <v>4652</v>
      </c>
      <c r="AK331" s="77">
        <v>82496108</v>
      </c>
      <c r="AL331" s="119">
        <v>1</v>
      </c>
      <c r="AM331" s="119">
        <f t="shared" si="65"/>
        <v>773</v>
      </c>
      <c r="AN331" s="119">
        <f t="shared" si="66"/>
        <v>63769491484</v>
      </c>
      <c r="AO331" s="119" t="s">
        <v>4655</v>
      </c>
    </row>
    <row r="332" spans="7:45">
      <c r="G332" s="205"/>
      <c r="H332" s="1"/>
      <c r="R332" s="97" t="s">
        <v>4723</v>
      </c>
      <c r="S332" s="93">
        <v>50000000</v>
      </c>
      <c r="U332" s="19" t="s">
        <v>5481</v>
      </c>
      <c r="V332" s="19">
        <v>20888</v>
      </c>
      <c r="W332" s="115">
        <v>2428.4521530000002</v>
      </c>
      <c r="X332" s="115">
        <f t="shared" si="61"/>
        <v>50725508.571864001</v>
      </c>
      <c r="Y332" s="259" t="s">
        <v>5095</v>
      </c>
      <c r="AI332" s="119">
        <v>37</v>
      </c>
      <c r="AJ332" s="119" t="s">
        <v>4654</v>
      </c>
      <c r="AK332" s="77">
        <v>74657561</v>
      </c>
      <c r="AL332" s="119">
        <v>16</v>
      </c>
      <c r="AM332" s="119">
        <f t="shared" si="65"/>
        <v>772</v>
      </c>
      <c r="AN332" s="119">
        <f t="shared" si="66"/>
        <v>57635637092</v>
      </c>
      <c r="AO332" s="119" t="s">
        <v>4660</v>
      </c>
      <c r="AS332" t="s">
        <v>25</v>
      </c>
    </row>
    <row r="333" spans="7:45">
      <c r="G333" s="205"/>
      <c r="H333" s="1"/>
      <c r="R333" s="97" t="s">
        <v>4732</v>
      </c>
      <c r="S333" s="93">
        <v>68656</v>
      </c>
      <c r="U333" s="19" t="s">
        <v>5482</v>
      </c>
      <c r="V333" s="19">
        <v>21663</v>
      </c>
      <c r="W333" s="115">
        <v>2308.0067819999999</v>
      </c>
      <c r="X333" s="115">
        <f t="shared" si="61"/>
        <v>49998350.918466002</v>
      </c>
      <c r="Y333" s="259" t="s">
        <v>5485</v>
      </c>
      <c r="Z333" t="s">
        <v>25</v>
      </c>
      <c r="AI333" s="97">
        <v>38</v>
      </c>
      <c r="AJ333" s="97" t="s">
        <v>4723</v>
      </c>
      <c r="AK333" s="115">
        <v>665000</v>
      </c>
      <c r="AL333" s="97">
        <v>0</v>
      </c>
      <c r="AM333" s="97">
        <f t="shared" si="65"/>
        <v>756</v>
      </c>
      <c r="AN333" s="20">
        <f t="shared" si="66"/>
        <v>502740000</v>
      </c>
      <c r="AO333" s="97"/>
    </row>
    <row r="334" spans="7:45">
      <c r="G334" s="205"/>
      <c r="H334" s="1"/>
      <c r="R334" s="97" t="s">
        <v>4732</v>
      </c>
      <c r="S334" s="93">
        <v>4000236</v>
      </c>
      <c r="U334" s="19" t="s">
        <v>5482</v>
      </c>
      <c r="V334" s="19">
        <v>977</v>
      </c>
      <c r="W334" s="115">
        <v>2335.6821479999999</v>
      </c>
      <c r="X334" s="115">
        <f t="shared" si="61"/>
        <v>2281961.458596</v>
      </c>
      <c r="Y334" s="259" t="s">
        <v>5095</v>
      </c>
      <c r="AI334" s="147">
        <v>39</v>
      </c>
      <c r="AJ334" s="147" t="s">
        <v>4723</v>
      </c>
      <c r="AK334" s="186">
        <v>665000</v>
      </c>
      <c r="AL334" s="147">
        <v>4</v>
      </c>
      <c r="AM334" s="191">
        <f t="shared" si="65"/>
        <v>756</v>
      </c>
      <c r="AN334" s="191">
        <f t="shared" si="66"/>
        <v>502740000</v>
      </c>
      <c r="AO334" s="191"/>
    </row>
    <row r="335" spans="7:45">
      <c r="G335" s="205" t="s">
        <v>6</v>
      </c>
      <c r="H335" s="1">
        <f>SUM(H152:H334)</f>
        <v>1597250506.8596828</v>
      </c>
      <c r="R335" s="97" t="s">
        <v>4737</v>
      </c>
      <c r="S335" s="93">
        <v>2250000</v>
      </c>
      <c r="U335" s="19" t="s">
        <v>5489</v>
      </c>
      <c r="V335" s="19">
        <v>4155</v>
      </c>
      <c r="W335" s="115">
        <v>2647</v>
      </c>
      <c r="X335" s="115">
        <f t="shared" si="61"/>
        <v>10998285</v>
      </c>
      <c r="Y335" s="259" t="s">
        <v>5095</v>
      </c>
      <c r="AI335" s="20">
        <v>40</v>
      </c>
      <c r="AJ335" s="20" t="s">
        <v>4732</v>
      </c>
      <c r="AK335" s="115">
        <v>2000000</v>
      </c>
      <c r="AL335" s="20">
        <v>1</v>
      </c>
      <c r="AM335" s="97">
        <f t="shared" si="65"/>
        <v>752</v>
      </c>
      <c r="AN335" s="20">
        <f t="shared" si="66"/>
        <v>1504000000</v>
      </c>
      <c r="AO335" s="97"/>
    </row>
    <row r="336" spans="7:45">
      <c r="G336" s="277"/>
      <c r="H336" s="1"/>
      <c r="R336" s="97" t="s">
        <v>4746</v>
      </c>
      <c r="S336" s="93">
        <v>-2512200</v>
      </c>
      <c r="U336" s="19" t="s">
        <v>5490</v>
      </c>
      <c r="V336" s="19">
        <v>351</v>
      </c>
      <c r="W336" s="115">
        <v>2800.6238229999999</v>
      </c>
      <c r="X336" s="115">
        <f t="shared" si="61"/>
        <v>983018.96187300002</v>
      </c>
      <c r="Y336" s="259" t="s">
        <v>5095</v>
      </c>
      <c r="Z336" t="s">
        <v>25</v>
      </c>
      <c r="AI336" s="20">
        <v>41</v>
      </c>
      <c r="AJ336" s="20" t="s">
        <v>4737</v>
      </c>
      <c r="AK336" s="115">
        <v>-2060725</v>
      </c>
      <c r="AL336" s="20">
        <v>0</v>
      </c>
      <c r="AM336" s="97">
        <f t="shared" si="65"/>
        <v>751</v>
      </c>
      <c r="AN336" s="20">
        <f t="shared" ref="AN336:AN341" si="67">AK336*AM336</f>
        <v>-1547604475</v>
      </c>
      <c r="AO336" s="97" t="s">
        <v>4738</v>
      </c>
      <c r="AS336" t="s">
        <v>25</v>
      </c>
    </row>
    <row r="337" spans="7:47">
      <c r="R337" s="97" t="s">
        <v>964</v>
      </c>
      <c r="S337" s="93">
        <v>300000</v>
      </c>
      <c r="U337" s="19" t="s">
        <v>5492</v>
      </c>
      <c r="V337" s="19">
        <v>5877</v>
      </c>
      <c r="W337" s="115">
        <v>2901.0160000000001</v>
      </c>
      <c r="X337" s="115">
        <f t="shared" si="61"/>
        <v>17049271.032000002</v>
      </c>
      <c r="Y337" s="259" t="s">
        <v>5095</v>
      </c>
      <c r="Z337" t="s">
        <v>25</v>
      </c>
      <c r="AI337" s="147">
        <v>42</v>
      </c>
      <c r="AJ337" s="147" t="s">
        <v>4737</v>
      </c>
      <c r="AK337" s="186">
        <v>-433375</v>
      </c>
      <c r="AL337" s="147">
        <v>0</v>
      </c>
      <c r="AM337" s="147">
        <f t="shared" si="65"/>
        <v>751</v>
      </c>
      <c r="AN337" s="147">
        <f t="shared" si="67"/>
        <v>-325464625</v>
      </c>
      <c r="AO337" s="147" t="s">
        <v>4739</v>
      </c>
      <c r="AT337" t="s">
        <v>25</v>
      </c>
    </row>
    <row r="338" spans="7:47">
      <c r="R338" s="97" t="s">
        <v>4752</v>
      </c>
      <c r="S338" s="93">
        <v>1100000</v>
      </c>
      <c r="T338" s="112"/>
      <c r="U338" s="19" t="s">
        <v>5495</v>
      </c>
      <c r="V338" s="19">
        <v>2374</v>
      </c>
      <c r="W338" s="115">
        <v>2877</v>
      </c>
      <c r="X338" s="115">
        <f t="shared" ref="X338:X375" si="68">V338*W338</f>
        <v>6829998</v>
      </c>
      <c r="Y338" s="259" t="s">
        <v>5095</v>
      </c>
      <c r="AI338" s="20">
        <v>43</v>
      </c>
      <c r="AJ338" s="20" t="s">
        <v>4737</v>
      </c>
      <c r="AK338" s="115">
        <v>28000000</v>
      </c>
      <c r="AL338" s="20">
        <v>1</v>
      </c>
      <c r="AM338" s="97">
        <f t="shared" si="65"/>
        <v>751</v>
      </c>
      <c r="AN338" s="20">
        <f t="shared" si="67"/>
        <v>21028000000</v>
      </c>
      <c r="AO338" s="97" t="s">
        <v>3873</v>
      </c>
      <c r="AS338" t="s">
        <v>25</v>
      </c>
      <c r="AU338" s="94" t="s">
        <v>25</v>
      </c>
    </row>
    <row r="339" spans="7:47">
      <c r="G339" s="94"/>
      <c r="H339" s="9" t="s">
        <v>452</v>
      </c>
      <c r="R339" s="97" t="s">
        <v>4772</v>
      </c>
      <c r="S339" s="93">
        <v>890000</v>
      </c>
      <c r="U339" s="19" t="s">
        <v>4209</v>
      </c>
      <c r="V339" s="19">
        <v>2532</v>
      </c>
      <c r="W339" s="115">
        <v>2757.7444</v>
      </c>
      <c r="X339" s="115">
        <f t="shared" si="68"/>
        <v>6982608.8207999999</v>
      </c>
      <c r="Y339" s="259" t="s">
        <v>5095</v>
      </c>
      <c r="AI339" s="20">
        <v>44</v>
      </c>
      <c r="AJ339" s="20" t="s">
        <v>4746</v>
      </c>
      <c r="AK339" s="115">
        <v>160000</v>
      </c>
      <c r="AL339" s="20">
        <v>0</v>
      </c>
      <c r="AM339" s="97">
        <f t="shared" si="65"/>
        <v>750</v>
      </c>
      <c r="AN339" s="20">
        <f t="shared" si="67"/>
        <v>120000000</v>
      </c>
      <c r="AO339" s="97"/>
      <c r="AT339" t="s">
        <v>25</v>
      </c>
    </row>
    <row r="340" spans="7:47">
      <c r="G340" s="94"/>
      <c r="H340" s="9" t="s">
        <v>743</v>
      </c>
      <c r="R340" s="97" t="s">
        <v>4773</v>
      </c>
      <c r="S340" s="93">
        <v>1000000</v>
      </c>
      <c r="U340" s="19" t="s">
        <v>4209</v>
      </c>
      <c r="V340" s="19">
        <v>4987</v>
      </c>
      <c r="W340" s="115">
        <v>2757.7444</v>
      </c>
      <c r="X340" s="115">
        <f t="shared" si="68"/>
        <v>13752871.322800001</v>
      </c>
      <c r="Y340" s="259" t="s">
        <v>5510</v>
      </c>
      <c r="Z340" t="s">
        <v>25</v>
      </c>
      <c r="AI340" s="147">
        <v>45</v>
      </c>
      <c r="AJ340" s="147" t="s">
        <v>4746</v>
      </c>
      <c r="AK340" s="186">
        <v>70000</v>
      </c>
      <c r="AL340" s="147">
        <v>9</v>
      </c>
      <c r="AM340" s="147">
        <f t="shared" si="65"/>
        <v>750</v>
      </c>
      <c r="AN340" s="147">
        <f t="shared" si="67"/>
        <v>52500000</v>
      </c>
      <c r="AO340" s="147"/>
    </row>
    <row r="341" spans="7:47">
      <c r="G341" s="94"/>
      <c r="H341" s="9" t="s">
        <v>5403</v>
      </c>
      <c r="R341" s="97" t="s">
        <v>4773</v>
      </c>
      <c r="S341" s="93">
        <v>45436311</v>
      </c>
      <c r="U341" s="19" t="s">
        <v>4209</v>
      </c>
      <c r="V341" s="19">
        <v>997</v>
      </c>
      <c r="W341" s="115">
        <v>2757.7444</v>
      </c>
      <c r="X341" s="115">
        <f t="shared" si="68"/>
        <v>2749471.1668000002</v>
      </c>
      <c r="Y341" s="259" t="s">
        <v>5511</v>
      </c>
      <c r="AI341" s="20">
        <v>46</v>
      </c>
      <c r="AJ341" s="20" t="s">
        <v>4752</v>
      </c>
      <c r="AK341" s="115">
        <v>850000</v>
      </c>
      <c r="AL341" s="20">
        <v>0</v>
      </c>
      <c r="AM341" s="97">
        <f t="shared" si="65"/>
        <v>741</v>
      </c>
      <c r="AN341" s="20">
        <f t="shared" si="67"/>
        <v>629850000</v>
      </c>
      <c r="AO341" s="97"/>
    </row>
    <row r="342" spans="7:47">
      <c r="G342" s="94"/>
      <c r="H342" s="9" t="s">
        <v>1069</v>
      </c>
      <c r="R342" s="97" t="s">
        <v>4785</v>
      </c>
      <c r="S342" s="93">
        <v>-3500000</v>
      </c>
      <c r="U342" s="19" t="s">
        <v>5515</v>
      </c>
      <c r="V342" s="19">
        <v>2874</v>
      </c>
      <c r="W342" s="115">
        <v>2613.1284000000001</v>
      </c>
      <c r="X342" s="115">
        <f t="shared" si="68"/>
        <v>7510131.0216000006</v>
      </c>
      <c r="Y342" s="259" t="s">
        <v>5095</v>
      </c>
      <c r="AI342" s="191">
        <v>47</v>
      </c>
      <c r="AJ342" s="191" t="s">
        <v>4752</v>
      </c>
      <c r="AK342" s="192">
        <v>20000</v>
      </c>
      <c r="AL342" s="191">
        <v>4</v>
      </c>
      <c r="AM342" s="191">
        <f t="shared" ref="AM342:AM350" si="69">AL342+AM343</f>
        <v>741</v>
      </c>
      <c r="AN342" s="191">
        <f t="shared" ref="AN342:AN350" si="70">AK342*AM342</f>
        <v>14820000</v>
      </c>
      <c r="AO342" s="191"/>
    </row>
    <row r="343" spans="7:47">
      <c r="H343" s="9" t="s">
        <v>5341</v>
      </c>
      <c r="R343" s="97" t="s">
        <v>4820</v>
      </c>
      <c r="S343" s="93">
        <v>2520000</v>
      </c>
      <c r="U343" s="19" t="s">
        <v>5521</v>
      </c>
      <c r="V343" s="19">
        <v>2847</v>
      </c>
      <c r="W343" s="115">
        <v>2556.3841000000002</v>
      </c>
      <c r="X343" s="115">
        <f t="shared" si="68"/>
        <v>7278025.5327000003</v>
      </c>
      <c r="Y343" s="259" t="s">
        <v>5095</v>
      </c>
      <c r="AI343" s="191">
        <v>48</v>
      </c>
      <c r="AJ343" s="191" t="s">
        <v>4765</v>
      </c>
      <c r="AK343" s="192">
        <v>30000000</v>
      </c>
      <c r="AL343" s="191">
        <v>27</v>
      </c>
      <c r="AM343" s="191">
        <f t="shared" si="69"/>
        <v>737</v>
      </c>
      <c r="AN343" s="191">
        <f t="shared" si="70"/>
        <v>22110000000</v>
      </c>
      <c r="AO343" s="191" t="s">
        <v>4766</v>
      </c>
    </row>
    <row r="344" spans="7:47">
      <c r="H344" s="9" t="s">
        <v>5503</v>
      </c>
      <c r="R344" s="97" t="s">
        <v>4832</v>
      </c>
      <c r="S344" s="93">
        <v>4900000</v>
      </c>
      <c r="U344" s="19" t="s">
        <v>5521</v>
      </c>
      <c r="V344" s="19">
        <v>1222</v>
      </c>
      <c r="W344" s="115">
        <v>2556.3841000000002</v>
      </c>
      <c r="X344" s="115">
        <f t="shared" si="68"/>
        <v>3123901.3702000002</v>
      </c>
      <c r="Y344" s="259" t="s">
        <v>5522</v>
      </c>
      <c r="AI344" s="20">
        <v>49</v>
      </c>
      <c r="AJ344" s="20" t="s">
        <v>4832</v>
      </c>
      <c r="AK344" s="115">
        <v>1100000</v>
      </c>
      <c r="AL344" s="20">
        <v>1</v>
      </c>
      <c r="AM344" s="20">
        <f t="shared" si="69"/>
        <v>710</v>
      </c>
      <c r="AN344" s="20">
        <f t="shared" si="70"/>
        <v>781000000</v>
      </c>
      <c r="AO344" s="20"/>
    </row>
    <row r="345" spans="7:47">
      <c r="H345" s="278" t="s">
        <v>5504</v>
      </c>
      <c r="R345" s="97" t="s">
        <v>4792</v>
      </c>
      <c r="S345" s="93">
        <v>1150000</v>
      </c>
      <c r="U345" s="19" t="s">
        <v>5530</v>
      </c>
      <c r="V345" s="19">
        <v>73</v>
      </c>
      <c r="W345" s="115">
        <v>2672.0459999999998</v>
      </c>
      <c r="X345" s="115">
        <f t="shared" si="68"/>
        <v>195059.35799999998</v>
      </c>
      <c r="Y345" s="259" t="s">
        <v>5095</v>
      </c>
      <c r="AI345" s="20">
        <v>50</v>
      </c>
      <c r="AJ345" s="20" t="s">
        <v>4833</v>
      </c>
      <c r="AK345" s="115">
        <v>450000</v>
      </c>
      <c r="AL345" s="20">
        <v>0</v>
      </c>
      <c r="AM345" s="20">
        <f t="shared" si="69"/>
        <v>709</v>
      </c>
      <c r="AN345" s="20">
        <f t="shared" si="70"/>
        <v>319050000</v>
      </c>
      <c r="AO345" s="20"/>
    </row>
    <row r="346" spans="7:47">
      <c r="H346" s="278" t="s">
        <v>743</v>
      </c>
      <c r="R346" s="97" t="s">
        <v>4866</v>
      </c>
      <c r="S346" s="93">
        <v>250000</v>
      </c>
      <c r="U346" s="19" t="s">
        <v>5535</v>
      </c>
      <c r="V346" s="19">
        <v>332</v>
      </c>
      <c r="W346" s="115">
        <v>2598.1260000000002</v>
      </c>
      <c r="X346" s="115">
        <f t="shared" si="68"/>
        <v>862577.83200000005</v>
      </c>
      <c r="Y346" s="259" t="s">
        <v>5536</v>
      </c>
      <c r="Z346" t="s">
        <v>25</v>
      </c>
      <c r="AA346" t="s">
        <v>25</v>
      </c>
      <c r="AI346" s="147">
        <v>51</v>
      </c>
      <c r="AJ346" s="147" t="s">
        <v>4833</v>
      </c>
      <c r="AK346" s="186">
        <v>550000</v>
      </c>
      <c r="AL346" s="147">
        <v>1</v>
      </c>
      <c r="AM346" s="147">
        <f t="shared" si="69"/>
        <v>709</v>
      </c>
      <c r="AN346" s="147">
        <f t="shared" si="70"/>
        <v>389950000</v>
      </c>
      <c r="AO346" s="147"/>
    </row>
    <row r="347" spans="7:47">
      <c r="H347" s="9" t="s">
        <v>5505</v>
      </c>
      <c r="R347" s="97" t="s">
        <v>4869</v>
      </c>
      <c r="S347" s="93">
        <v>1403460</v>
      </c>
      <c r="T347" t="s">
        <v>25</v>
      </c>
      <c r="U347" s="19" t="s">
        <v>5537</v>
      </c>
      <c r="V347" s="19">
        <v>346</v>
      </c>
      <c r="W347" s="115">
        <v>2659.8510000000001</v>
      </c>
      <c r="X347" s="115">
        <f t="shared" si="68"/>
        <v>920308.446</v>
      </c>
      <c r="Y347" s="259" t="s">
        <v>5095</v>
      </c>
      <c r="AI347" s="147">
        <v>52</v>
      </c>
      <c r="AJ347" s="147" t="s">
        <v>4835</v>
      </c>
      <c r="AK347" s="186">
        <v>1000000</v>
      </c>
      <c r="AL347" s="147">
        <v>8</v>
      </c>
      <c r="AM347" s="147">
        <f t="shared" si="69"/>
        <v>708</v>
      </c>
      <c r="AN347" s="147">
        <f t="shared" si="70"/>
        <v>708000000</v>
      </c>
      <c r="AO347" s="147"/>
    </row>
    <row r="348" spans="7:47">
      <c r="H348" s="9" t="s">
        <v>5506</v>
      </c>
      <c r="R348" s="97" t="s">
        <v>4874</v>
      </c>
      <c r="S348" s="93">
        <v>200000</v>
      </c>
      <c r="U348" s="19" t="s">
        <v>5538</v>
      </c>
      <c r="V348" s="19">
        <v>1722</v>
      </c>
      <c r="W348" s="115">
        <v>2692.1079220000001</v>
      </c>
      <c r="X348" s="115">
        <f t="shared" si="68"/>
        <v>4635809.8416840006</v>
      </c>
      <c r="Y348" s="259" t="s">
        <v>5095</v>
      </c>
      <c r="Z348" t="s">
        <v>25</v>
      </c>
      <c r="AI348" s="20">
        <v>53</v>
      </c>
      <c r="AJ348" s="20" t="s">
        <v>4844</v>
      </c>
      <c r="AK348" s="115">
        <v>-2668880</v>
      </c>
      <c r="AL348" s="20">
        <v>0</v>
      </c>
      <c r="AM348" s="20">
        <f t="shared" si="69"/>
        <v>700</v>
      </c>
      <c r="AN348" s="20">
        <f t="shared" si="70"/>
        <v>-1868216000</v>
      </c>
      <c r="AO348" s="20" t="s">
        <v>4846</v>
      </c>
    </row>
    <row r="349" spans="7:47">
      <c r="H349" s="9" t="s">
        <v>5533</v>
      </c>
      <c r="R349" s="97" t="s">
        <v>4879</v>
      </c>
      <c r="S349" s="93">
        <v>345000</v>
      </c>
      <c r="U349" s="19" t="s">
        <v>5540</v>
      </c>
      <c r="V349" s="19">
        <v>106</v>
      </c>
      <c r="W349" s="115">
        <v>2725.4</v>
      </c>
      <c r="X349" s="115">
        <f t="shared" si="68"/>
        <v>288892.40000000002</v>
      </c>
      <c r="Y349" s="259" t="s">
        <v>452</v>
      </c>
      <c r="Z349" t="s">
        <v>25</v>
      </c>
      <c r="AA349" t="s">
        <v>25</v>
      </c>
      <c r="AI349" s="147">
        <v>54</v>
      </c>
      <c r="AJ349" s="147" t="s">
        <v>4844</v>
      </c>
      <c r="AK349" s="186">
        <v>-1528620</v>
      </c>
      <c r="AL349" s="147">
        <v>0</v>
      </c>
      <c r="AM349" s="147">
        <f t="shared" si="69"/>
        <v>700</v>
      </c>
      <c r="AN349" s="147">
        <f t="shared" si="70"/>
        <v>-1070034000</v>
      </c>
      <c r="AO349" s="147" t="s">
        <v>4846</v>
      </c>
    </row>
    <row r="350" spans="7:47">
      <c r="H350" s="278"/>
      <c r="R350" s="97" t="s">
        <v>4882</v>
      </c>
      <c r="S350" s="93">
        <v>900000</v>
      </c>
      <c r="U350" s="19" t="s">
        <v>5567</v>
      </c>
      <c r="V350" s="19">
        <v>25901</v>
      </c>
      <c r="W350" s="115">
        <v>2258.9090000000001</v>
      </c>
      <c r="X350" s="115">
        <f t="shared" si="68"/>
        <v>58508002.009000003</v>
      </c>
      <c r="Y350" s="259" t="s">
        <v>5095</v>
      </c>
      <c r="AI350" s="20">
        <v>55</v>
      </c>
      <c r="AJ350" s="20" t="s">
        <v>4844</v>
      </c>
      <c r="AK350" s="115">
        <v>50000000</v>
      </c>
      <c r="AL350" s="20">
        <v>4</v>
      </c>
      <c r="AM350" s="20">
        <f t="shared" si="69"/>
        <v>700</v>
      </c>
      <c r="AN350" s="20">
        <f t="shared" si="70"/>
        <v>35000000000</v>
      </c>
      <c r="AO350" s="20"/>
    </row>
    <row r="351" spans="7:47">
      <c r="R351" s="97" t="s">
        <v>4890</v>
      </c>
      <c r="S351" s="93">
        <v>372517</v>
      </c>
      <c r="U351" s="19" t="s">
        <v>5569</v>
      </c>
      <c r="V351" s="19">
        <v>951</v>
      </c>
      <c r="W351" s="115">
        <v>2361.2150799999999</v>
      </c>
      <c r="X351" s="115">
        <f t="shared" si="68"/>
        <v>2245515.5410799999</v>
      </c>
      <c r="Y351" s="259" t="s">
        <v>5095</v>
      </c>
      <c r="AI351" s="20">
        <v>56</v>
      </c>
      <c r="AJ351" s="20" t="s">
        <v>4850</v>
      </c>
      <c r="AK351" s="115">
        <v>400000</v>
      </c>
      <c r="AL351" s="20">
        <v>4</v>
      </c>
      <c r="AM351" s="20">
        <f t="shared" ref="AM351:AM360" si="71">AL351+AM352</f>
        <v>696</v>
      </c>
      <c r="AN351" s="20">
        <f t="shared" ref="AN351:AN360" si="72">AK351*AM351</f>
        <v>278400000</v>
      </c>
      <c r="AO351" s="20"/>
    </row>
    <row r="352" spans="7:47">
      <c r="R352" s="97" t="s">
        <v>4923</v>
      </c>
      <c r="S352" s="93">
        <v>6489257</v>
      </c>
      <c r="U352" s="19" t="s">
        <v>5571</v>
      </c>
      <c r="V352" s="19">
        <v>7622</v>
      </c>
      <c r="W352" s="115">
        <v>2414.6810999999998</v>
      </c>
      <c r="X352" s="115">
        <f t="shared" si="68"/>
        <v>18404699.3442</v>
      </c>
      <c r="Y352" s="259" t="s">
        <v>5095</v>
      </c>
      <c r="AI352" s="20">
        <v>57</v>
      </c>
      <c r="AJ352" s="20" t="s">
        <v>4859</v>
      </c>
      <c r="AK352" s="115">
        <v>2000000</v>
      </c>
      <c r="AL352" s="20">
        <v>3</v>
      </c>
      <c r="AM352" s="20">
        <f t="shared" si="71"/>
        <v>692</v>
      </c>
      <c r="AN352" s="20">
        <f t="shared" si="72"/>
        <v>1384000000</v>
      </c>
      <c r="AO352" s="20"/>
    </row>
    <row r="353" spans="18:46">
      <c r="R353" s="97" t="s">
        <v>4934</v>
      </c>
      <c r="S353" s="93">
        <v>618000</v>
      </c>
      <c r="U353" s="19" t="s">
        <v>5571</v>
      </c>
      <c r="V353" s="19">
        <v>-282</v>
      </c>
      <c r="W353" s="115">
        <v>2414.6810999999998</v>
      </c>
      <c r="X353" s="115">
        <f t="shared" si="68"/>
        <v>-680940.07019999996</v>
      </c>
      <c r="Y353" s="259" t="s">
        <v>5572</v>
      </c>
      <c r="AI353" s="20">
        <v>58</v>
      </c>
      <c r="AJ353" s="20" t="s">
        <v>4862</v>
      </c>
      <c r="AK353" s="115">
        <v>100000</v>
      </c>
      <c r="AL353" s="20">
        <v>4</v>
      </c>
      <c r="AM353" s="20">
        <f t="shared" si="71"/>
        <v>689</v>
      </c>
      <c r="AN353" s="20">
        <f t="shared" si="72"/>
        <v>68900000</v>
      </c>
      <c r="AO353" s="20" t="s">
        <v>3873</v>
      </c>
    </row>
    <row r="354" spans="18:46">
      <c r="R354" s="97" t="s">
        <v>4938</v>
      </c>
      <c r="S354" s="93">
        <v>20105000</v>
      </c>
      <c r="U354" s="19" t="s">
        <v>5571</v>
      </c>
      <c r="V354" s="19">
        <v>20162</v>
      </c>
      <c r="W354" s="115">
        <v>2414.6810999999998</v>
      </c>
      <c r="X354" s="115">
        <f t="shared" si="68"/>
        <v>48684800.338199995</v>
      </c>
      <c r="Y354" s="259" t="s">
        <v>5573</v>
      </c>
      <c r="AI354" s="20">
        <v>59</v>
      </c>
      <c r="AJ354" s="20" t="s">
        <v>4869</v>
      </c>
      <c r="AK354" s="115">
        <v>100000</v>
      </c>
      <c r="AL354" s="20">
        <v>7</v>
      </c>
      <c r="AM354" s="20">
        <f t="shared" si="71"/>
        <v>685</v>
      </c>
      <c r="AN354" s="20">
        <f t="shared" si="72"/>
        <v>68500000</v>
      </c>
      <c r="AO354" s="20"/>
    </row>
    <row r="355" spans="18:46">
      <c r="R355" s="97" t="s">
        <v>4939</v>
      </c>
      <c r="S355" s="93">
        <v>-21079990</v>
      </c>
      <c r="U355" s="19" t="s">
        <v>5571</v>
      </c>
      <c r="V355" s="19">
        <v>-20162</v>
      </c>
      <c r="W355" s="115">
        <v>2414.6810999999998</v>
      </c>
      <c r="X355" s="115">
        <f t="shared" si="68"/>
        <v>-48684800.338199995</v>
      </c>
      <c r="Y355" s="259" t="s">
        <v>743</v>
      </c>
      <c r="AI355" s="20">
        <v>60</v>
      </c>
      <c r="AJ355" s="20" t="s">
        <v>4882</v>
      </c>
      <c r="AK355" s="115">
        <v>50000</v>
      </c>
      <c r="AL355" s="20">
        <v>0</v>
      </c>
      <c r="AM355" s="20">
        <f t="shared" si="71"/>
        <v>678</v>
      </c>
      <c r="AN355" s="20">
        <f t="shared" si="72"/>
        <v>33900000</v>
      </c>
      <c r="AO355" s="20"/>
    </row>
    <row r="356" spans="18:46">
      <c r="R356" s="97" t="s">
        <v>4945</v>
      </c>
      <c r="S356" s="93">
        <v>-5949277</v>
      </c>
      <c r="U356" s="19" t="s">
        <v>5574</v>
      </c>
      <c r="V356" s="19">
        <v>977</v>
      </c>
      <c r="W356" s="115">
        <v>2317.971947</v>
      </c>
      <c r="X356" s="115">
        <f t="shared" si="68"/>
        <v>2264658.5922190002</v>
      </c>
      <c r="Y356" s="259" t="s">
        <v>5095</v>
      </c>
      <c r="AI356" s="147">
        <v>61</v>
      </c>
      <c r="AJ356" s="147" t="s">
        <v>4882</v>
      </c>
      <c r="AK356" s="186">
        <v>50000</v>
      </c>
      <c r="AL356" s="147">
        <v>3</v>
      </c>
      <c r="AM356" s="147">
        <f t="shared" si="71"/>
        <v>678</v>
      </c>
      <c r="AN356" s="147">
        <f t="shared" si="72"/>
        <v>33900000</v>
      </c>
      <c r="AO356" s="147"/>
    </row>
    <row r="357" spans="18:46">
      <c r="R357" s="97" t="s">
        <v>4951</v>
      </c>
      <c r="S357" s="93">
        <v>-15370656</v>
      </c>
      <c r="U357" s="19" t="s">
        <v>5576</v>
      </c>
      <c r="V357" s="19">
        <v>10280</v>
      </c>
      <c r="W357" s="115">
        <v>2225.429357</v>
      </c>
      <c r="X357" s="115">
        <f t="shared" si="68"/>
        <v>22877413.789960001</v>
      </c>
      <c r="Y357" s="259" t="s">
        <v>5095</v>
      </c>
      <c r="AI357" s="20">
        <v>62</v>
      </c>
      <c r="AJ357" s="20" t="s">
        <v>4885</v>
      </c>
      <c r="AK357" s="115">
        <v>50000</v>
      </c>
      <c r="AL357" s="20">
        <v>0</v>
      </c>
      <c r="AM357" s="20">
        <f t="shared" si="71"/>
        <v>675</v>
      </c>
      <c r="AN357" s="20">
        <f t="shared" si="72"/>
        <v>33750000</v>
      </c>
      <c r="AO357" s="20"/>
    </row>
    <row r="358" spans="18:46" ht="18" customHeight="1">
      <c r="R358" s="97" t="s">
        <v>4951</v>
      </c>
      <c r="S358" s="93">
        <v>4960000</v>
      </c>
      <c r="U358" s="19" t="s">
        <v>5579</v>
      </c>
      <c r="V358" s="19">
        <v>1022</v>
      </c>
      <c r="W358" s="115">
        <v>2311.6824240000001</v>
      </c>
      <c r="X358" s="115">
        <f t="shared" si="68"/>
        <v>2362539.4373280001</v>
      </c>
      <c r="Y358" s="259" t="s">
        <v>5095</v>
      </c>
      <c r="AI358" s="191">
        <v>63</v>
      </c>
      <c r="AJ358" s="191" t="s">
        <v>4885</v>
      </c>
      <c r="AK358" s="192">
        <v>50000</v>
      </c>
      <c r="AL358" s="191">
        <v>2</v>
      </c>
      <c r="AM358" s="191">
        <f t="shared" si="71"/>
        <v>675</v>
      </c>
      <c r="AN358" s="191">
        <f t="shared" si="72"/>
        <v>33750000</v>
      </c>
      <c r="AO358" s="191"/>
      <c r="AT358" t="s">
        <v>25</v>
      </c>
    </row>
    <row r="359" spans="18:46" ht="21" customHeight="1">
      <c r="R359" s="97" t="s">
        <v>4958</v>
      </c>
      <c r="S359" s="93">
        <v>10000000</v>
      </c>
      <c r="U359" s="19" t="s">
        <v>5580</v>
      </c>
      <c r="V359" s="19">
        <v>6818</v>
      </c>
      <c r="W359" s="115">
        <v>2352.988656</v>
      </c>
      <c r="X359" s="115">
        <f t="shared" si="68"/>
        <v>16042676.656608</v>
      </c>
      <c r="Y359" s="259" t="s">
        <v>5095</v>
      </c>
      <c r="AI359" s="20">
        <v>64</v>
      </c>
      <c r="AJ359" s="20" t="s">
        <v>4892</v>
      </c>
      <c r="AK359" s="115">
        <v>25000</v>
      </c>
      <c r="AL359" s="20">
        <v>0</v>
      </c>
      <c r="AM359" s="20">
        <f t="shared" si="71"/>
        <v>673</v>
      </c>
      <c r="AN359" s="20">
        <f t="shared" si="72"/>
        <v>16825000</v>
      </c>
      <c r="AO359" s="20"/>
    </row>
    <row r="360" spans="18:46">
      <c r="R360" s="97" t="s">
        <v>4967</v>
      </c>
      <c r="S360" s="93">
        <v>-40570100</v>
      </c>
      <c r="U360" s="19" t="s">
        <v>5581</v>
      </c>
      <c r="V360" s="19">
        <v>8023</v>
      </c>
      <c r="W360" s="115">
        <v>2293.8167079999998</v>
      </c>
      <c r="X360" s="115">
        <f t="shared" si="68"/>
        <v>18403291.448284</v>
      </c>
      <c r="Y360" s="259" t="s">
        <v>5095</v>
      </c>
      <c r="AI360" s="147">
        <v>65</v>
      </c>
      <c r="AJ360" s="147" t="s">
        <v>4892</v>
      </c>
      <c r="AK360" s="186">
        <v>35000</v>
      </c>
      <c r="AL360" s="147">
        <v>7</v>
      </c>
      <c r="AM360" s="147">
        <f t="shared" si="71"/>
        <v>673</v>
      </c>
      <c r="AN360" s="147">
        <f t="shared" si="72"/>
        <v>23555000</v>
      </c>
      <c r="AO360" s="147"/>
    </row>
    <row r="361" spans="18:46">
      <c r="R361" s="97" t="s">
        <v>4968</v>
      </c>
      <c r="S361" s="93">
        <v>1000000</v>
      </c>
      <c r="U361" s="19" t="s">
        <v>5584</v>
      </c>
      <c r="V361" s="19">
        <v>4666</v>
      </c>
      <c r="W361" s="115">
        <v>2263.4906230000001</v>
      </c>
      <c r="X361" s="115">
        <f t="shared" si="68"/>
        <v>10561447.246918</v>
      </c>
      <c r="Y361" s="259" t="s">
        <v>5095</v>
      </c>
      <c r="AI361" s="147">
        <v>66</v>
      </c>
      <c r="AJ361" s="147" t="s">
        <v>4900</v>
      </c>
      <c r="AK361" s="186">
        <v>30000000</v>
      </c>
      <c r="AL361" s="147">
        <v>0</v>
      </c>
      <c r="AM361" s="147">
        <f t="shared" ref="AM361:AM380" si="73">AL361+AM362</f>
        <v>666</v>
      </c>
      <c r="AN361" s="147">
        <f t="shared" ref="AN361:AN380" si="74">AK361*AM361</f>
        <v>19980000000</v>
      </c>
      <c r="AO361" s="147"/>
    </row>
    <row r="362" spans="18:46" ht="18.75" customHeight="1">
      <c r="R362" s="97" t="s">
        <v>4975</v>
      </c>
      <c r="S362" s="93">
        <v>400000</v>
      </c>
      <c r="U362" s="19" t="s">
        <v>5585</v>
      </c>
      <c r="V362" s="19">
        <v>542</v>
      </c>
      <c r="W362" s="115">
        <v>2263.4906230000001</v>
      </c>
      <c r="X362" s="115">
        <f t="shared" si="68"/>
        <v>1226811.9176660001</v>
      </c>
      <c r="Y362" s="259" t="s">
        <v>5095</v>
      </c>
      <c r="AI362" s="20">
        <v>67</v>
      </c>
      <c r="AJ362" s="20" t="s">
        <v>4900</v>
      </c>
      <c r="AK362" s="115">
        <v>6800000</v>
      </c>
      <c r="AL362" s="20">
        <v>1</v>
      </c>
      <c r="AM362" s="20">
        <f t="shared" si="73"/>
        <v>666</v>
      </c>
      <c r="AN362" s="20">
        <f t="shared" si="74"/>
        <v>4528800000</v>
      </c>
      <c r="AO362" s="20"/>
    </row>
    <row r="363" spans="18:46">
      <c r="R363" s="97" t="s">
        <v>4989</v>
      </c>
      <c r="S363" s="93">
        <v>120000</v>
      </c>
      <c r="T363" t="s">
        <v>25</v>
      </c>
      <c r="U363" s="19" t="s">
        <v>5586</v>
      </c>
      <c r="V363" s="19">
        <v>16629</v>
      </c>
      <c r="W363" s="115">
        <v>2367.7887540000002</v>
      </c>
      <c r="X363" s="115">
        <f t="shared" si="68"/>
        <v>39373959.190266006</v>
      </c>
      <c r="Y363" s="259" t="s">
        <v>5095</v>
      </c>
      <c r="AI363" s="20">
        <v>68</v>
      </c>
      <c r="AJ363" s="20" t="s">
        <v>4903</v>
      </c>
      <c r="AK363" s="115">
        <v>500000</v>
      </c>
      <c r="AL363" s="20">
        <v>1</v>
      </c>
      <c r="AM363" s="20">
        <f t="shared" si="73"/>
        <v>665</v>
      </c>
      <c r="AN363" s="20">
        <f t="shared" si="74"/>
        <v>332500000</v>
      </c>
      <c r="AO363" s="20"/>
    </row>
    <row r="364" spans="18:46">
      <c r="R364" s="97" t="s">
        <v>4980</v>
      </c>
      <c r="S364" s="93">
        <v>500000</v>
      </c>
      <c r="U364" s="19" t="s">
        <v>5591</v>
      </c>
      <c r="V364" s="19">
        <v>11765</v>
      </c>
      <c r="W364" s="115">
        <v>2354.7375320000001</v>
      </c>
      <c r="X364" s="115">
        <f t="shared" si="68"/>
        <v>27703487.063980002</v>
      </c>
      <c r="Y364" s="259" t="s">
        <v>5095</v>
      </c>
      <c r="AI364" s="20">
        <v>69</v>
      </c>
      <c r="AJ364" s="20" t="s">
        <v>4907</v>
      </c>
      <c r="AK364" s="115">
        <v>850000</v>
      </c>
      <c r="AL364" s="20">
        <v>5</v>
      </c>
      <c r="AM364" s="20">
        <f t="shared" si="73"/>
        <v>664</v>
      </c>
      <c r="AN364" s="20">
        <f t="shared" si="74"/>
        <v>564400000</v>
      </c>
      <c r="AO364" s="20"/>
    </row>
    <row r="365" spans="18:46">
      <c r="R365" s="97" t="s">
        <v>5005</v>
      </c>
      <c r="S365" s="93">
        <v>744000</v>
      </c>
      <c r="U365" s="19" t="s">
        <v>5592</v>
      </c>
      <c r="V365" s="19">
        <v>3672</v>
      </c>
      <c r="W365" s="115">
        <v>2379.873826</v>
      </c>
      <c r="X365" s="115">
        <f t="shared" si="68"/>
        <v>8738896.6890719999</v>
      </c>
      <c r="Y365" s="259" t="s">
        <v>5095</v>
      </c>
      <c r="AA365" t="s">
        <v>25</v>
      </c>
      <c r="AI365" s="20">
        <v>70</v>
      </c>
      <c r="AJ365" s="20" t="s">
        <v>4915</v>
      </c>
      <c r="AK365" s="115">
        <v>1130250</v>
      </c>
      <c r="AL365" s="20">
        <v>0</v>
      </c>
      <c r="AM365" s="20">
        <f t="shared" si="73"/>
        <v>659</v>
      </c>
      <c r="AN365" s="20">
        <f t="shared" si="74"/>
        <v>744834750</v>
      </c>
      <c r="AO365" s="20"/>
    </row>
    <row r="366" spans="18:46">
      <c r="R366" s="97" t="s">
        <v>5010</v>
      </c>
      <c r="S366" s="93">
        <v>65000</v>
      </c>
      <c r="U366" s="19" t="s">
        <v>4182</v>
      </c>
      <c r="V366" s="19">
        <v>140</v>
      </c>
      <c r="W366" s="115">
        <v>2487.154767</v>
      </c>
      <c r="X366" s="115">
        <f t="shared" si="68"/>
        <v>348201.66738</v>
      </c>
      <c r="Y366" s="259" t="s">
        <v>5095</v>
      </c>
      <c r="AI366" s="239">
        <v>71</v>
      </c>
      <c r="AJ366" s="239" t="s">
        <v>4915</v>
      </c>
      <c r="AK366" s="230">
        <v>30000</v>
      </c>
      <c r="AL366" s="239">
        <v>5</v>
      </c>
      <c r="AM366" s="239">
        <f t="shared" si="73"/>
        <v>659</v>
      </c>
      <c r="AN366" s="239">
        <f t="shared" si="74"/>
        <v>19770000</v>
      </c>
      <c r="AO366" s="239"/>
    </row>
    <row r="367" spans="18:46">
      <c r="R367" s="97" t="s">
        <v>4981</v>
      </c>
      <c r="S367" s="93">
        <v>-14053702</v>
      </c>
      <c r="U367" s="19" t="s">
        <v>5594</v>
      </c>
      <c r="V367" s="19">
        <v>1616</v>
      </c>
      <c r="W367" s="115">
        <v>2573.0760479999999</v>
      </c>
      <c r="X367" s="115">
        <f t="shared" si="68"/>
        <v>4158090.8935679998</v>
      </c>
      <c r="Y367" s="259" t="s">
        <v>5095</v>
      </c>
      <c r="AI367" s="20">
        <v>72</v>
      </c>
      <c r="AJ367" s="20" t="s">
        <v>4923</v>
      </c>
      <c r="AK367" s="115">
        <v>206000</v>
      </c>
      <c r="AL367" s="20">
        <v>0</v>
      </c>
      <c r="AM367" s="20">
        <f t="shared" si="73"/>
        <v>654</v>
      </c>
      <c r="AN367" s="20">
        <f t="shared" si="74"/>
        <v>134724000</v>
      </c>
      <c r="AO367" s="20"/>
    </row>
    <row r="368" spans="18:46">
      <c r="R368" s="97" t="s">
        <v>5046</v>
      </c>
      <c r="S368" s="93">
        <v>3555678</v>
      </c>
      <c r="U368" s="187" t="s">
        <v>5595</v>
      </c>
      <c r="V368" s="187">
        <v>5682</v>
      </c>
      <c r="W368" s="186">
        <v>2639.970566</v>
      </c>
      <c r="X368" s="186">
        <f t="shared" si="68"/>
        <v>15000312.756012</v>
      </c>
      <c r="Y368" s="258" t="s">
        <v>5814</v>
      </c>
      <c r="AC368" t="s">
        <v>25</v>
      </c>
      <c r="AI368" s="147">
        <v>73</v>
      </c>
      <c r="AJ368" s="147" t="s">
        <v>4923</v>
      </c>
      <c r="AK368" s="186">
        <v>206000</v>
      </c>
      <c r="AL368" s="147">
        <v>2</v>
      </c>
      <c r="AM368" s="147">
        <f t="shared" si="73"/>
        <v>654</v>
      </c>
      <c r="AN368" s="147">
        <f t="shared" si="74"/>
        <v>134724000</v>
      </c>
      <c r="AO368" s="147"/>
    </row>
    <row r="369" spans="18:46" ht="30">
      <c r="R369" s="97" t="s">
        <v>5050</v>
      </c>
      <c r="S369" s="93">
        <v>3495</v>
      </c>
      <c r="U369" s="187" t="s">
        <v>5595</v>
      </c>
      <c r="V369" s="187">
        <v>-122</v>
      </c>
      <c r="W369" s="186">
        <v>2639.970566</v>
      </c>
      <c r="X369" s="186">
        <f t="shared" si="68"/>
        <v>-322076.40905199997</v>
      </c>
      <c r="Y369" s="258" t="s">
        <v>5841</v>
      </c>
      <c r="Z369" t="s">
        <v>25</v>
      </c>
      <c r="AI369" s="20">
        <v>74</v>
      </c>
      <c r="AJ369" s="20" t="s">
        <v>4930</v>
      </c>
      <c r="AK369" s="115">
        <v>50000</v>
      </c>
      <c r="AL369" s="20">
        <v>0</v>
      </c>
      <c r="AM369" s="20">
        <f t="shared" si="73"/>
        <v>652</v>
      </c>
      <c r="AN369" s="20">
        <f t="shared" si="74"/>
        <v>32600000</v>
      </c>
      <c r="AO369" s="20"/>
    </row>
    <row r="370" spans="18:46">
      <c r="R370" s="97" t="s">
        <v>5052</v>
      </c>
      <c r="S370" s="93">
        <v>6000000</v>
      </c>
      <c r="U370" s="19" t="s">
        <v>5595</v>
      </c>
      <c r="V370" s="19">
        <v>2272</v>
      </c>
      <c r="W370" s="115">
        <v>2639.970566</v>
      </c>
      <c r="X370" s="115">
        <f t="shared" si="68"/>
        <v>5998013.1259519998</v>
      </c>
      <c r="Y370" s="259" t="s">
        <v>5604</v>
      </c>
      <c r="AI370" s="239">
        <v>75</v>
      </c>
      <c r="AJ370" s="239" t="s">
        <v>4930</v>
      </c>
      <c r="AK370" s="230">
        <v>50000</v>
      </c>
      <c r="AL370" s="239">
        <v>2</v>
      </c>
      <c r="AM370" s="239">
        <f t="shared" si="73"/>
        <v>652</v>
      </c>
      <c r="AN370" s="239">
        <f t="shared" si="74"/>
        <v>32600000</v>
      </c>
      <c r="AO370" s="239"/>
    </row>
    <row r="371" spans="18:46" ht="30">
      <c r="R371" s="97" t="s">
        <v>5053</v>
      </c>
      <c r="S371" s="93">
        <v>17220</v>
      </c>
      <c r="U371" s="19" t="s">
        <v>5595</v>
      </c>
      <c r="V371" s="19">
        <v>4434</v>
      </c>
      <c r="W371" s="115">
        <v>2639.970566</v>
      </c>
      <c r="X371" s="115">
        <f t="shared" si="68"/>
        <v>11705629.489644</v>
      </c>
      <c r="Y371" s="259" t="s">
        <v>5605</v>
      </c>
      <c r="AB371" t="s">
        <v>25</v>
      </c>
      <c r="AI371" s="20">
        <v>76</v>
      </c>
      <c r="AJ371" s="20" t="s">
        <v>4934</v>
      </c>
      <c r="AK371" s="115">
        <v>20000000</v>
      </c>
      <c r="AL371" s="20">
        <v>7</v>
      </c>
      <c r="AM371" s="20">
        <f t="shared" si="73"/>
        <v>650</v>
      </c>
      <c r="AN371" s="20">
        <f t="shared" si="74"/>
        <v>13000000000</v>
      </c>
      <c r="AO371" s="20" t="s">
        <v>4935</v>
      </c>
    </row>
    <row r="372" spans="18:46">
      <c r="R372" s="97" t="s">
        <v>5055</v>
      </c>
      <c r="S372" s="93">
        <v>8249</v>
      </c>
      <c r="U372" s="19" t="s">
        <v>5595</v>
      </c>
      <c r="V372" s="19">
        <v>2349</v>
      </c>
      <c r="W372" s="115">
        <v>2639.970566</v>
      </c>
      <c r="X372" s="115">
        <f t="shared" si="68"/>
        <v>6201290.859534</v>
      </c>
      <c r="Y372" s="259" t="s">
        <v>5606</v>
      </c>
      <c r="AI372" s="20">
        <v>77</v>
      </c>
      <c r="AJ372" s="20" t="s">
        <v>4945</v>
      </c>
      <c r="AK372" s="115">
        <v>50000</v>
      </c>
      <c r="AL372" s="20">
        <v>0</v>
      </c>
      <c r="AM372" s="20">
        <f t="shared" si="73"/>
        <v>643</v>
      </c>
      <c r="AN372" s="20">
        <f t="shared" si="74"/>
        <v>32150000</v>
      </c>
      <c r="AO372" s="20"/>
      <c r="AS372" t="s">
        <v>25</v>
      </c>
    </row>
    <row r="373" spans="18:46">
      <c r="R373" s="97" t="s">
        <v>5055</v>
      </c>
      <c r="S373" s="93">
        <v>6937</v>
      </c>
      <c r="U373" s="19" t="s">
        <v>5595</v>
      </c>
      <c r="V373" s="19">
        <v>-568</v>
      </c>
      <c r="W373" s="115">
        <v>2639.970566</v>
      </c>
      <c r="X373" s="115">
        <f t="shared" si="68"/>
        <v>-1499503.2814879999</v>
      </c>
      <c r="Y373" s="259" t="s">
        <v>5607</v>
      </c>
      <c r="Z373" t="s">
        <v>25</v>
      </c>
      <c r="AI373" s="147">
        <v>78</v>
      </c>
      <c r="AJ373" s="147" t="s">
        <v>4945</v>
      </c>
      <c r="AK373" s="186">
        <v>50000</v>
      </c>
      <c r="AL373" s="147">
        <v>7</v>
      </c>
      <c r="AM373" s="147">
        <f t="shared" si="73"/>
        <v>643</v>
      </c>
      <c r="AN373" s="147">
        <f t="shared" si="74"/>
        <v>32150000</v>
      </c>
      <c r="AO373" s="147"/>
    </row>
    <row r="374" spans="18:46">
      <c r="R374" s="97" t="s">
        <v>5058</v>
      </c>
      <c r="S374" s="93">
        <v>4046552</v>
      </c>
      <c r="U374" s="19" t="s">
        <v>5595</v>
      </c>
      <c r="V374" s="19">
        <v>568</v>
      </c>
      <c r="W374" s="115">
        <v>2639.970566</v>
      </c>
      <c r="X374" s="115">
        <f t="shared" si="68"/>
        <v>1499503.2814879999</v>
      </c>
      <c r="Y374" s="259" t="s">
        <v>5607</v>
      </c>
      <c r="AI374" s="20">
        <v>79</v>
      </c>
      <c r="AJ374" s="20" t="s">
        <v>4951</v>
      </c>
      <c r="AK374" s="115">
        <v>2480000</v>
      </c>
      <c r="AL374" s="20">
        <v>0</v>
      </c>
      <c r="AM374" s="20">
        <f t="shared" si="73"/>
        <v>636</v>
      </c>
      <c r="AN374" s="20">
        <f t="shared" si="74"/>
        <v>1577280000</v>
      </c>
      <c r="AO374" s="20"/>
      <c r="AT374" t="s">
        <v>25</v>
      </c>
    </row>
    <row r="375" spans="18:46">
      <c r="R375" s="97" t="s">
        <v>5065</v>
      </c>
      <c r="S375" s="93">
        <v>-3884943</v>
      </c>
      <c r="U375" s="19" t="s">
        <v>5598</v>
      </c>
      <c r="V375" s="19">
        <v>4589</v>
      </c>
      <c r="W375" s="115">
        <v>2639.970566</v>
      </c>
      <c r="X375" s="115">
        <f t="shared" si="68"/>
        <v>12114824.927374</v>
      </c>
      <c r="Y375" s="259" t="s">
        <v>5608</v>
      </c>
      <c r="Z375" t="s">
        <v>25</v>
      </c>
      <c r="AI375" s="147">
        <v>80</v>
      </c>
      <c r="AJ375" s="147" t="s">
        <v>4951</v>
      </c>
      <c r="AK375" s="186">
        <v>2480000</v>
      </c>
      <c r="AL375" s="147">
        <v>12</v>
      </c>
      <c r="AM375" s="147">
        <f t="shared" si="73"/>
        <v>636</v>
      </c>
      <c r="AN375" s="147">
        <f t="shared" si="74"/>
        <v>1577280000</v>
      </c>
      <c r="AO375" s="147"/>
    </row>
    <row r="376" spans="18:46">
      <c r="R376" s="97" t="s">
        <v>5091</v>
      </c>
      <c r="S376" s="93">
        <v>6022</v>
      </c>
      <c r="U376" s="19" t="s">
        <v>5598</v>
      </c>
      <c r="V376" s="19">
        <v>41959</v>
      </c>
      <c r="W376" s="115">
        <v>2639.970566</v>
      </c>
      <c r="X376" s="115">
        <f t="shared" ref="X376:X567" si="75">V376*W376</f>
        <v>110770524.97879399</v>
      </c>
      <c r="Y376" s="259" t="s">
        <v>5095</v>
      </c>
      <c r="AI376" s="20">
        <v>81</v>
      </c>
      <c r="AJ376" s="20" t="s">
        <v>4958</v>
      </c>
      <c r="AK376" s="115">
        <v>-24159500</v>
      </c>
      <c r="AL376" s="20">
        <v>4</v>
      </c>
      <c r="AM376" s="20">
        <f t="shared" si="73"/>
        <v>624</v>
      </c>
      <c r="AN376" s="20">
        <f t="shared" si="74"/>
        <v>-15075528000</v>
      </c>
      <c r="AO376" s="20" t="s">
        <v>4966</v>
      </c>
    </row>
    <row r="377" spans="18:46">
      <c r="R377" s="97" t="s">
        <v>5094</v>
      </c>
      <c r="S377" s="93">
        <v>400000</v>
      </c>
      <c r="U377" s="19" t="s">
        <v>5610</v>
      </c>
      <c r="V377" s="19">
        <v>2486</v>
      </c>
      <c r="W377" s="115">
        <v>2688.7156100000002</v>
      </c>
      <c r="X377" s="115">
        <f t="shared" si="75"/>
        <v>6684147.0064600008</v>
      </c>
      <c r="Y377" s="259" t="s">
        <v>5095</v>
      </c>
      <c r="AI377" s="20">
        <v>82</v>
      </c>
      <c r="AJ377" s="20" t="s">
        <v>4968</v>
      </c>
      <c r="AK377" s="115">
        <v>400000</v>
      </c>
      <c r="AL377" s="20">
        <v>3</v>
      </c>
      <c r="AM377" s="20">
        <f t="shared" si="73"/>
        <v>620</v>
      </c>
      <c r="AN377" s="20">
        <f t="shared" si="74"/>
        <v>248000000</v>
      </c>
      <c r="AO377" s="20"/>
      <c r="AS377" t="s">
        <v>25</v>
      </c>
    </row>
    <row r="378" spans="18:46">
      <c r="R378" s="97" t="s">
        <v>5094</v>
      </c>
      <c r="S378" s="93">
        <v>92847</v>
      </c>
      <c r="U378" s="19" t="s">
        <v>5613</v>
      </c>
      <c r="V378" s="19">
        <v>652</v>
      </c>
      <c r="W378" s="115">
        <v>2801.4344030000002</v>
      </c>
      <c r="X378" s="115">
        <f t="shared" si="75"/>
        <v>1826535.2307560001</v>
      </c>
      <c r="Y378" s="259" t="s">
        <v>5095</v>
      </c>
      <c r="AI378" s="147">
        <v>83</v>
      </c>
      <c r="AJ378" s="147" t="s">
        <v>4975</v>
      </c>
      <c r="AK378" s="186">
        <v>40000</v>
      </c>
      <c r="AL378" s="147">
        <v>0</v>
      </c>
      <c r="AM378" s="147">
        <f t="shared" si="73"/>
        <v>617</v>
      </c>
      <c r="AN378" s="147">
        <f t="shared" si="74"/>
        <v>24680000</v>
      </c>
      <c r="AO378" s="147"/>
    </row>
    <row r="379" spans="18:46">
      <c r="R379" s="97" t="s">
        <v>5098</v>
      </c>
      <c r="S379" s="93">
        <v>-100000</v>
      </c>
      <c r="U379" s="187" t="s">
        <v>5613</v>
      </c>
      <c r="V379" s="187">
        <v>-536</v>
      </c>
      <c r="W379" s="186">
        <v>2801.4344030000002</v>
      </c>
      <c r="X379" s="186">
        <f t="shared" si="75"/>
        <v>-1501568.8400080001</v>
      </c>
      <c r="Y379" s="258" t="s">
        <v>5625</v>
      </c>
      <c r="AI379" s="20">
        <v>84</v>
      </c>
      <c r="AJ379" s="20" t="s">
        <v>4975</v>
      </c>
      <c r="AK379" s="115">
        <v>40000</v>
      </c>
      <c r="AL379" s="20">
        <v>5</v>
      </c>
      <c r="AM379" s="20">
        <f t="shared" si="73"/>
        <v>617</v>
      </c>
      <c r="AN379" s="20">
        <f t="shared" si="74"/>
        <v>24680000</v>
      </c>
      <c r="AO379" s="20"/>
    </row>
    <row r="380" spans="18:46">
      <c r="R380" s="97" t="s">
        <v>5103</v>
      </c>
      <c r="S380" s="93">
        <v>10000000</v>
      </c>
      <c r="U380" s="19" t="s">
        <v>5617</v>
      </c>
      <c r="V380" s="19">
        <v>1351</v>
      </c>
      <c r="W380" s="115">
        <v>2647.94</v>
      </c>
      <c r="X380" s="115">
        <f t="shared" si="75"/>
        <v>3577366.94</v>
      </c>
      <c r="Y380" s="259" t="s">
        <v>5095</v>
      </c>
      <c r="AI380" s="20">
        <v>85</v>
      </c>
      <c r="AJ380" s="20" t="s">
        <v>4983</v>
      </c>
      <c r="AK380" s="115">
        <v>200000</v>
      </c>
      <c r="AL380" s="20">
        <v>1</v>
      </c>
      <c r="AM380" s="20">
        <f t="shared" si="73"/>
        <v>612</v>
      </c>
      <c r="AN380" s="20">
        <f t="shared" si="74"/>
        <v>122400000</v>
      </c>
      <c r="AO380" s="20"/>
    </row>
    <row r="381" spans="18:46">
      <c r="R381" s="97" t="s">
        <v>5107</v>
      </c>
      <c r="S381" s="93">
        <v>-400000</v>
      </c>
      <c r="U381" s="19" t="s">
        <v>5619</v>
      </c>
      <c r="V381" s="19">
        <v>8402</v>
      </c>
      <c r="W381" s="115">
        <v>2527.8539839999999</v>
      </c>
      <c r="X381" s="115">
        <f t="shared" si="75"/>
        <v>21239029.173567999</v>
      </c>
      <c r="Y381" s="259" t="s">
        <v>5095</v>
      </c>
      <c r="AI381" s="20">
        <v>86</v>
      </c>
      <c r="AJ381" s="20" t="s">
        <v>4987</v>
      </c>
      <c r="AK381" s="115">
        <v>500000</v>
      </c>
      <c r="AL381" s="20">
        <v>2</v>
      </c>
      <c r="AM381" s="20">
        <f t="shared" ref="AM381:AM410" si="76">AL381+AM382</f>
        <v>611</v>
      </c>
      <c r="AN381" s="20">
        <f t="shared" ref="AN381:AN410" si="77">AK381*AM381</f>
        <v>305500000</v>
      </c>
      <c r="AO381" s="20"/>
      <c r="AQ381" t="s">
        <v>25</v>
      </c>
    </row>
    <row r="382" spans="18:46">
      <c r="R382" s="97" t="s">
        <v>5109</v>
      </c>
      <c r="S382" s="93">
        <v>5649</v>
      </c>
      <c r="U382" s="19" t="s">
        <v>5622</v>
      </c>
      <c r="V382" s="19">
        <v>98141</v>
      </c>
      <c r="W382" s="115">
        <v>2475.593813</v>
      </c>
      <c r="X382" s="115">
        <f t="shared" si="75"/>
        <v>242957252.40163299</v>
      </c>
      <c r="Y382" s="259" t="s">
        <v>5095</v>
      </c>
      <c r="AI382" s="20">
        <v>87</v>
      </c>
      <c r="AJ382" s="20" t="s">
        <v>4989</v>
      </c>
      <c r="AK382" s="115">
        <v>500000</v>
      </c>
      <c r="AL382" s="20">
        <v>3</v>
      </c>
      <c r="AM382" s="20">
        <f t="shared" si="76"/>
        <v>609</v>
      </c>
      <c r="AN382" s="20">
        <f t="shared" si="77"/>
        <v>304500000</v>
      </c>
      <c r="AO382" s="20"/>
    </row>
    <row r="383" spans="18:46">
      <c r="R383" s="97" t="s">
        <v>5110</v>
      </c>
      <c r="S383" s="93">
        <v>460000</v>
      </c>
      <c r="U383" s="19" t="s">
        <v>5626</v>
      </c>
      <c r="V383" s="19">
        <v>2910</v>
      </c>
      <c r="W383" s="115">
        <v>2528.240988</v>
      </c>
      <c r="X383" s="115">
        <f t="shared" si="75"/>
        <v>7357181.2750800001</v>
      </c>
      <c r="Y383" s="259" t="s">
        <v>5095</v>
      </c>
      <c r="AA383" t="s">
        <v>25</v>
      </c>
      <c r="AI383" s="20">
        <v>88</v>
      </c>
      <c r="AJ383" s="20" t="s">
        <v>4980</v>
      </c>
      <c r="AK383" s="115">
        <v>250000</v>
      </c>
      <c r="AL383" s="20">
        <v>0</v>
      </c>
      <c r="AM383" s="20">
        <f t="shared" si="76"/>
        <v>606</v>
      </c>
      <c r="AN383" s="20">
        <f t="shared" si="77"/>
        <v>151500000</v>
      </c>
      <c r="AO383" s="20"/>
    </row>
    <row r="384" spans="18:46">
      <c r="R384" s="97" t="s">
        <v>5110</v>
      </c>
      <c r="S384" s="93">
        <v>1300000</v>
      </c>
      <c r="U384" s="19" t="s">
        <v>5628</v>
      </c>
      <c r="V384" s="19">
        <v>5652</v>
      </c>
      <c r="W384" s="115">
        <v>2645.3312000000001</v>
      </c>
      <c r="X384" s="115">
        <f t="shared" si="75"/>
        <v>14951411.942400001</v>
      </c>
      <c r="Y384" s="259" t="s">
        <v>5095</v>
      </c>
      <c r="AI384" s="239">
        <v>89</v>
      </c>
      <c r="AJ384" s="239" t="s">
        <v>4980</v>
      </c>
      <c r="AK384" s="230">
        <v>245000</v>
      </c>
      <c r="AL384" s="239">
        <v>16</v>
      </c>
      <c r="AM384" s="239">
        <f t="shared" si="76"/>
        <v>606</v>
      </c>
      <c r="AN384" s="239">
        <f t="shared" si="77"/>
        <v>148470000</v>
      </c>
      <c r="AO384" s="239"/>
    </row>
    <row r="385" spans="16:46">
      <c r="R385" s="97" t="s">
        <v>975</v>
      </c>
      <c r="S385" s="93">
        <v>7300000</v>
      </c>
      <c r="T385" t="s">
        <v>25</v>
      </c>
      <c r="U385" s="19" t="s">
        <v>5632</v>
      </c>
      <c r="V385" s="19">
        <v>18764</v>
      </c>
      <c r="W385" s="115">
        <v>2554.2639829999998</v>
      </c>
      <c r="X385" s="115">
        <f t="shared" si="75"/>
        <v>47928209.377011999</v>
      </c>
      <c r="Y385" s="259" t="s">
        <v>5095</v>
      </c>
      <c r="AI385" s="20">
        <v>90</v>
      </c>
      <c r="AJ385" s="20" t="s">
        <v>5014</v>
      </c>
      <c r="AK385" s="115">
        <v>312598</v>
      </c>
      <c r="AL385" s="20">
        <v>0</v>
      </c>
      <c r="AM385" s="20">
        <f t="shared" si="76"/>
        <v>590</v>
      </c>
      <c r="AN385" s="20">
        <f t="shared" si="77"/>
        <v>184432820</v>
      </c>
      <c r="AO385" s="20"/>
    </row>
    <row r="386" spans="16:46">
      <c r="R386" s="97" t="s">
        <v>4253</v>
      </c>
      <c r="S386" s="93">
        <v>21203</v>
      </c>
      <c r="U386" s="19" t="s">
        <v>5634</v>
      </c>
      <c r="V386" s="19">
        <v>930</v>
      </c>
      <c r="W386" s="115">
        <v>2453.3287089999999</v>
      </c>
      <c r="X386" s="115">
        <f t="shared" si="75"/>
        <v>2281595.69937</v>
      </c>
      <c r="Y386" s="259" t="s">
        <v>5095</v>
      </c>
      <c r="AB386" t="s">
        <v>25</v>
      </c>
      <c r="AI386" s="20">
        <v>91</v>
      </c>
      <c r="AJ386" s="20" t="s">
        <v>5014</v>
      </c>
      <c r="AK386" s="115">
        <v>780000</v>
      </c>
      <c r="AL386" s="20">
        <v>0</v>
      </c>
      <c r="AM386" s="20">
        <f t="shared" si="76"/>
        <v>590</v>
      </c>
      <c r="AN386" s="20">
        <f t="shared" si="77"/>
        <v>460200000</v>
      </c>
      <c r="AO386" s="20"/>
      <c r="AR386" t="s">
        <v>25</v>
      </c>
    </row>
    <row r="387" spans="16:46">
      <c r="R387" s="97" t="s">
        <v>5108</v>
      </c>
      <c r="S387" s="93">
        <v>34550</v>
      </c>
      <c r="U387" s="19" t="s">
        <v>5636</v>
      </c>
      <c r="V387" s="19">
        <v>1167</v>
      </c>
      <c r="W387" s="115">
        <v>2540.6307069999998</v>
      </c>
      <c r="X387" s="115">
        <f t="shared" si="75"/>
        <v>2964916.035069</v>
      </c>
      <c r="Y387" s="259" t="s">
        <v>5095</v>
      </c>
      <c r="AG387" s="94" t="s">
        <v>25</v>
      </c>
      <c r="AI387" s="191">
        <v>92</v>
      </c>
      <c r="AJ387" s="191" t="s">
        <v>5014</v>
      </c>
      <c r="AK387" s="192">
        <v>-300000</v>
      </c>
      <c r="AL387" s="191">
        <v>1</v>
      </c>
      <c r="AM387" s="191">
        <f t="shared" si="76"/>
        <v>590</v>
      </c>
      <c r="AN387" s="191">
        <f t="shared" si="77"/>
        <v>-177000000</v>
      </c>
      <c r="AO387" s="191"/>
    </row>
    <row r="388" spans="16:46">
      <c r="R388" s="97" t="s">
        <v>5145</v>
      </c>
      <c r="S388" s="93">
        <v>-2134406</v>
      </c>
      <c r="U388" s="19" t="s">
        <v>5637</v>
      </c>
      <c r="V388" s="19">
        <v>2538</v>
      </c>
      <c r="W388" s="115">
        <v>2545.5277489999999</v>
      </c>
      <c r="X388" s="115">
        <f t="shared" si="75"/>
        <v>6460549.4269619994</v>
      </c>
      <c r="Y388" s="259" t="s">
        <v>5095</v>
      </c>
      <c r="AA388" t="s">
        <v>25</v>
      </c>
      <c r="AB388" t="s">
        <v>25</v>
      </c>
      <c r="AI388" s="20">
        <v>93</v>
      </c>
      <c r="AJ388" s="20" t="s">
        <v>4981</v>
      </c>
      <c r="AK388" s="115">
        <v>300000</v>
      </c>
      <c r="AL388" s="20">
        <v>0</v>
      </c>
      <c r="AM388" s="20">
        <f t="shared" si="76"/>
        <v>589</v>
      </c>
      <c r="AN388" s="20">
        <f t="shared" si="77"/>
        <v>176700000</v>
      </c>
      <c r="AO388" s="20"/>
      <c r="AT388" t="s">
        <v>25</v>
      </c>
    </row>
    <row r="389" spans="16:46">
      <c r="R389" s="97" t="s">
        <v>5148</v>
      </c>
      <c r="S389" s="93">
        <v>-618906</v>
      </c>
      <c r="U389" s="19" t="s">
        <v>5639</v>
      </c>
      <c r="V389" s="19">
        <v>2106</v>
      </c>
      <c r="W389" s="115">
        <v>2474.9857059999999</v>
      </c>
      <c r="X389" s="115">
        <f t="shared" si="75"/>
        <v>5212319.8968359996</v>
      </c>
      <c r="Y389" s="259" t="s">
        <v>5095</v>
      </c>
      <c r="AB389" t="s">
        <v>25</v>
      </c>
      <c r="AI389" s="20">
        <v>94</v>
      </c>
      <c r="AJ389" s="20" t="s">
        <v>4981</v>
      </c>
      <c r="AK389" s="115">
        <v>8660000</v>
      </c>
      <c r="AL389" s="20">
        <v>8</v>
      </c>
      <c r="AM389" s="20">
        <f t="shared" si="76"/>
        <v>589</v>
      </c>
      <c r="AN389" s="20">
        <f t="shared" si="77"/>
        <v>5100740000</v>
      </c>
      <c r="AO389" s="20"/>
    </row>
    <row r="390" spans="16:46">
      <c r="R390" s="97" t="s">
        <v>5190</v>
      </c>
      <c r="S390" s="93">
        <v>-54615</v>
      </c>
      <c r="U390" s="19" t="s">
        <v>5642</v>
      </c>
      <c r="V390" s="19">
        <v>1801</v>
      </c>
      <c r="W390" s="115">
        <v>2512.2134809999998</v>
      </c>
      <c r="X390" s="115">
        <f t="shared" si="75"/>
        <v>4524496.4792809999</v>
      </c>
      <c r="Y390" s="259" t="s">
        <v>5095</v>
      </c>
      <c r="AI390" s="147">
        <v>95</v>
      </c>
      <c r="AJ390" s="147" t="s">
        <v>5031</v>
      </c>
      <c r="AK390" s="186">
        <v>200000</v>
      </c>
      <c r="AL390" s="147">
        <v>3</v>
      </c>
      <c r="AM390" s="147">
        <f t="shared" si="76"/>
        <v>581</v>
      </c>
      <c r="AN390" s="147">
        <f t="shared" si="77"/>
        <v>116200000</v>
      </c>
      <c r="AO390" s="147"/>
    </row>
    <row r="391" spans="16:46">
      <c r="R391" s="97" t="s">
        <v>5235</v>
      </c>
      <c r="S391" s="93">
        <v>18000000</v>
      </c>
      <c r="U391" s="19" t="s">
        <v>5644</v>
      </c>
      <c r="V391" s="19">
        <v>9184</v>
      </c>
      <c r="W391" s="115">
        <v>2489.76919</v>
      </c>
      <c r="X391" s="115">
        <f t="shared" si="75"/>
        <v>22866040.240959998</v>
      </c>
      <c r="Y391" s="259" t="s">
        <v>5095</v>
      </c>
      <c r="AI391" s="147">
        <v>96</v>
      </c>
      <c r="AJ391" s="147" t="s">
        <v>5034</v>
      </c>
      <c r="AK391" s="186">
        <v>20000</v>
      </c>
      <c r="AL391" s="147">
        <v>1</v>
      </c>
      <c r="AM391" s="147">
        <f t="shared" si="76"/>
        <v>578</v>
      </c>
      <c r="AN391" s="147">
        <f t="shared" si="77"/>
        <v>11560000</v>
      </c>
      <c r="AO391" s="147"/>
    </row>
    <row r="392" spans="16:46">
      <c r="R392" s="97" t="s">
        <v>5242</v>
      </c>
      <c r="S392" s="93">
        <v>20000000</v>
      </c>
      <c r="U392" s="19" t="s">
        <v>5646</v>
      </c>
      <c r="V392" s="19">
        <v>6259</v>
      </c>
      <c r="W392" s="115">
        <v>2453.954988</v>
      </c>
      <c r="X392" s="115">
        <f t="shared" si="75"/>
        <v>15359304.269892</v>
      </c>
      <c r="Y392" s="259" t="s">
        <v>5095</v>
      </c>
      <c r="Z392" t="s">
        <v>25</v>
      </c>
      <c r="AI392" s="20">
        <v>97</v>
      </c>
      <c r="AJ392" s="20" t="s">
        <v>5044</v>
      </c>
      <c r="AK392" s="115">
        <v>14340000</v>
      </c>
      <c r="AL392" s="20">
        <v>7</v>
      </c>
      <c r="AM392" s="20">
        <f t="shared" si="76"/>
        <v>577</v>
      </c>
      <c r="AN392" s="20">
        <f t="shared" si="77"/>
        <v>8274180000</v>
      </c>
      <c r="AO392" s="20"/>
    </row>
    <row r="393" spans="16:46">
      <c r="R393" s="97" t="s">
        <v>5316</v>
      </c>
      <c r="S393" s="93">
        <v>27694196</v>
      </c>
      <c r="U393" s="19" t="s">
        <v>5648</v>
      </c>
      <c r="V393" s="19">
        <v>1223</v>
      </c>
      <c r="W393" s="115">
        <v>2345.4686710000001</v>
      </c>
      <c r="X393" s="115">
        <f t="shared" si="75"/>
        <v>2868508.1846330003</v>
      </c>
      <c r="Y393" s="259" t="s">
        <v>5095</v>
      </c>
      <c r="AI393" s="20">
        <v>98</v>
      </c>
      <c r="AJ393" s="20" t="s">
        <v>5050</v>
      </c>
      <c r="AK393" s="115">
        <v>10000000</v>
      </c>
      <c r="AL393" s="20">
        <v>6</v>
      </c>
      <c r="AM393" s="20">
        <f t="shared" si="76"/>
        <v>570</v>
      </c>
      <c r="AN393" s="20">
        <f t="shared" si="77"/>
        <v>5700000000</v>
      </c>
      <c r="AO393" s="20" t="s">
        <v>4668</v>
      </c>
      <c r="AS393" t="s">
        <v>25</v>
      </c>
    </row>
    <row r="394" spans="16:46">
      <c r="R394" s="97" t="s">
        <v>5317</v>
      </c>
      <c r="S394" s="93">
        <v>7211722</v>
      </c>
      <c r="U394" s="19" t="s">
        <v>5649</v>
      </c>
      <c r="V394" s="19">
        <v>7804</v>
      </c>
      <c r="W394" s="115">
        <v>2236.0831640000001</v>
      </c>
      <c r="X394" s="115">
        <f t="shared" si="75"/>
        <v>17450393.011856001</v>
      </c>
      <c r="Y394" s="259" t="s">
        <v>5095</v>
      </c>
      <c r="AI394" s="20">
        <v>99</v>
      </c>
      <c r="AJ394" s="20" t="s">
        <v>5055</v>
      </c>
      <c r="AK394" s="115">
        <v>4033949</v>
      </c>
      <c r="AL394" s="20">
        <v>2</v>
      </c>
      <c r="AM394" s="20">
        <f t="shared" si="76"/>
        <v>564</v>
      </c>
      <c r="AN394" s="20">
        <f t="shared" si="77"/>
        <v>2275147236</v>
      </c>
      <c r="AO394" s="20" t="s">
        <v>5057</v>
      </c>
    </row>
    <row r="395" spans="16:46">
      <c r="R395" s="97" t="s">
        <v>5321</v>
      </c>
      <c r="S395" s="93">
        <v>8481864</v>
      </c>
      <c r="U395" s="19" t="s">
        <v>5650</v>
      </c>
      <c r="V395" s="19">
        <v>14589</v>
      </c>
      <c r="W395" s="115">
        <v>2151.5486500000002</v>
      </c>
      <c r="X395" s="115">
        <f t="shared" si="75"/>
        <v>31388943.254850004</v>
      </c>
      <c r="Y395" s="259" t="s">
        <v>5095</v>
      </c>
      <c r="AI395" s="147">
        <v>100</v>
      </c>
      <c r="AJ395" s="147" t="s">
        <v>5061</v>
      </c>
      <c r="AK395" s="186">
        <v>11500000</v>
      </c>
      <c r="AL395" s="147">
        <v>2</v>
      </c>
      <c r="AM395" s="147">
        <f t="shared" si="76"/>
        <v>562</v>
      </c>
      <c r="AN395" s="147">
        <f t="shared" si="77"/>
        <v>6463000000</v>
      </c>
      <c r="AO395" s="147" t="s">
        <v>5063</v>
      </c>
    </row>
    <row r="396" spans="16:46">
      <c r="R396" s="97" t="s">
        <v>5325</v>
      </c>
      <c r="S396" s="93">
        <v>1558697</v>
      </c>
      <c r="U396" s="19" t="s">
        <v>5651</v>
      </c>
      <c r="V396" s="19">
        <v>14741</v>
      </c>
      <c r="W396" s="115">
        <v>2097.0148140000001</v>
      </c>
      <c r="X396" s="115">
        <f t="shared" si="75"/>
        <v>30912095.373174001</v>
      </c>
      <c r="Y396" s="259" t="s">
        <v>5095</v>
      </c>
      <c r="Z396" t="s">
        <v>25</v>
      </c>
      <c r="AI396" s="147">
        <v>101</v>
      </c>
      <c r="AJ396" s="147" t="s">
        <v>5065</v>
      </c>
      <c r="AK396" s="186">
        <v>250000</v>
      </c>
      <c r="AL396" s="147">
        <v>3</v>
      </c>
      <c r="AM396" s="147">
        <f t="shared" si="76"/>
        <v>560</v>
      </c>
      <c r="AN396" s="147">
        <f t="shared" si="77"/>
        <v>140000000</v>
      </c>
      <c r="AO396" s="147"/>
    </row>
    <row r="397" spans="16:46">
      <c r="P397" t="s">
        <v>25</v>
      </c>
      <c r="R397" s="97" t="s">
        <v>5326</v>
      </c>
      <c r="S397" s="93">
        <v>9042009</v>
      </c>
      <c r="U397" s="19" t="s">
        <v>5653</v>
      </c>
      <c r="V397" s="19">
        <v>10237</v>
      </c>
      <c r="W397" s="115">
        <v>1914.9092619999999</v>
      </c>
      <c r="X397" s="115">
        <f t="shared" si="75"/>
        <v>19602926.115093999</v>
      </c>
      <c r="Y397" s="259" t="s">
        <v>5095</v>
      </c>
      <c r="AA397" t="s">
        <v>25</v>
      </c>
      <c r="AI397" s="147">
        <v>102</v>
      </c>
      <c r="AJ397" s="147" t="s">
        <v>5090</v>
      </c>
      <c r="AK397" s="186">
        <v>6000000</v>
      </c>
      <c r="AL397" s="147">
        <v>1</v>
      </c>
      <c r="AM397" s="147">
        <f t="shared" si="76"/>
        <v>557</v>
      </c>
      <c r="AN397" s="147">
        <f t="shared" si="77"/>
        <v>3342000000</v>
      </c>
      <c r="AO397" s="147" t="s">
        <v>5063</v>
      </c>
    </row>
    <row r="398" spans="16:46" ht="21" customHeight="1">
      <c r="R398" s="97" t="s">
        <v>5330</v>
      </c>
      <c r="S398" s="93">
        <v>94969</v>
      </c>
      <c r="U398" s="19" t="s">
        <v>5657</v>
      </c>
      <c r="V398" s="19">
        <v>19211</v>
      </c>
      <c r="W398" s="115">
        <v>1793.6906100000001</v>
      </c>
      <c r="X398" s="115">
        <f t="shared" si="75"/>
        <v>34458590.308710001</v>
      </c>
      <c r="Y398" s="259" t="s">
        <v>5095</v>
      </c>
      <c r="AA398" t="s">
        <v>25</v>
      </c>
      <c r="AI398" s="147">
        <v>103</v>
      </c>
      <c r="AJ398" s="147" t="s">
        <v>5091</v>
      </c>
      <c r="AK398" s="186">
        <v>1500000</v>
      </c>
      <c r="AL398" s="147">
        <v>6</v>
      </c>
      <c r="AM398" s="147">
        <f t="shared" si="76"/>
        <v>556</v>
      </c>
      <c r="AN398" s="147">
        <f t="shared" si="77"/>
        <v>834000000</v>
      </c>
      <c r="AO398" s="147" t="s">
        <v>5063</v>
      </c>
    </row>
    <row r="399" spans="16:46">
      <c r="R399" s="97" t="s">
        <v>5330</v>
      </c>
      <c r="S399" s="93">
        <v>40000000</v>
      </c>
      <c r="U399" s="19" t="s">
        <v>5659</v>
      </c>
      <c r="V399" s="19">
        <v>11599</v>
      </c>
      <c r="W399" s="115">
        <v>1870.667144</v>
      </c>
      <c r="X399" s="115">
        <f t="shared" si="75"/>
        <v>21697868.203256</v>
      </c>
      <c r="Y399" s="259" t="s">
        <v>5095</v>
      </c>
      <c r="Z399" t="s">
        <v>25</v>
      </c>
      <c r="AI399" s="20">
        <v>104</v>
      </c>
      <c r="AJ399" s="20" t="s">
        <v>958</v>
      </c>
      <c r="AK399" s="115">
        <v>-3960043</v>
      </c>
      <c r="AL399" s="20">
        <v>2</v>
      </c>
      <c r="AM399" s="20">
        <f t="shared" si="76"/>
        <v>550</v>
      </c>
      <c r="AN399" s="20">
        <f t="shared" si="77"/>
        <v>-2178023650</v>
      </c>
      <c r="AO399" s="20"/>
    </row>
    <row r="400" spans="16:46" ht="18" customHeight="1">
      <c r="R400" s="97" t="s">
        <v>5331</v>
      </c>
      <c r="S400" s="93">
        <v>2806274</v>
      </c>
      <c r="U400" s="19" t="s">
        <v>5661</v>
      </c>
      <c r="V400" s="19">
        <v>14098</v>
      </c>
      <c r="W400" s="115">
        <v>1797.423695</v>
      </c>
      <c r="X400" s="115">
        <f t="shared" si="75"/>
        <v>25340079.252110001</v>
      </c>
      <c r="Y400" s="259" t="s">
        <v>5095</v>
      </c>
      <c r="AI400" s="20">
        <v>105</v>
      </c>
      <c r="AJ400" s="20" t="s">
        <v>5109</v>
      </c>
      <c r="AK400" s="115">
        <v>230000</v>
      </c>
      <c r="AL400" s="20">
        <v>0</v>
      </c>
      <c r="AM400" s="20">
        <f t="shared" si="76"/>
        <v>548</v>
      </c>
      <c r="AN400" s="20">
        <f t="shared" si="77"/>
        <v>126040000</v>
      </c>
      <c r="AO400" s="20"/>
    </row>
    <row r="401" spans="18:46" ht="21" customHeight="1">
      <c r="R401" s="97" t="s">
        <v>5339</v>
      </c>
      <c r="S401" s="93">
        <v>1331702</v>
      </c>
      <c r="U401" s="19" t="s">
        <v>5662</v>
      </c>
      <c r="V401" s="19">
        <v>8497</v>
      </c>
      <c r="W401" s="115">
        <v>1739.5531579999999</v>
      </c>
      <c r="X401" s="115">
        <f t="shared" si="75"/>
        <v>14780983.183526</v>
      </c>
      <c r="Y401" s="259" t="s">
        <v>5095</v>
      </c>
      <c r="AE401" t="s">
        <v>25</v>
      </c>
      <c r="AI401" s="147">
        <v>106</v>
      </c>
      <c r="AJ401" s="147" t="s">
        <v>5109</v>
      </c>
      <c r="AK401" s="186">
        <v>230000</v>
      </c>
      <c r="AL401" s="147">
        <v>1</v>
      </c>
      <c r="AM401" s="147">
        <f t="shared" si="76"/>
        <v>548</v>
      </c>
      <c r="AN401" s="147">
        <f t="shared" si="77"/>
        <v>126040000</v>
      </c>
      <c r="AO401" s="147"/>
    </row>
    <row r="402" spans="18:46" ht="30">
      <c r="R402" s="97" t="s">
        <v>5373</v>
      </c>
      <c r="S402" s="93">
        <v>851238</v>
      </c>
      <c r="U402" s="276" t="s">
        <v>5665</v>
      </c>
      <c r="V402" s="276">
        <v>163820</v>
      </c>
      <c r="W402" s="88">
        <v>1588.685326</v>
      </c>
      <c r="X402" s="88">
        <f t="shared" si="75"/>
        <v>260258430.10532001</v>
      </c>
      <c r="Y402" s="285" t="s">
        <v>5667</v>
      </c>
      <c r="AI402" s="147">
        <v>107</v>
      </c>
      <c r="AJ402" s="147" t="s">
        <v>5110</v>
      </c>
      <c r="AK402" s="186">
        <v>500000</v>
      </c>
      <c r="AL402" s="147">
        <v>1</v>
      </c>
      <c r="AM402" s="147">
        <f t="shared" si="76"/>
        <v>547</v>
      </c>
      <c r="AN402" s="147">
        <f t="shared" si="77"/>
        <v>273500000</v>
      </c>
      <c r="AO402" s="147"/>
      <c r="AT402" t="s">
        <v>25</v>
      </c>
    </row>
    <row r="403" spans="18:46">
      <c r="R403" s="97" t="s">
        <v>5416</v>
      </c>
      <c r="S403" s="93">
        <v>652592</v>
      </c>
      <c r="U403" s="19" t="s">
        <v>5665</v>
      </c>
      <c r="V403" s="19">
        <v>11207</v>
      </c>
      <c r="W403" s="115">
        <v>1588.685326</v>
      </c>
      <c r="X403" s="115">
        <f t="shared" si="75"/>
        <v>17804396.448481999</v>
      </c>
      <c r="Y403" s="259" t="s">
        <v>5095</v>
      </c>
      <c r="Z403" t="s">
        <v>25</v>
      </c>
      <c r="AA403" t="s">
        <v>25</v>
      </c>
      <c r="AI403" s="20">
        <v>108</v>
      </c>
      <c r="AJ403" s="20" t="s">
        <v>5113</v>
      </c>
      <c r="AK403" s="115">
        <v>-880000</v>
      </c>
      <c r="AL403" s="20">
        <v>4</v>
      </c>
      <c r="AM403" s="20">
        <f t="shared" si="76"/>
        <v>546</v>
      </c>
      <c r="AN403" s="20">
        <f t="shared" si="77"/>
        <v>-480480000</v>
      </c>
      <c r="AO403" s="20"/>
    </row>
    <row r="404" spans="18:46">
      <c r="R404" s="97" t="s">
        <v>5417</v>
      </c>
      <c r="S404" s="93">
        <v>554139</v>
      </c>
      <c r="U404" s="19" t="s">
        <v>5668</v>
      </c>
      <c r="V404" s="19">
        <v>7198</v>
      </c>
      <c r="W404" s="115">
        <v>1602.9918909999999</v>
      </c>
      <c r="X404" s="115">
        <f t="shared" si="75"/>
        <v>11538335.631417999</v>
      </c>
      <c r="Y404" s="259" t="s">
        <v>5095</v>
      </c>
      <c r="Z404" t="s">
        <v>25</v>
      </c>
      <c r="AI404" s="191">
        <v>109</v>
      </c>
      <c r="AJ404" s="191" t="s">
        <v>5117</v>
      </c>
      <c r="AK404" s="192">
        <v>873000</v>
      </c>
      <c r="AL404" s="191">
        <v>0</v>
      </c>
      <c r="AM404" s="191">
        <f t="shared" si="76"/>
        <v>542</v>
      </c>
      <c r="AN404" s="191">
        <f t="shared" si="77"/>
        <v>473166000</v>
      </c>
      <c r="AO404" s="191" t="s">
        <v>5063</v>
      </c>
    </row>
    <row r="405" spans="18:46">
      <c r="R405" s="97" t="s">
        <v>5418</v>
      </c>
      <c r="S405" s="93">
        <v>70373089</v>
      </c>
      <c r="U405" s="19" t="s">
        <v>5669</v>
      </c>
      <c r="V405" s="19">
        <v>7804</v>
      </c>
      <c r="W405" s="115">
        <v>1592.7111440000001</v>
      </c>
      <c r="X405" s="115">
        <f t="shared" si="75"/>
        <v>12429517.767776001</v>
      </c>
      <c r="Y405" s="259" t="s">
        <v>5095</v>
      </c>
      <c r="AA405" t="s">
        <v>25</v>
      </c>
      <c r="AI405" s="20">
        <v>110</v>
      </c>
      <c r="AJ405" s="20" t="s">
        <v>5117</v>
      </c>
      <c r="AK405" s="115">
        <v>127000</v>
      </c>
      <c r="AL405" s="20">
        <v>0</v>
      </c>
      <c r="AM405" s="20">
        <f t="shared" si="76"/>
        <v>542</v>
      </c>
      <c r="AN405" s="20">
        <f t="shared" si="77"/>
        <v>68834000</v>
      </c>
      <c r="AO405" s="20" t="s">
        <v>5063</v>
      </c>
    </row>
    <row r="406" spans="18:46">
      <c r="R406" s="97" t="s">
        <v>5419</v>
      </c>
      <c r="S406" s="93">
        <v>1219655</v>
      </c>
      <c r="T406" t="s">
        <v>25</v>
      </c>
      <c r="U406" s="19" t="s">
        <v>5677</v>
      </c>
      <c r="V406" s="19">
        <v>2827</v>
      </c>
      <c r="W406" s="115">
        <v>1779.6874809999999</v>
      </c>
      <c r="X406" s="115">
        <f t="shared" si="75"/>
        <v>5031176.5087869996</v>
      </c>
      <c r="Y406" s="259" t="s">
        <v>5095</v>
      </c>
      <c r="Z406" t="s">
        <v>25</v>
      </c>
      <c r="AI406" s="20">
        <v>111</v>
      </c>
      <c r="AJ406" s="20" t="s">
        <v>5117</v>
      </c>
      <c r="AK406" s="115">
        <v>73000</v>
      </c>
      <c r="AL406" s="20">
        <v>1</v>
      </c>
      <c r="AM406" s="20">
        <f t="shared" si="76"/>
        <v>542</v>
      </c>
      <c r="AN406" s="20">
        <f t="shared" si="77"/>
        <v>39566000</v>
      </c>
      <c r="AO406" s="20"/>
    </row>
    <row r="407" spans="18:46">
      <c r="R407" s="97" t="s">
        <v>5420</v>
      </c>
      <c r="S407" s="93">
        <v>15350146</v>
      </c>
      <c r="U407" s="19" t="s">
        <v>5679</v>
      </c>
      <c r="V407" s="19">
        <v>3385</v>
      </c>
      <c r="W407" s="115">
        <v>2015.5993820000001</v>
      </c>
      <c r="X407" s="115">
        <f t="shared" si="75"/>
        <v>6822803.9080700008</v>
      </c>
      <c r="Y407" s="259" t="s">
        <v>5095</v>
      </c>
      <c r="Z407" t="s">
        <v>25</v>
      </c>
      <c r="AA407" t="s">
        <v>25</v>
      </c>
      <c r="AI407" s="20">
        <v>112</v>
      </c>
      <c r="AJ407" s="20" t="s">
        <v>975</v>
      </c>
      <c r="AK407" s="115">
        <v>4300000</v>
      </c>
      <c r="AL407" s="20">
        <v>1</v>
      </c>
      <c r="AM407" s="20">
        <f t="shared" si="76"/>
        <v>541</v>
      </c>
      <c r="AN407" s="20">
        <f t="shared" si="77"/>
        <v>2326300000</v>
      </c>
      <c r="AO407" s="20"/>
    </row>
    <row r="408" spans="18:46">
      <c r="R408" s="97" t="s">
        <v>5424</v>
      </c>
      <c r="S408" s="93">
        <v>121018</v>
      </c>
      <c r="U408" s="19" t="s">
        <v>5683</v>
      </c>
      <c r="V408" s="19">
        <v>158</v>
      </c>
      <c r="W408" s="115">
        <v>2094.2388179999998</v>
      </c>
      <c r="X408" s="115">
        <f t="shared" si="75"/>
        <v>330889.73324399994</v>
      </c>
      <c r="Y408" s="259" t="s">
        <v>5095</v>
      </c>
      <c r="Z408" t="s">
        <v>25</v>
      </c>
      <c r="AI408" s="20">
        <v>113</v>
      </c>
      <c r="AJ408" s="20" t="s">
        <v>4993</v>
      </c>
      <c r="AK408" s="115">
        <v>1600000</v>
      </c>
      <c r="AL408" s="20">
        <v>0</v>
      </c>
      <c r="AM408" s="20">
        <f t="shared" si="76"/>
        <v>540</v>
      </c>
      <c r="AN408" s="20">
        <f t="shared" si="77"/>
        <v>864000000</v>
      </c>
      <c r="AO408" s="20"/>
    </row>
    <row r="409" spans="18:46">
      <c r="R409" s="97" t="s">
        <v>5436</v>
      </c>
      <c r="S409" s="93">
        <v>1024993</v>
      </c>
      <c r="U409" s="19" t="s">
        <v>963</v>
      </c>
      <c r="V409" s="19">
        <v>5033</v>
      </c>
      <c r="W409" s="115">
        <v>2229.4976999999999</v>
      </c>
      <c r="X409" s="115">
        <f t="shared" si="75"/>
        <v>11221061.924099999</v>
      </c>
      <c r="Y409" s="259" t="s">
        <v>5688</v>
      </c>
      <c r="AA409" t="s">
        <v>25</v>
      </c>
      <c r="AI409" s="20">
        <v>114</v>
      </c>
      <c r="AJ409" s="20" t="s">
        <v>4253</v>
      </c>
      <c r="AK409" s="115">
        <v>-10000000</v>
      </c>
      <c r="AL409" s="20">
        <v>1</v>
      </c>
      <c r="AM409" s="20">
        <f t="shared" si="76"/>
        <v>540</v>
      </c>
      <c r="AN409" s="20">
        <f t="shared" si="77"/>
        <v>-5400000000</v>
      </c>
      <c r="AO409" s="20" t="s">
        <v>5123</v>
      </c>
    </row>
    <row r="410" spans="18:46">
      <c r="R410" s="97" t="s">
        <v>5437</v>
      </c>
      <c r="S410" s="93">
        <v>1948077</v>
      </c>
      <c r="T410" t="s">
        <v>25</v>
      </c>
      <c r="U410" s="19" t="s">
        <v>5692</v>
      </c>
      <c r="V410" s="19">
        <v>2870</v>
      </c>
      <c r="W410" s="115">
        <v>2303.2467459999998</v>
      </c>
      <c r="X410" s="115">
        <f t="shared" si="75"/>
        <v>6610318.1610199995</v>
      </c>
      <c r="Y410" s="259" t="s">
        <v>5095</v>
      </c>
      <c r="AI410" s="20">
        <v>115</v>
      </c>
      <c r="AJ410" s="20" t="s">
        <v>5122</v>
      </c>
      <c r="AK410" s="115">
        <v>571000</v>
      </c>
      <c r="AL410" s="20">
        <v>4</v>
      </c>
      <c r="AM410" s="20">
        <f t="shared" si="76"/>
        <v>539</v>
      </c>
      <c r="AN410" s="20">
        <f t="shared" si="77"/>
        <v>307769000</v>
      </c>
      <c r="AO410" s="20"/>
    </row>
    <row r="411" spans="18:46">
      <c r="R411" s="97" t="s">
        <v>5438</v>
      </c>
      <c r="S411" s="93">
        <v>50000120</v>
      </c>
      <c r="U411" s="19" t="s">
        <v>5693</v>
      </c>
      <c r="V411" s="19">
        <v>307</v>
      </c>
      <c r="W411" s="115">
        <v>2315.0266360000001</v>
      </c>
      <c r="X411" s="115">
        <f t="shared" si="75"/>
        <v>710713.17725199996</v>
      </c>
      <c r="Y411" s="259" t="s">
        <v>5095</v>
      </c>
      <c r="AI411" s="20">
        <v>116</v>
      </c>
      <c r="AJ411" s="20" t="s">
        <v>5124</v>
      </c>
      <c r="AK411" s="115">
        <v>200000</v>
      </c>
      <c r="AL411" s="20">
        <v>3</v>
      </c>
      <c r="AM411" s="20">
        <f t="shared" ref="AM411:AM422" si="78">AL411+AM412</f>
        <v>535</v>
      </c>
      <c r="AN411" s="20">
        <f t="shared" ref="AN411:AN422" si="79">AK411*AM411</f>
        <v>107000000</v>
      </c>
      <c r="AO411" s="20"/>
    </row>
    <row r="412" spans="18:46">
      <c r="R412" s="97" t="s">
        <v>5461</v>
      </c>
      <c r="S412" s="93">
        <v>20000055</v>
      </c>
      <c r="U412" s="19" t="s">
        <v>5695</v>
      </c>
      <c r="V412" s="19">
        <v>35</v>
      </c>
      <c r="W412" s="115">
        <v>2315</v>
      </c>
      <c r="X412" s="115">
        <f t="shared" si="75"/>
        <v>81025</v>
      </c>
      <c r="Y412" s="259" t="s">
        <v>5697</v>
      </c>
      <c r="Z412" s="112"/>
      <c r="AI412" s="147">
        <v>117</v>
      </c>
      <c r="AJ412" s="147" t="s">
        <v>5130</v>
      </c>
      <c r="AK412" s="186">
        <v>50000</v>
      </c>
      <c r="AL412" s="147">
        <v>7</v>
      </c>
      <c r="AM412" s="147">
        <f t="shared" si="78"/>
        <v>532</v>
      </c>
      <c r="AN412" s="147">
        <f t="shared" si="79"/>
        <v>26600000</v>
      </c>
      <c r="AO412" s="147"/>
    </row>
    <row r="413" spans="18:46">
      <c r="R413" s="97" t="s">
        <v>5462</v>
      </c>
      <c r="S413" s="93">
        <v>5745697</v>
      </c>
      <c r="U413" s="19" t="s">
        <v>5698</v>
      </c>
      <c r="V413" s="19">
        <v>94</v>
      </c>
      <c r="W413" s="115">
        <v>2337.1980119999998</v>
      </c>
      <c r="X413" s="115">
        <f t="shared" si="75"/>
        <v>219696.613128</v>
      </c>
      <c r="Y413" s="259" t="s">
        <v>5095</v>
      </c>
      <c r="Z413" t="s">
        <v>25</v>
      </c>
      <c r="AA413" t="s">
        <v>25</v>
      </c>
      <c r="AI413" s="20">
        <v>118</v>
      </c>
      <c r="AJ413" s="20" t="s">
        <v>5138</v>
      </c>
      <c r="AK413" s="115">
        <v>-500000</v>
      </c>
      <c r="AL413" s="20">
        <v>12</v>
      </c>
      <c r="AM413" s="20">
        <f t="shared" si="78"/>
        <v>525</v>
      </c>
      <c r="AN413" s="20">
        <f t="shared" si="79"/>
        <v>-262500000</v>
      </c>
      <c r="AO413" s="20"/>
      <c r="AS413" t="s">
        <v>25</v>
      </c>
    </row>
    <row r="414" spans="18:46">
      <c r="R414" s="97" t="s">
        <v>5463</v>
      </c>
      <c r="S414" s="93">
        <v>908158</v>
      </c>
      <c r="U414" s="19" t="s">
        <v>5699</v>
      </c>
      <c r="V414" s="19">
        <v>2534</v>
      </c>
      <c r="W414" s="115">
        <v>2381.7965300000001</v>
      </c>
      <c r="X414" s="115">
        <f t="shared" si="75"/>
        <v>6035472.4070199998</v>
      </c>
      <c r="Y414" s="259" t="s">
        <v>5095</v>
      </c>
      <c r="AI414" s="147">
        <v>119</v>
      </c>
      <c r="AJ414" s="147" t="s">
        <v>974</v>
      </c>
      <c r="AK414" s="186">
        <v>-50000</v>
      </c>
      <c r="AL414" s="147">
        <v>0</v>
      </c>
      <c r="AM414" s="147">
        <f t="shared" si="78"/>
        <v>513</v>
      </c>
      <c r="AN414" s="147">
        <f t="shared" si="79"/>
        <v>-25650000</v>
      </c>
      <c r="AO414" s="147"/>
    </row>
    <row r="415" spans="18:46">
      <c r="R415" s="97" t="s">
        <v>5464</v>
      </c>
      <c r="S415" s="93">
        <v>12642697</v>
      </c>
      <c r="U415" s="19" t="s">
        <v>5700</v>
      </c>
      <c r="V415" s="19">
        <v>424</v>
      </c>
      <c r="W415" s="115">
        <v>2321.9017680000002</v>
      </c>
      <c r="X415" s="115">
        <f t="shared" si="75"/>
        <v>984486.34963200008</v>
      </c>
      <c r="Y415" s="259" t="s">
        <v>5095</v>
      </c>
      <c r="AA415" t="s">
        <v>25</v>
      </c>
      <c r="AI415" s="20">
        <v>120</v>
      </c>
      <c r="AJ415" s="20" t="s">
        <v>974</v>
      </c>
      <c r="AK415" s="115">
        <v>-50000</v>
      </c>
      <c r="AL415" s="20">
        <v>28</v>
      </c>
      <c r="AM415" s="20">
        <f t="shared" si="78"/>
        <v>513</v>
      </c>
      <c r="AN415" s="20">
        <f t="shared" si="79"/>
        <v>-25650000</v>
      </c>
      <c r="AO415" s="20"/>
      <c r="AT415" t="s">
        <v>25</v>
      </c>
    </row>
    <row r="416" spans="18:46">
      <c r="R416" s="97" t="s">
        <v>5465</v>
      </c>
      <c r="S416" s="93">
        <v>12297317.81435</v>
      </c>
      <c r="U416" s="187" t="s">
        <v>5701</v>
      </c>
      <c r="V416" s="187">
        <v>-32</v>
      </c>
      <c r="W416" s="186">
        <v>2221.2123710000001</v>
      </c>
      <c r="X416" s="186">
        <f t="shared" si="75"/>
        <v>-71078.795872000002</v>
      </c>
      <c r="Y416" s="258" t="s">
        <v>5704</v>
      </c>
      <c r="AI416" s="20">
        <v>121</v>
      </c>
      <c r="AJ416" s="20" t="s">
        <v>5179</v>
      </c>
      <c r="AK416" s="115">
        <v>-3020625</v>
      </c>
      <c r="AL416" s="20">
        <v>18</v>
      </c>
      <c r="AM416" s="20">
        <f t="shared" si="78"/>
        <v>485</v>
      </c>
      <c r="AN416" s="20">
        <f t="shared" si="79"/>
        <v>-1465003125</v>
      </c>
      <c r="AO416" s="20"/>
    </row>
    <row r="417" spans="18:46">
      <c r="R417" s="97" t="s">
        <v>5466</v>
      </c>
      <c r="S417" s="93">
        <v>8959643.8508579992</v>
      </c>
      <c r="U417" s="19" t="s">
        <v>5701</v>
      </c>
      <c r="V417" s="19">
        <v>157</v>
      </c>
      <c r="W417" s="115">
        <v>2221.2123710000001</v>
      </c>
      <c r="X417" s="115">
        <f t="shared" si="75"/>
        <v>348730.34224700002</v>
      </c>
      <c r="Y417" s="259" t="s">
        <v>5705</v>
      </c>
      <c r="AI417" s="20">
        <v>122</v>
      </c>
      <c r="AJ417" s="20" t="s">
        <v>5190</v>
      </c>
      <c r="AK417" s="115">
        <v>18000000</v>
      </c>
      <c r="AL417" s="20">
        <v>19</v>
      </c>
      <c r="AM417" s="20">
        <f t="shared" si="78"/>
        <v>467</v>
      </c>
      <c r="AN417" s="20">
        <f t="shared" si="79"/>
        <v>8406000000</v>
      </c>
      <c r="AO417" s="20"/>
      <c r="AS417" t="s">
        <v>25</v>
      </c>
      <c r="AT417" t="s">
        <v>25</v>
      </c>
    </row>
    <row r="418" spans="18:46">
      <c r="R418" s="97" t="s">
        <v>5481</v>
      </c>
      <c r="S418" s="93">
        <v>15154095.839328</v>
      </c>
      <c r="U418" s="19" t="s">
        <v>5701</v>
      </c>
      <c r="V418" s="19">
        <v>965</v>
      </c>
      <c r="W418" s="115">
        <v>2221.2123710000001</v>
      </c>
      <c r="X418" s="115">
        <f t="shared" si="75"/>
        <v>2143469.938015</v>
      </c>
      <c r="Y418" s="259" t="s">
        <v>5095</v>
      </c>
      <c r="AI418" s="20">
        <v>123</v>
      </c>
      <c r="AJ418" s="20" t="s">
        <v>5217</v>
      </c>
      <c r="AK418" s="115">
        <v>2000000</v>
      </c>
      <c r="AL418" s="20">
        <v>6</v>
      </c>
      <c r="AM418" s="20">
        <f t="shared" si="78"/>
        <v>448</v>
      </c>
      <c r="AN418" s="20">
        <f t="shared" si="79"/>
        <v>896000000</v>
      </c>
      <c r="AO418" s="20"/>
    </row>
    <row r="419" spans="18:46">
      <c r="R419" s="97" t="s">
        <v>5482</v>
      </c>
      <c r="S419" s="93">
        <v>50725508.571864001</v>
      </c>
      <c r="T419" t="s">
        <v>25</v>
      </c>
      <c r="U419" s="187" t="s">
        <v>5707</v>
      </c>
      <c r="V419" s="187">
        <v>596</v>
      </c>
      <c r="W419" s="186">
        <v>2180.6765719999999</v>
      </c>
      <c r="X419" s="186">
        <f t="shared" si="75"/>
        <v>1299683.236912</v>
      </c>
      <c r="Y419" s="258" t="s">
        <v>1069</v>
      </c>
      <c r="Z419" t="s">
        <v>25</v>
      </c>
      <c r="AI419" s="147">
        <v>124</v>
      </c>
      <c r="AJ419" s="147" t="s">
        <v>5226</v>
      </c>
      <c r="AK419" s="186">
        <v>40000000</v>
      </c>
      <c r="AL419" s="147">
        <v>6</v>
      </c>
      <c r="AM419" s="147">
        <f t="shared" si="78"/>
        <v>442</v>
      </c>
      <c r="AN419" s="147">
        <f t="shared" si="79"/>
        <v>17680000000</v>
      </c>
      <c r="AO419" s="147"/>
    </row>
    <row r="420" spans="18:46">
      <c r="R420" s="97" t="s">
        <v>5489</v>
      </c>
      <c r="S420" s="93">
        <v>2281961.458596</v>
      </c>
      <c r="U420" s="19" t="s">
        <v>5711</v>
      </c>
      <c r="V420" s="19">
        <v>1355</v>
      </c>
      <c r="W420" s="115">
        <v>2277.0926330000002</v>
      </c>
      <c r="X420" s="115">
        <f t="shared" si="75"/>
        <v>3085460.5177150001</v>
      </c>
      <c r="Y420" s="259" t="s">
        <v>5095</v>
      </c>
      <c r="AI420" s="20">
        <v>125</v>
      </c>
      <c r="AJ420" s="20" t="s">
        <v>5235</v>
      </c>
      <c r="AK420" s="115">
        <v>200000</v>
      </c>
      <c r="AL420" s="20">
        <v>0</v>
      </c>
      <c r="AM420" s="20">
        <f t="shared" si="78"/>
        <v>436</v>
      </c>
      <c r="AN420" s="20">
        <f t="shared" si="79"/>
        <v>87200000</v>
      </c>
      <c r="AO420" s="20"/>
      <c r="AS420" t="s">
        <v>25</v>
      </c>
    </row>
    <row r="421" spans="18:46">
      <c r="R421" s="97" t="s">
        <v>5490</v>
      </c>
      <c r="S421" s="93">
        <v>10998285</v>
      </c>
      <c r="U421" s="19" t="s">
        <v>5712</v>
      </c>
      <c r="V421" s="19">
        <v>3742</v>
      </c>
      <c r="W421" s="115">
        <v>2207.7650429999999</v>
      </c>
      <c r="X421" s="115">
        <f t="shared" si="75"/>
        <v>8261456.790906</v>
      </c>
      <c r="Y421" s="259" t="s">
        <v>5095</v>
      </c>
      <c r="Z421" t="s">
        <v>25</v>
      </c>
      <c r="AI421" s="147">
        <v>126</v>
      </c>
      <c r="AJ421" s="147" t="s">
        <v>5235</v>
      </c>
      <c r="AK421" s="186">
        <v>200000</v>
      </c>
      <c r="AL421" s="147">
        <v>1</v>
      </c>
      <c r="AM421" s="147">
        <f t="shared" si="78"/>
        <v>436</v>
      </c>
      <c r="AN421" s="147">
        <f t="shared" si="79"/>
        <v>87200000</v>
      </c>
      <c r="AO421" s="147"/>
    </row>
    <row r="422" spans="18:46">
      <c r="R422" s="97" t="s">
        <v>5492</v>
      </c>
      <c r="S422" s="93">
        <v>983018.96187300002</v>
      </c>
      <c r="U422" s="19" t="s">
        <v>5713</v>
      </c>
      <c r="V422" s="19">
        <v>3216</v>
      </c>
      <c r="W422" s="115">
        <v>2043.648557</v>
      </c>
      <c r="X422" s="115">
        <f t="shared" si="75"/>
        <v>6572373.7593120001</v>
      </c>
      <c r="Y422" s="259" t="s">
        <v>5095</v>
      </c>
      <c r="AI422" s="20">
        <v>127</v>
      </c>
      <c r="AJ422" s="20" t="s">
        <v>5238</v>
      </c>
      <c r="AK422" s="115">
        <v>50000</v>
      </c>
      <c r="AL422" s="20">
        <v>4</v>
      </c>
      <c r="AM422" s="20">
        <f t="shared" si="78"/>
        <v>435</v>
      </c>
      <c r="AN422" s="20">
        <f t="shared" si="79"/>
        <v>21750000</v>
      </c>
      <c r="AO422" s="20"/>
    </row>
    <row r="423" spans="18:46">
      <c r="R423" s="97" t="s">
        <v>5495</v>
      </c>
      <c r="S423" s="93">
        <v>17049271.032000002</v>
      </c>
      <c r="U423" s="187" t="s">
        <v>5715</v>
      </c>
      <c r="V423" s="187">
        <v>42393</v>
      </c>
      <c r="W423" s="186">
        <v>2124.4852740000001</v>
      </c>
      <c r="X423" s="186">
        <f t="shared" si="75"/>
        <v>90063304.22068201</v>
      </c>
      <c r="Y423" s="258" t="s">
        <v>5716</v>
      </c>
      <c r="Z423" t="s">
        <v>25</v>
      </c>
      <c r="AI423" s="20">
        <v>128</v>
      </c>
      <c r="AJ423" s="20" t="s">
        <v>5240</v>
      </c>
      <c r="AK423" s="115">
        <v>100000</v>
      </c>
      <c r="AL423" s="20">
        <v>9</v>
      </c>
      <c r="AM423" s="20">
        <f t="shared" ref="AM423:AM433" si="80">AL423+AM424</f>
        <v>431</v>
      </c>
      <c r="AN423" s="20">
        <f t="shared" ref="AN423:AN433" si="81">AK423*AM423</f>
        <v>43100000</v>
      </c>
      <c r="AO423" s="20"/>
    </row>
    <row r="424" spans="18:46">
      <c r="R424" s="97" t="s">
        <v>4209</v>
      </c>
      <c r="S424" s="93">
        <v>6829998</v>
      </c>
      <c r="T424" t="s">
        <v>25</v>
      </c>
      <c r="U424" s="19" t="s">
        <v>5717</v>
      </c>
      <c r="V424" s="19">
        <v>1307</v>
      </c>
      <c r="W424" s="115">
        <v>2213.652313</v>
      </c>
      <c r="X424" s="115">
        <f t="shared" si="75"/>
        <v>2893243.5730909999</v>
      </c>
      <c r="Y424" s="259" t="s">
        <v>5095</v>
      </c>
      <c r="AI424" s="20">
        <v>129</v>
      </c>
      <c r="AJ424" s="20" t="s">
        <v>5256</v>
      </c>
      <c r="AK424" s="115">
        <v>-550000</v>
      </c>
      <c r="AL424" s="20">
        <v>5</v>
      </c>
      <c r="AM424" s="20">
        <f t="shared" si="80"/>
        <v>422</v>
      </c>
      <c r="AN424" s="20">
        <f t="shared" si="81"/>
        <v>-232100000</v>
      </c>
      <c r="AO424" s="20"/>
    </row>
    <row r="425" spans="18:46">
      <c r="R425" s="97" t="s">
        <v>5515</v>
      </c>
      <c r="S425" s="93">
        <v>6982608.8207999999</v>
      </c>
      <c r="U425" s="19" t="s">
        <v>5718</v>
      </c>
      <c r="V425" s="19">
        <v>44079</v>
      </c>
      <c r="W425" s="115">
        <v>2155.0411519999998</v>
      </c>
      <c r="X425" s="115">
        <f t="shared" si="75"/>
        <v>94992058.939007998</v>
      </c>
      <c r="Y425" s="259" t="s">
        <v>5095</v>
      </c>
      <c r="Z425" t="s">
        <v>25</v>
      </c>
      <c r="AA425" t="s">
        <v>25</v>
      </c>
      <c r="AI425" s="20">
        <v>130</v>
      </c>
      <c r="AJ425" s="20" t="s">
        <v>5261</v>
      </c>
      <c r="AK425" s="115">
        <v>-29686490</v>
      </c>
      <c r="AL425" s="20">
        <v>1</v>
      </c>
      <c r="AM425" s="20">
        <f t="shared" si="80"/>
        <v>417</v>
      </c>
      <c r="AN425" s="20">
        <f t="shared" si="81"/>
        <v>-12379266330</v>
      </c>
      <c r="AO425" s="20"/>
    </row>
    <row r="426" spans="18:46">
      <c r="R426" s="97" t="s">
        <v>5521</v>
      </c>
      <c r="S426" s="93">
        <v>7510131.0216000006</v>
      </c>
      <c r="U426" s="19" t="s">
        <v>5723</v>
      </c>
      <c r="V426" s="19">
        <v>131</v>
      </c>
      <c r="W426" s="115">
        <v>2099.4040150000001</v>
      </c>
      <c r="X426" s="115">
        <f t="shared" si="75"/>
        <v>275021.925965</v>
      </c>
      <c r="Y426" s="259" t="s">
        <v>5095</v>
      </c>
      <c r="Z426" t="s">
        <v>25</v>
      </c>
      <c r="AI426" s="20">
        <v>131</v>
      </c>
      <c r="AJ426" s="20" t="s">
        <v>5269</v>
      </c>
      <c r="AK426" s="115">
        <v>-9000000</v>
      </c>
      <c r="AL426" s="20">
        <v>8</v>
      </c>
      <c r="AM426" s="20">
        <f t="shared" si="80"/>
        <v>416</v>
      </c>
      <c r="AN426" s="20">
        <f t="shared" si="81"/>
        <v>-3744000000</v>
      </c>
      <c r="AO426" s="20"/>
    </row>
    <row r="427" spans="18:46">
      <c r="R427" s="97" t="s">
        <v>5530</v>
      </c>
      <c r="S427" s="93">
        <v>7278025.5327000003</v>
      </c>
      <c r="U427" s="19" t="s">
        <v>5728</v>
      </c>
      <c r="V427" s="19">
        <v>162</v>
      </c>
      <c r="W427" s="115">
        <v>2021.3081500000001</v>
      </c>
      <c r="X427" s="115">
        <f t="shared" si="75"/>
        <v>327451.9203</v>
      </c>
      <c r="Y427" s="259" t="s">
        <v>5095</v>
      </c>
      <c r="AA427" t="s">
        <v>25</v>
      </c>
      <c r="AI427" s="20">
        <v>132</v>
      </c>
      <c r="AJ427" s="20" t="s">
        <v>5312</v>
      </c>
      <c r="AK427" s="115">
        <v>810000</v>
      </c>
      <c r="AL427" s="20">
        <v>2</v>
      </c>
      <c r="AM427" s="20">
        <f t="shared" si="80"/>
        <v>408</v>
      </c>
      <c r="AN427" s="20">
        <f t="shared" si="81"/>
        <v>330480000</v>
      </c>
      <c r="AO427" s="20"/>
    </row>
    <row r="428" spans="18:46">
      <c r="R428" s="97" t="s">
        <v>5535</v>
      </c>
      <c r="S428" s="93">
        <v>195059.35799999998</v>
      </c>
      <c r="U428" s="19" t="s">
        <v>5738</v>
      </c>
      <c r="V428" s="19">
        <v>131</v>
      </c>
      <c r="W428" s="115">
        <v>1985.358328</v>
      </c>
      <c r="X428" s="115">
        <f t="shared" si="75"/>
        <v>260081.94096800001</v>
      </c>
      <c r="Y428" s="259" t="s">
        <v>5095</v>
      </c>
      <c r="AA428" t="s">
        <v>25</v>
      </c>
      <c r="AI428" s="20">
        <v>133</v>
      </c>
      <c r="AJ428" s="20" t="s">
        <v>5317</v>
      </c>
      <c r="AK428" s="115">
        <v>-5000000</v>
      </c>
      <c r="AL428" s="20">
        <v>3</v>
      </c>
      <c r="AM428" s="20">
        <f t="shared" si="80"/>
        <v>406</v>
      </c>
      <c r="AN428" s="20">
        <f t="shared" si="81"/>
        <v>-2030000000</v>
      </c>
      <c r="AO428" s="20"/>
    </row>
    <row r="429" spans="18:46">
      <c r="R429" s="97" t="s">
        <v>5537</v>
      </c>
      <c r="S429" s="93">
        <v>862577.83200000005</v>
      </c>
      <c r="U429" s="19" t="s">
        <v>5746</v>
      </c>
      <c r="V429" s="19">
        <v>1449</v>
      </c>
      <c r="W429" s="115">
        <v>2007.787806</v>
      </c>
      <c r="X429" s="115">
        <f t="shared" si="75"/>
        <v>2909284.5308940001</v>
      </c>
      <c r="Y429" s="259" t="s">
        <v>5095</v>
      </c>
      <c r="AA429" t="s">
        <v>25</v>
      </c>
      <c r="AI429" s="20">
        <v>134</v>
      </c>
      <c r="AJ429" s="20" t="s">
        <v>5321</v>
      </c>
      <c r="AK429" s="115">
        <v>-26000000</v>
      </c>
      <c r="AL429" s="20">
        <v>0</v>
      </c>
      <c r="AM429" s="20">
        <f t="shared" si="80"/>
        <v>403</v>
      </c>
      <c r="AN429" s="20">
        <f t="shared" si="81"/>
        <v>-10478000000</v>
      </c>
      <c r="AO429" s="20"/>
    </row>
    <row r="430" spans="18:46">
      <c r="R430" s="97" t="s">
        <v>5538</v>
      </c>
      <c r="S430" s="93">
        <v>920308.446</v>
      </c>
      <c r="U430" s="19" t="s">
        <v>5747</v>
      </c>
      <c r="V430" s="19">
        <v>19028</v>
      </c>
      <c r="W430" s="115">
        <v>1982.5102529999999</v>
      </c>
      <c r="X430" s="115">
        <f t="shared" si="75"/>
        <v>37723205.094084002</v>
      </c>
      <c r="Y430" s="259" t="s">
        <v>5095</v>
      </c>
      <c r="Z430" t="s">
        <v>25</v>
      </c>
      <c r="AA430" t="s">
        <v>25</v>
      </c>
      <c r="AI430" s="239">
        <v>135</v>
      </c>
      <c r="AJ430" s="239" t="s">
        <v>5321</v>
      </c>
      <c r="AK430" s="230">
        <v>-26000000</v>
      </c>
      <c r="AL430" s="239">
        <v>1</v>
      </c>
      <c r="AM430" s="239">
        <f t="shared" si="80"/>
        <v>403</v>
      </c>
      <c r="AN430" s="239">
        <f t="shared" si="81"/>
        <v>-10478000000</v>
      </c>
      <c r="AO430" s="239"/>
    </row>
    <row r="431" spans="18:46">
      <c r="R431" s="97" t="s">
        <v>5540</v>
      </c>
      <c r="S431" s="93">
        <v>4635809.8416840006</v>
      </c>
      <c r="U431" s="19" t="s">
        <v>5748</v>
      </c>
      <c r="V431" s="19">
        <v>848</v>
      </c>
      <c r="W431" s="115">
        <v>1768.97966</v>
      </c>
      <c r="X431" s="115">
        <f t="shared" si="75"/>
        <v>1500094.75168</v>
      </c>
      <c r="Y431" s="259" t="s">
        <v>5095</v>
      </c>
      <c r="AI431" s="20">
        <v>136</v>
      </c>
      <c r="AJ431" s="20" t="s">
        <v>5325</v>
      </c>
      <c r="AK431" s="115">
        <v>-81800000</v>
      </c>
      <c r="AL431" s="20">
        <v>0</v>
      </c>
      <c r="AM431" s="20">
        <f t="shared" si="80"/>
        <v>402</v>
      </c>
      <c r="AN431" s="20">
        <f t="shared" si="81"/>
        <v>-32883600000</v>
      </c>
      <c r="AO431" s="20"/>
    </row>
    <row r="432" spans="18:46">
      <c r="R432" s="97" t="s">
        <v>5568</v>
      </c>
      <c r="S432" s="93">
        <v>288892.40000000002</v>
      </c>
      <c r="U432" s="19" t="s">
        <v>5749</v>
      </c>
      <c r="V432" s="19">
        <v>3824</v>
      </c>
      <c r="W432" s="115">
        <v>1890.8547169999999</v>
      </c>
      <c r="X432" s="115">
        <f t="shared" si="75"/>
        <v>7230628.4378079996</v>
      </c>
      <c r="Y432" s="259" t="s">
        <v>5095</v>
      </c>
      <c r="AI432" s="239">
        <v>137</v>
      </c>
      <c r="AJ432" s="239" t="s">
        <v>5325</v>
      </c>
      <c r="AK432" s="230">
        <v>-110000000</v>
      </c>
      <c r="AL432" s="239">
        <v>1</v>
      </c>
      <c r="AM432" s="239">
        <f t="shared" si="80"/>
        <v>402</v>
      </c>
      <c r="AN432" s="239">
        <f t="shared" si="81"/>
        <v>-44220000000</v>
      </c>
      <c r="AO432" s="239"/>
    </row>
    <row r="433" spans="18:46">
      <c r="R433" s="97" t="s">
        <v>5569</v>
      </c>
      <c r="S433" s="93">
        <v>58508002.009000003</v>
      </c>
      <c r="U433" s="19" t="s">
        <v>5751</v>
      </c>
      <c r="V433" s="19">
        <v>14010</v>
      </c>
      <c r="W433" s="115">
        <v>2124.7244390000001</v>
      </c>
      <c r="X433" s="115">
        <f t="shared" si="75"/>
        <v>29767389.390390001</v>
      </c>
      <c r="Y433" s="259" t="s">
        <v>5095</v>
      </c>
      <c r="AI433" s="20">
        <v>138</v>
      </c>
      <c r="AJ433" s="20" t="s">
        <v>5326</v>
      </c>
      <c r="AK433" s="115">
        <v>-34000000</v>
      </c>
      <c r="AL433" s="20">
        <v>0</v>
      </c>
      <c r="AM433" s="20">
        <f t="shared" si="80"/>
        <v>401</v>
      </c>
      <c r="AN433" s="20">
        <f t="shared" si="81"/>
        <v>-13634000000</v>
      </c>
      <c r="AO433" s="20"/>
    </row>
    <row r="434" spans="18:46">
      <c r="R434" s="97" t="s">
        <v>5571</v>
      </c>
      <c r="S434" s="93">
        <v>2245515.5410799999</v>
      </c>
      <c r="U434" s="19" t="s">
        <v>5752</v>
      </c>
      <c r="V434" s="19">
        <v>73</v>
      </c>
      <c r="W434" s="115">
        <v>2076.1678900000002</v>
      </c>
      <c r="X434" s="115">
        <f t="shared" si="75"/>
        <v>151560.25597</v>
      </c>
      <c r="Y434" s="259" t="s">
        <v>5095</v>
      </c>
      <c r="AB434" t="s">
        <v>25</v>
      </c>
      <c r="AI434" s="147">
        <v>139</v>
      </c>
      <c r="AJ434" s="147" t="s">
        <v>5326</v>
      </c>
      <c r="AK434" s="186">
        <v>-23900000</v>
      </c>
      <c r="AL434" s="147">
        <v>5</v>
      </c>
      <c r="AM434" s="147">
        <f t="shared" ref="AM434:AM439" si="82">AL434+AM435</f>
        <v>401</v>
      </c>
      <c r="AN434" s="147">
        <f t="shared" ref="AN434:AN439" si="83">AK434*AM434</f>
        <v>-9583900000</v>
      </c>
      <c r="AO434" s="147"/>
    </row>
    <row r="435" spans="18:46">
      <c r="R435" s="97" t="s">
        <v>5571</v>
      </c>
      <c r="S435" s="93">
        <v>18404699.3442</v>
      </c>
      <c r="U435" s="19" t="s">
        <v>5754</v>
      </c>
      <c r="V435" s="19">
        <v>236</v>
      </c>
      <c r="W435" s="115">
        <v>2039.4867830000001</v>
      </c>
      <c r="X435" s="115">
        <f t="shared" si="75"/>
        <v>481318.88078800001</v>
      </c>
      <c r="Y435" s="259" t="s">
        <v>5095</v>
      </c>
      <c r="AI435" s="20">
        <v>140</v>
      </c>
      <c r="AJ435" s="20" t="s">
        <v>5339</v>
      </c>
      <c r="AK435" s="115">
        <v>1000000</v>
      </c>
      <c r="AL435" s="20">
        <v>0</v>
      </c>
      <c r="AM435" s="20">
        <f t="shared" si="82"/>
        <v>396</v>
      </c>
      <c r="AN435" s="20">
        <f t="shared" si="83"/>
        <v>396000000</v>
      </c>
      <c r="AO435" s="20"/>
      <c r="AR435" t="s">
        <v>25</v>
      </c>
    </row>
    <row r="436" spans="18:46">
      <c r="R436" s="97" t="s">
        <v>5574</v>
      </c>
      <c r="S436" s="93">
        <v>48684800</v>
      </c>
      <c r="U436" s="19" t="s">
        <v>5757</v>
      </c>
      <c r="V436" s="19">
        <v>75</v>
      </c>
      <c r="W436" s="115">
        <v>1950.3675760000001</v>
      </c>
      <c r="X436" s="115">
        <f t="shared" si="75"/>
        <v>146277.56820000001</v>
      </c>
      <c r="Y436" s="259" t="s">
        <v>5095</v>
      </c>
      <c r="AI436" s="147">
        <v>141</v>
      </c>
      <c r="AJ436" s="147" t="s">
        <v>5339</v>
      </c>
      <c r="AK436" s="186">
        <v>1000000</v>
      </c>
      <c r="AL436" s="147">
        <v>4</v>
      </c>
      <c r="AM436" s="147">
        <f t="shared" si="82"/>
        <v>396</v>
      </c>
      <c r="AN436" s="147">
        <f t="shared" si="83"/>
        <v>396000000</v>
      </c>
      <c r="AO436" s="147"/>
    </row>
    <row r="437" spans="18:46">
      <c r="R437" s="97" t="s">
        <v>5576</v>
      </c>
      <c r="S437" s="93">
        <v>2264658.5922190002</v>
      </c>
      <c r="U437" s="19" t="s">
        <v>5769</v>
      </c>
      <c r="V437" s="19">
        <v>232</v>
      </c>
      <c r="W437" s="115">
        <v>1830.5750069999999</v>
      </c>
      <c r="X437" s="115">
        <f t="shared" si="75"/>
        <v>424693.40162399999</v>
      </c>
      <c r="Y437" s="259" t="s">
        <v>5095</v>
      </c>
      <c r="Z437" t="s">
        <v>25</v>
      </c>
      <c r="AI437" s="20">
        <v>142</v>
      </c>
      <c r="AJ437" s="20" t="s">
        <v>5345</v>
      </c>
      <c r="AK437" s="115">
        <v>400000</v>
      </c>
      <c r="AL437" s="20">
        <v>0</v>
      </c>
      <c r="AM437" s="20">
        <f t="shared" si="82"/>
        <v>392</v>
      </c>
      <c r="AN437" s="20">
        <f t="shared" si="83"/>
        <v>156800000</v>
      </c>
      <c r="AO437" s="20"/>
    </row>
    <row r="438" spans="18:46">
      <c r="R438" s="97" t="s">
        <v>5579</v>
      </c>
      <c r="S438" s="93">
        <v>22877413.789960001</v>
      </c>
      <c r="U438" s="19" t="s">
        <v>5772</v>
      </c>
      <c r="V438" s="19">
        <v>308</v>
      </c>
      <c r="W438" s="115">
        <v>1812.728578</v>
      </c>
      <c r="X438" s="115">
        <f t="shared" si="75"/>
        <v>558320.40202399995</v>
      </c>
      <c r="Y438" s="259" t="s">
        <v>5095</v>
      </c>
      <c r="Z438" t="s">
        <v>25</v>
      </c>
      <c r="AI438" s="147">
        <v>143</v>
      </c>
      <c r="AJ438" s="147" t="s">
        <v>5345</v>
      </c>
      <c r="AK438" s="186">
        <v>400000</v>
      </c>
      <c r="AL438" s="147">
        <v>35</v>
      </c>
      <c r="AM438" s="147">
        <f t="shared" si="82"/>
        <v>392</v>
      </c>
      <c r="AN438" s="147">
        <f t="shared" si="83"/>
        <v>156800000</v>
      </c>
      <c r="AO438" s="147"/>
    </row>
    <row r="439" spans="18:46">
      <c r="R439" s="97" t="s">
        <v>5580</v>
      </c>
      <c r="S439" s="93">
        <v>2362539.4373280001</v>
      </c>
      <c r="U439" s="19" t="s">
        <v>5774</v>
      </c>
      <c r="V439" s="19">
        <v>106</v>
      </c>
      <c r="W439" s="115">
        <v>1958.8888869</v>
      </c>
      <c r="X439" s="115">
        <f t="shared" si="75"/>
        <v>207642.22201140001</v>
      </c>
      <c r="Y439" s="259" t="s">
        <v>5095</v>
      </c>
      <c r="AI439" s="20">
        <v>144</v>
      </c>
      <c r="AJ439" s="20" t="s">
        <v>5379</v>
      </c>
      <c r="AK439" s="115">
        <v>3000000</v>
      </c>
      <c r="AL439" s="20">
        <v>0</v>
      </c>
      <c r="AM439" s="20">
        <f t="shared" si="82"/>
        <v>357</v>
      </c>
      <c r="AN439" s="20">
        <f t="shared" si="83"/>
        <v>1071000000</v>
      </c>
      <c r="AO439" s="20"/>
      <c r="AT439" t="s">
        <v>25</v>
      </c>
    </row>
    <row r="440" spans="18:46">
      <c r="R440" s="97" t="s">
        <v>5581</v>
      </c>
      <c r="S440" s="93">
        <v>16042676.656608</v>
      </c>
      <c r="U440" s="19" t="s">
        <v>5796</v>
      </c>
      <c r="V440" s="19">
        <v>17050</v>
      </c>
      <c r="W440" s="115">
        <v>1984.311475</v>
      </c>
      <c r="X440" s="115">
        <f t="shared" si="75"/>
        <v>33832510.64875</v>
      </c>
      <c r="Y440" s="259" t="s">
        <v>5798</v>
      </c>
      <c r="Z440" t="s">
        <v>25</v>
      </c>
      <c r="AB440" t="s">
        <v>25</v>
      </c>
      <c r="AI440" s="147">
        <v>145</v>
      </c>
      <c r="AJ440" s="147" t="s">
        <v>5379</v>
      </c>
      <c r="AK440" s="186">
        <v>2725000</v>
      </c>
      <c r="AL440" s="147">
        <v>19</v>
      </c>
      <c r="AM440" s="147">
        <f t="shared" ref="AM440:AM450" si="84">AL440+AM441</f>
        <v>357</v>
      </c>
      <c r="AN440" s="147">
        <f t="shared" ref="AN440:AN450" si="85">AK440*AM440</f>
        <v>972825000</v>
      </c>
      <c r="AO440" s="147"/>
    </row>
    <row r="441" spans="18:46">
      <c r="R441" s="97" t="s">
        <v>5584</v>
      </c>
      <c r="S441" s="93">
        <v>18403291.448284</v>
      </c>
      <c r="U441" s="19" t="s">
        <v>5796</v>
      </c>
      <c r="V441" s="19">
        <v>17050</v>
      </c>
      <c r="W441" s="115">
        <v>1984.311475</v>
      </c>
      <c r="X441" s="115">
        <f t="shared" si="75"/>
        <v>33832510.64875</v>
      </c>
      <c r="Y441" s="259" t="s">
        <v>5799</v>
      </c>
      <c r="Z441" t="s">
        <v>25</v>
      </c>
      <c r="AI441" s="147">
        <v>146</v>
      </c>
      <c r="AJ441" s="147" t="s">
        <v>5278</v>
      </c>
      <c r="AK441" s="186">
        <v>-8644090</v>
      </c>
      <c r="AL441" s="147">
        <v>0</v>
      </c>
      <c r="AM441" s="147">
        <f t="shared" si="84"/>
        <v>338</v>
      </c>
      <c r="AN441" s="147">
        <f t="shared" si="85"/>
        <v>-2921702420</v>
      </c>
      <c r="AO441" s="147" t="s">
        <v>4725</v>
      </c>
    </row>
    <row r="442" spans="18:46">
      <c r="R442" s="97" t="s">
        <v>5585</v>
      </c>
      <c r="S442" s="93">
        <v>10561447.246918</v>
      </c>
      <c r="U442" s="19" t="s">
        <v>5801</v>
      </c>
      <c r="V442" s="19">
        <v>9659</v>
      </c>
      <c r="W442" s="115">
        <v>2073.8685089999999</v>
      </c>
      <c r="X442" s="115">
        <f t="shared" si="75"/>
        <v>20031495.928431001</v>
      </c>
      <c r="Y442" s="259" t="s">
        <v>5802</v>
      </c>
      <c r="Z442" t="s">
        <v>25</v>
      </c>
      <c r="AI442" s="20">
        <v>147</v>
      </c>
      <c r="AJ442" s="20" t="s">
        <v>5278</v>
      </c>
      <c r="AK442" s="115">
        <v>-65461942</v>
      </c>
      <c r="AL442" s="20">
        <v>1</v>
      </c>
      <c r="AM442" s="20">
        <f t="shared" si="84"/>
        <v>338</v>
      </c>
      <c r="AN442" s="20">
        <f t="shared" si="85"/>
        <v>-22126136396</v>
      </c>
      <c r="AO442" s="20" t="s">
        <v>4725</v>
      </c>
    </row>
    <row r="443" spans="18:46">
      <c r="R443" s="97" t="s">
        <v>5586</v>
      </c>
      <c r="S443" s="93">
        <v>1226811.9176660001</v>
      </c>
      <c r="U443" s="19" t="s">
        <v>5805</v>
      </c>
      <c r="V443" s="19">
        <v>323</v>
      </c>
      <c r="W443" s="115">
        <v>1975.162028</v>
      </c>
      <c r="X443" s="115">
        <f t="shared" si="75"/>
        <v>637977.33504399995</v>
      </c>
      <c r="Y443" s="259" t="s">
        <v>5095</v>
      </c>
      <c r="AI443" s="20">
        <v>148</v>
      </c>
      <c r="AJ443" s="20" t="s">
        <v>5401</v>
      </c>
      <c r="AK443" s="115">
        <v>35000000</v>
      </c>
      <c r="AL443" s="20">
        <v>15</v>
      </c>
      <c r="AM443" s="20">
        <f t="shared" si="84"/>
        <v>337</v>
      </c>
      <c r="AN443" s="20">
        <f t="shared" si="85"/>
        <v>11795000000</v>
      </c>
      <c r="AO443" s="20"/>
    </row>
    <row r="444" spans="18:46">
      <c r="R444" s="97" t="s">
        <v>5591</v>
      </c>
      <c r="S444" s="93">
        <v>39373959.190266006</v>
      </c>
      <c r="U444" s="19" t="s">
        <v>5806</v>
      </c>
      <c r="V444" s="19">
        <v>238</v>
      </c>
      <c r="W444" s="115">
        <v>1960.303598</v>
      </c>
      <c r="X444" s="115">
        <f t="shared" si="75"/>
        <v>466552.25632400002</v>
      </c>
      <c r="Y444" s="259" t="s">
        <v>5095</v>
      </c>
      <c r="AA444" t="s">
        <v>25</v>
      </c>
      <c r="AI444" s="147">
        <v>149</v>
      </c>
      <c r="AJ444" s="147" t="s">
        <v>5420</v>
      </c>
      <c r="AK444" s="186">
        <v>1400000</v>
      </c>
      <c r="AL444" s="147">
        <v>0</v>
      </c>
      <c r="AM444" s="147">
        <f t="shared" si="84"/>
        <v>322</v>
      </c>
      <c r="AN444" s="147">
        <f t="shared" si="85"/>
        <v>450800000</v>
      </c>
      <c r="AO444" s="147"/>
      <c r="AS444" t="s">
        <v>25</v>
      </c>
    </row>
    <row r="445" spans="18:46">
      <c r="R445" s="97" t="s">
        <v>5592</v>
      </c>
      <c r="S445" s="93">
        <v>27703487.063980002</v>
      </c>
      <c r="U445" s="19" t="s">
        <v>5807</v>
      </c>
      <c r="V445" s="19">
        <v>75</v>
      </c>
      <c r="W445" s="115">
        <v>1990.893174</v>
      </c>
      <c r="X445" s="115">
        <f t="shared" si="75"/>
        <v>149316.98805000001</v>
      </c>
      <c r="Y445" s="259" t="s">
        <v>5808</v>
      </c>
      <c r="AA445" t="s">
        <v>25</v>
      </c>
      <c r="AI445" s="20">
        <v>150</v>
      </c>
      <c r="AJ445" s="20" t="s">
        <v>5420</v>
      </c>
      <c r="AK445" s="115">
        <v>1600000</v>
      </c>
      <c r="AL445" s="20">
        <v>1</v>
      </c>
      <c r="AM445" s="20">
        <f t="shared" si="84"/>
        <v>322</v>
      </c>
      <c r="AN445" s="20">
        <f t="shared" si="85"/>
        <v>515200000</v>
      </c>
      <c r="AO445" s="20"/>
    </row>
    <row r="446" spans="18:46">
      <c r="R446" s="97" t="s">
        <v>4182</v>
      </c>
      <c r="S446" s="93">
        <v>8738896.6890719999</v>
      </c>
      <c r="U446" s="19" t="s">
        <v>5807</v>
      </c>
      <c r="V446" s="19">
        <v>95</v>
      </c>
      <c r="W446" s="115">
        <v>1990.893174</v>
      </c>
      <c r="X446" s="115">
        <f t="shared" si="75"/>
        <v>189134.85153000001</v>
      </c>
      <c r="Y446" s="259" t="s">
        <v>5095</v>
      </c>
      <c r="AA446" t="s">
        <v>25</v>
      </c>
      <c r="AI446" s="147">
        <v>151</v>
      </c>
      <c r="AJ446" s="147" t="s">
        <v>5423</v>
      </c>
      <c r="AK446" s="186">
        <v>600000</v>
      </c>
      <c r="AL446" s="147">
        <v>0</v>
      </c>
      <c r="AM446" s="147">
        <f t="shared" si="84"/>
        <v>321</v>
      </c>
      <c r="AN446" s="147">
        <f t="shared" si="85"/>
        <v>192600000</v>
      </c>
      <c r="AO446" s="147" t="s">
        <v>5425</v>
      </c>
      <c r="AR446" t="s">
        <v>25</v>
      </c>
    </row>
    <row r="447" spans="18:46">
      <c r="R447" s="97" t="s">
        <v>5594</v>
      </c>
      <c r="S447" s="93">
        <v>348201.66738</v>
      </c>
      <c r="U447" s="19" t="s">
        <v>5809</v>
      </c>
      <c r="V447" s="19">
        <v>284</v>
      </c>
      <c r="W447" s="115">
        <v>1989.045169</v>
      </c>
      <c r="X447" s="115">
        <f t="shared" si="75"/>
        <v>564888.82799599995</v>
      </c>
      <c r="Y447" s="259" t="s">
        <v>5095</v>
      </c>
      <c r="AA447" t="s">
        <v>25</v>
      </c>
      <c r="AI447" s="20">
        <v>152</v>
      </c>
      <c r="AJ447" s="20" t="s">
        <v>5423</v>
      </c>
      <c r="AK447" s="115">
        <v>600000</v>
      </c>
      <c r="AL447" s="20">
        <v>9</v>
      </c>
      <c r="AM447" s="20">
        <f t="shared" si="84"/>
        <v>321</v>
      </c>
      <c r="AN447" s="20">
        <f t="shared" si="85"/>
        <v>192600000</v>
      </c>
      <c r="AO447" s="20" t="s">
        <v>5425</v>
      </c>
    </row>
    <row r="448" spans="18:46" ht="30">
      <c r="R448" s="97" t="s">
        <v>5598</v>
      </c>
      <c r="S448" s="93">
        <v>4158090.8935679998</v>
      </c>
      <c r="U448" s="187" t="s">
        <v>5812</v>
      </c>
      <c r="V448" s="187">
        <v>11034</v>
      </c>
      <c r="W448" s="186">
        <v>1960.6845390000001</v>
      </c>
      <c r="X448" s="186">
        <f t="shared" si="75"/>
        <v>21634193.203326002</v>
      </c>
      <c r="Y448" s="258" t="s">
        <v>5816</v>
      </c>
      <c r="AA448" t="s">
        <v>25</v>
      </c>
      <c r="AI448" s="20">
        <v>153</v>
      </c>
      <c r="AJ448" s="20" t="s">
        <v>5438</v>
      </c>
      <c r="AK448" s="115">
        <v>20000000</v>
      </c>
      <c r="AL448" s="20">
        <v>23</v>
      </c>
      <c r="AM448" s="20">
        <f t="shared" si="84"/>
        <v>312</v>
      </c>
      <c r="AN448" s="20">
        <f t="shared" si="85"/>
        <v>6240000000</v>
      </c>
      <c r="AO448" s="20" t="s">
        <v>5453</v>
      </c>
    </row>
    <row r="449" spans="18:45" ht="30">
      <c r="R449" s="97" t="s">
        <v>5595</v>
      </c>
      <c r="S449" s="93">
        <v>110770524.97879399</v>
      </c>
      <c r="U449" s="19" t="s">
        <v>5812</v>
      </c>
      <c r="V449" s="19">
        <v>4469</v>
      </c>
      <c r="W449" s="115">
        <v>1960.6845390000001</v>
      </c>
      <c r="X449" s="115">
        <f t="shared" si="75"/>
        <v>8762299.2047910001</v>
      </c>
      <c r="Y449" s="259" t="s">
        <v>5817</v>
      </c>
      <c r="AA449" t="s">
        <v>25</v>
      </c>
      <c r="AI449" s="20">
        <v>154</v>
      </c>
      <c r="AJ449" s="20" t="s">
        <v>5473</v>
      </c>
      <c r="AK449" s="115">
        <v>-46183500</v>
      </c>
      <c r="AL449" s="20">
        <v>0</v>
      </c>
      <c r="AM449" s="20">
        <f t="shared" si="84"/>
        <v>289</v>
      </c>
      <c r="AN449" s="20">
        <f t="shared" si="85"/>
        <v>-13347031500</v>
      </c>
      <c r="AO449" s="20" t="s">
        <v>4846</v>
      </c>
      <c r="AS449" t="s">
        <v>25</v>
      </c>
    </row>
    <row r="450" spans="18:45">
      <c r="R450" s="97" t="s">
        <v>5598</v>
      </c>
      <c r="S450" s="93">
        <v>17900000</v>
      </c>
      <c r="U450" s="19" t="s">
        <v>5812</v>
      </c>
      <c r="V450" s="19">
        <v>-174834</v>
      </c>
      <c r="W450" s="115">
        <v>1955.271154</v>
      </c>
      <c r="X450" s="115">
        <f t="shared" si="75"/>
        <v>-341847876.93843603</v>
      </c>
      <c r="Y450" s="259" t="s">
        <v>5818</v>
      </c>
      <c r="AI450" s="147">
        <v>155</v>
      </c>
      <c r="AJ450" s="147" t="s">
        <v>5473</v>
      </c>
      <c r="AK450" s="186">
        <v>-1812800</v>
      </c>
      <c r="AL450" s="147">
        <v>2</v>
      </c>
      <c r="AM450" s="147">
        <f t="shared" si="84"/>
        <v>289</v>
      </c>
      <c r="AN450" s="147">
        <f t="shared" si="85"/>
        <v>-523899200</v>
      </c>
      <c r="AO450" s="147" t="s">
        <v>4846</v>
      </c>
    </row>
    <row r="451" spans="18:45">
      <c r="R451" s="97" t="s">
        <v>5610</v>
      </c>
      <c r="S451" s="93">
        <v>12114824.927374</v>
      </c>
      <c r="U451" s="19" t="s">
        <v>5812</v>
      </c>
      <c r="V451" s="19">
        <v>-78942</v>
      </c>
      <c r="W451" s="115">
        <v>1955.271154</v>
      </c>
      <c r="X451" s="115">
        <f t="shared" si="75"/>
        <v>-154353015.43906799</v>
      </c>
      <c r="Y451" s="259" t="s">
        <v>5819</v>
      </c>
      <c r="AA451" t="s">
        <v>25</v>
      </c>
      <c r="AG451" s="94" t="s">
        <v>25</v>
      </c>
      <c r="AI451" s="20">
        <v>156</v>
      </c>
      <c r="AJ451" s="20" t="s">
        <v>5477</v>
      </c>
      <c r="AK451" s="115">
        <v>90000</v>
      </c>
      <c r="AL451" s="20">
        <v>0</v>
      </c>
      <c r="AM451" s="20">
        <f t="shared" ref="AM451:AM465" si="86">AL451+AM452</f>
        <v>287</v>
      </c>
      <c r="AN451" s="20">
        <f t="shared" ref="AN451:AN465" si="87">AK451*AM451</f>
        <v>25830000</v>
      </c>
      <c r="AO451" s="20"/>
    </row>
    <row r="452" spans="18:45">
      <c r="R452" s="97" t="s">
        <v>5613</v>
      </c>
      <c r="S452" s="93">
        <v>6684147.0064600008</v>
      </c>
      <c r="U452" s="187" t="s">
        <v>5812</v>
      </c>
      <c r="V452" s="187">
        <v>-11518</v>
      </c>
      <c r="W452" s="186">
        <v>1955.271154</v>
      </c>
      <c r="X452" s="186">
        <f t="shared" si="75"/>
        <v>-22520813.151772</v>
      </c>
      <c r="Y452" s="258" t="s">
        <v>5820</v>
      </c>
      <c r="AB452" t="s">
        <v>25</v>
      </c>
      <c r="AI452" s="147">
        <v>157</v>
      </c>
      <c r="AJ452" s="147" t="s">
        <v>5477</v>
      </c>
      <c r="AK452" s="186">
        <v>60000</v>
      </c>
      <c r="AL452" s="147">
        <v>5</v>
      </c>
      <c r="AM452" s="147">
        <f t="shared" si="86"/>
        <v>287</v>
      </c>
      <c r="AN452" s="147">
        <f t="shared" si="87"/>
        <v>17220000</v>
      </c>
      <c r="AO452" s="147"/>
    </row>
    <row r="453" spans="18:45">
      <c r="R453" s="97" t="s">
        <v>5617</v>
      </c>
      <c r="S453" s="93">
        <v>1826535.2307560001</v>
      </c>
      <c r="U453" s="19" t="s">
        <v>5831</v>
      </c>
      <c r="V453" s="19">
        <v>8622</v>
      </c>
      <c r="W453" s="115">
        <v>1930.4022150000001</v>
      </c>
      <c r="X453" s="115">
        <f t="shared" si="75"/>
        <v>16643927.89773</v>
      </c>
      <c r="Y453" s="259" t="s">
        <v>743</v>
      </c>
      <c r="AA453" t="s">
        <v>25</v>
      </c>
      <c r="AI453" s="20">
        <v>158</v>
      </c>
      <c r="AJ453" s="20" t="s">
        <v>5482</v>
      </c>
      <c r="AK453" s="115">
        <v>50000000</v>
      </c>
      <c r="AL453" s="20">
        <v>29</v>
      </c>
      <c r="AM453" s="20">
        <f t="shared" si="86"/>
        <v>282</v>
      </c>
      <c r="AN453" s="20">
        <f t="shared" si="87"/>
        <v>14100000000</v>
      </c>
      <c r="AO453" s="20" t="s">
        <v>5484</v>
      </c>
    </row>
    <row r="454" spans="18:45">
      <c r="R454" s="97" t="s">
        <v>5619</v>
      </c>
      <c r="S454" s="93">
        <v>3577366.94</v>
      </c>
      <c r="U454" s="19" t="s">
        <v>5832</v>
      </c>
      <c r="V454" s="19">
        <v>17384</v>
      </c>
      <c r="W454" s="115">
        <v>1918.745255</v>
      </c>
      <c r="X454" s="115">
        <f t="shared" si="75"/>
        <v>33355467.51292</v>
      </c>
      <c r="Y454" s="259" t="s">
        <v>743</v>
      </c>
      <c r="Z454" t="s">
        <v>25</v>
      </c>
      <c r="AA454" t="s">
        <v>25</v>
      </c>
      <c r="AI454" s="20">
        <v>159</v>
      </c>
      <c r="AJ454" s="20" t="s">
        <v>5540</v>
      </c>
      <c r="AK454" s="115">
        <v>100000</v>
      </c>
      <c r="AL454" s="20">
        <v>1</v>
      </c>
      <c r="AM454" s="20">
        <f t="shared" si="86"/>
        <v>253</v>
      </c>
      <c r="AN454" s="20">
        <f t="shared" si="87"/>
        <v>25300000</v>
      </c>
      <c r="AO454" s="20"/>
    </row>
    <row r="455" spans="18:45">
      <c r="R455" s="97" t="s">
        <v>5622</v>
      </c>
      <c r="S455" s="93">
        <v>21239029.173567999</v>
      </c>
      <c r="U455" s="19" t="s">
        <v>5835</v>
      </c>
      <c r="V455" s="19">
        <v>133</v>
      </c>
      <c r="W455" s="115">
        <v>1954.8389770000001</v>
      </c>
      <c r="X455" s="115">
        <f t="shared" si="75"/>
        <v>259993.58394100002</v>
      </c>
      <c r="Y455" s="259" t="s">
        <v>5095</v>
      </c>
      <c r="AB455" t="s">
        <v>25</v>
      </c>
      <c r="AI455" s="147">
        <v>160</v>
      </c>
      <c r="AJ455" s="147" t="s">
        <v>5529</v>
      </c>
      <c r="AK455" s="186">
        <v>150000</v>
      </c>
      <c r="AL455" s="147">
        <v>0</v>
      </c>
      <c r="AM455" s="147">
        <f t="shared" si="86"/>
        <v>252</v>
      </c>
      <c r="AN455" s="147">
        <f t="shared" si="87"/>
        <v>37800000</v>
      </c>
      <c r="AO455" s="147"/>
    </row>
    <row r="456" spans="18:45">
      <c r="R456" s="97" t="s">
        <v>5627</v>
      </c>
      <c r="S456" s="93">
        <v>242957252.40163299</v>
      </c>
      <c r="U456" s="19" t="s">
        <v>5836</v>
      </c>
      <c r="V456" s="19">
        <v>140</v>
      </c>
      <c r="W456" s="115">
        <v>1928.2522289999999</v>
      </c>
      <c r="X456" s="115">
        <f t="shared" si="75"/>
        <v>269955.31205999997</v>
      </c>
      <c r="Y456" s="259" t="s">
        <v>5095</v>
      </c>
      <c r="Z456" t="s">
        <v>25</v>
      </c>
      <c r="AI456" s="20">
        <v>161</v>
      </c>
      <c r="AJ456" s="20" t="s">
        <v>5529</v>
      </c>
      <c r="AK456" s="115">
        <v>-683050</v>
      </c>
      <c r="AL456" s="20">
        <v>7</v>
      </c>
      <c r="AM456" s="20">
        <f t="shared" si="86"/>
        <v>252</v>
      </c>
      <c r="AN456" s="20">
        <f t="shared" si="87"/>
        <v>-172128600</v>
      </c>
      <c r="AO456" s="20" t="s">
        <v>5543</v>
      </c>
    </row>
    <row r="457" spans="18:45">
      <c r="R457" s="97" t="s">
        <v>5628</v>
      </c>
      <c r="S457" s="93">
        <v>7357181.2750800001</v>
      </c>
      <c r="U457" s="19" t="s">
        <v>6182</v>
      </c>
      <c r="V457" s="19">
        <v>15839</v>
      </c>
      <c r="W457" s="115">
        <v>1893.9957079999999</v>
      </c>
      <c r="X457" s="115">
        <f t="shared" si="75"/>
        <v>29998998.019012</v>
      </c>
      <c r="Y457" s="259" t="s">
        <v>6181</v>
      </c>
      <c r="AA457" t="s">
        <v>25</v>
      </c>
      <c r="AB457" t="s">
        <v>25</v>
      </c>
      <c r="AI457" s="147">
        <v>162</v>
      </c>
      <c r="AJ457" s="147" t="s">
        <v>5551</v>
      </c>
      <c r="AK457" s="186">
        <v>200000</v>
      </c>
      <c r="AL457" s="147">
        <v>7</v>
      </c>
      <c r="AM457" s="147">
        <f t="shared" si="86"/>
        <v>245</v>
      </c>
      <c r="AN457" s="147">
        <f t="shared" si="87"/>
        <v>49000000</v>
      </c>
      <c r="AO457" s="147"/>
    </row>
    <row r="458" spans="18:45">
      <c r="R458" s="97" t="s">
        <v>5632</v>
      </c>
      <c r="S458" s="93">
        <v>14951411.942400001</v>
      </c>
      <c r="U458" s="19" t="s">
        <v>6185</v>
      </c>
      <c r="V458" s="19">
        <v>26601</v>
      </c>
      <c r="W458" s="115">
        <v>1880.082026</v>
      </c>
      <c r="X458" s="115">
        <f t="shared" si="75"/>
        <v>50012061.973626003</v>
      </c>
      <c r="Y458" s="259" t="s">
        <v>5333</v>
      </c>
      <c r="AI458" s="147">
        <v>163</v>
      </c>
      <c r="AJ458" s="147" t="s">
        <v>5556</v>
      </c>
      <c r="AK458" s="186">
        <v>150000</v>
      </c>
      <c r="AL458" s="147">
        <v>5</v>
      </c>
      <c r="AM458" s="147">
        <f t="shared" si="86"/>
        <v>238</v>
      </c>
      <c r="AN458" s="147">
        <f t="shared" si="87"/>
        <v>35700000</v>
      </c>
      <c r="AO458" s="147"/>
    </row>
    <row r="459" spans="18:45">
      <c r="R459" s="97" t="s">
        <v>5634</v>
      </c>
      <c r="S459" s="93">
        <v>47928209.377011999</v>
      </c>
      <c r="U459" s="187" t="s">
        <v>6185</v>
      </c>
      <c r="V459" s="187">
        <v>10637</v>
      </c>
      <c r="W459" s="186">
        <v>1880.082026</v>
      </c>
      <c r="X459" s="186">
        <f t="shared" si="75"/>
        <v>19998432.510561999</v>
      </c>
      <c r="Y459" s="258" t="s">
        <v>6186</v>
      </c>
      <c r="Z459" t="s">
        <v>25</v>
      </c>
      <c r="AI459" s="20">
        <v>164</v>
      </c>
      <c r="AJ459" s="20" t="s">
        <v>5559</v>
      </c>
      <c r="AK459" s="115">
        <v>320000</v>
      </c>
      <c r="AL459" s="20">
        <v>2</v>
      </c>
      <c r="AM459" s="20">
        <f t="shared" si="86"/>
        <v>233</v>
      </c>
      <c r="AN459" s="20">
        <f t="shared" si="87"/>
        <v>74560000</v>
      </c>
      <c r="AO459" s="20"/>
    </row>
    <row r="460" spans="18:45">
      <c r="R460" s="97" t="s">
        <v>5636</v>
      </c>
      <c r="S460" s="93">
        <v>2281595.69937</v>
      </c>
      <c r="U460" s="19" t="s">
        <v>6191</v>
      </c>
      <c r="V460" s="19">
        <v>306</v>
      </c>
      <c r="W460" s="115">
        <v>1831.8117119999999</v>
      </c>
      <c r="X460" s="115">
        <f t="shared" si="75"/>
        <v>560534.38387200003</v>
      </c>
      <c r="Y460" s="259" t="s">
        <v>5095</v>
      </c>
      <c r="Z460" t="s">
        <v>25</v>
      </c>
      <c r="AI460" s="20">
        <v>165</v>
      </c>
      <c r="AJ460" s="20" t="s">
        <v>5560</v>
      </c>
      <c r="AK460" s="115">
        <v>200000</v>
      </c>
      <c r="AL460" s="20">
        <v>29</v>
      </c>
      <c r="AM460" s="20">
        <f t="shared" si="86"/>
        <v>231</v>
      </c>
      <c r="AN460" s="20">
        <f t="shared" si="87"/>
        <v>46200000</v>
      </c>
      <c r="AO460" s="20"/>
    </row>
    <row r="461" spans="18:45">
      <c r="R461" s="97" t="s">
        <v>5637</v>
      </c>
      <c r="S461" s="93">
        <v>2964916.035069</v>
      </c>
      <c r="U461" s="19" t="s">
        <v>6193</v>
      </c>
      <c r="V461" s="19">
        <v>325</v>
      </c>
      <c r="W461" s="115">
        <v>1789.1845169999999</v>
      </c>
      <c r="X461" s="115">
        <f t="shared" si="75"/>
        <v>581484.96802499995</v>
      </c>
      <c r="Y461" s="259" t="s">
        <v>5095</v>
      </c>
      <c r="AA461" t="s">
        <v>25</v>
      </c>
      <c r="AI461" s="20">
        <v>166</v>
      </c>
      <c r="AJ461" s="20" t="s">
        <v>5595</v>
      </c>
      <c r="AK461" s="115">
        <v>4200000</v>
      </c>
      <c r="AL461" s="20">
        <v>0</v>
      </c>
      <c r="AM461" s="20">
        <f t="shared" si="86"/>
        <v>202</v>
      </c>
      <c r="AN461" s="20">
        <f t="shared" si="87"/>
        <v>848400000</v>
      </c>
      <c r="AO461" s="20"/>
    </row>
    <row r="462" spans="18:45">
      <c r="R462" s="97" t="s">
        <v>5639</v>
      </c>
      <c r="S462" s="93">
        <v>6460549.4269619994</v>
      </c>
      <c r="U462" s="19" t="s">
        <v>6195</v>
      </c>
      <c r="V462" s="19">
        <v>1154</v>
      </c>
      <c r="W462" s="115">
        <v>1851.788857</v>
      </c>
      <c r="X462" s="115">
        <f t="shared" si="75"/>
        <v>2136964.3409779998</v>
      </c>
      <c r="Y462" s="259" t="s">
        <v>5095</v>
      </c>
      <c r="AA462" t="s">
        <v>25</v>
      </c>
      <c r="AI462" s="147">
        <v>167</v>
      </c>
      <c r="AJ462" s="147" t="s">
        <v>5595</v>
      </c>
      <c r="AK462" s="186">
        <v>3300000</v>
      </c>
      <c r="AL462" s="147">
        <v>11</v>
      </c>
      <c r="AM462" s="147">
        <f t="shared" si="86"/>
        <v>202</v>
      </c>
      <c r="AN462" s="147">
        <f t="shared" si="87"/>
        <v>666600000</v>
      </c>
      <c r="AO462" s="147"/>
    </row>
    <row r="463" spans="18:45" ht="30">
      <c r="R463" s="97" t="s">
        <v>5642</v>
      </c>
      <c r="S463" s="93">
        <v>5212319.8968359996</v>
      </c>
      <c r="U463" s="19" t="s">
        <v>6195</v>
      </c>
      <c r="V463" s="19">
        <v>3240</v>
      </c>
      <c r="W463" s="115">
        <v>1851.788857</v>
      </c>
      <c r="X463" s="115">
        <f t="shared" si="75"/>
        <v>5999795.8966800002</v>
      </c>
      <c r="Y463" s="259" t="s">
        <v>6196</v>
      </c>
      <c r="AB463" t="s">
        <v>25</v>
      </c>
      <c r="AI463" s="147">
        <v>168</v>
      </c>
      <c r="AJ463" s="147" t="s">
        <v>5619</v>
      </c>
      <c r="AK463" s="186">
        <v>-1500000</v>
      </c>
      <c r="AL463" s="147">
        <v>42</v>
      </c>
      <c r="AM463" s="147">
        <f t="shared" si="86"/>
        <v>191</v>
      </c>
      <c r="AN463" s="147">
        <f t="shared" si="87"/>
        <v>-286500000</v>
      </c>
      <c r="AO463" s="147"/>
    </row>
    <row r="464" spans="18:45">
      <c r="R464" s="97" t="s">
        <v>5644</v>
      </c>
      <c r="S464" s="93">
        <v>4524496.4792809999</v>
      </c>
      <c r="U464" s="19" t="s">
        <v>6195</v>
      </c>
      <c r="V464" s="19">
        <v>-3240</v>
      </c>
      <c r="W464" s="115">
        <v>1851.788857</v>
      </c>
      <c r="X464" s="115">
        <f t="shared" si="75"/>
        <v>-5999795.8966800002</v>
      </c>
      <c r="Y464" s="259" t="s">
        <v>6197</v>
      </c>
      <c r="AA464" t="s">
        <v>25</v>
      </c>
      <c r="AI464" s="20">
        <v>169</v>
      </c>
      <c r="AJ464" s="20" t="s">
        <v>5665</v>
      </c>
      <c r="AK464" s="115">
        <v>260000</v>
      </c>
      <c r="AL464" s="20">
        <v>22</v>
      </c>
      <c r="AM464" s="20">
        <f t="shared" si="86"/>
        <v>149</v>
      </c>
      <c r="AN464" s="20">
        <f t="shared" si="87"/>
        <v>38740000</v>
      </c>
      <c r="AO464" s="20"/>
      <c r="AS464" t="s">
        <v>25</v>
      </c>
    </row>
    <row r="465" spans="18:46">
      <c r="R465" s="97" t="s">
        <v>5646</v>
      </c>
      <c r="S465" s="93">
        <v>22866040.240959998</v>
      </c>
      <c r="U465" s="19" t="s">
        <v>6198</v>
      </c>
      <c r="V465" s="19">
        <v>330</v>
      </c>
      <c r="W465" s="115">
        <v>1799.34311</v>
      </c>
      <c r="X465" s="115">
        <f t="shared" si="75"/>
        <v>593783.22629999998</v>
      </c>
      <c r="Y465" s="259" t="s">
        <v>5095</v>
      </c>
      <c r="AB465" t="s">
        <v>25</v>
      </c>
      <c r="AI465" s="20">
        <v>170</v>
      </c>
      <c r="AJ465" s="20" t="s">
        <v>5693</v>
      </c>
      <c r="AK465" s="115">
        <v>20000</v>
      </c>
      <c r="AL465" s="20">
        <v>0</v>
      </c>
      <c r="AM465" s="20">
        <f t="shared" si="86"/>
        <v>127</v>
      </c>
      <c r="AN465" s="20">
        <f t="shared" si="87"/>
        <v>2540000</v>
      </c>
      <c r="AO465" s="20"/>
      <c r="AS465" t="s">
        <v>25</v>
      </c>
    </row>
    <row r="466" spans="18:46">
      <c r="R466" s="97" t="s">
        <v>5648</v>
      </c>
      <c r="S466" s="93">
        <v>15359304.269892</v>
      </c>
      <c r="U466" s="19" t="s">
        <v>6202</v>
      </c>
      <c r="V466" s="19">
        <v>266</v>
      </c>
      <c r="W466" s="115">
        <v>1764.9246700000001</v>
      </c>
      <c r="X466" s="115">
        <f t="shared" si="75"/>
        <v>469469.96222000004</v>
      </c>
      <c r="Y466" s="259" t="s">
        <v>5095</v>
      </c>
      <c r="Z466" t="s">
        <v>25</v>
      </c>
      <c r="AI466" s="191">
        <v>171</v>
      </c>
      <c r="AJ466" s="191" t="s">
        <v>5693</v>
      </c>
      <c r="AK466" s="192">
        <v>20000</v>
      </c>
      <c r="AL466" s="191">
        <v>7</v>
      </c>
      <c r="AM466" s="147">
        <f t="shared" ref="AM466:AM474" si="88">AL466+AM467</f>
        <v>127</v>
      </c>
      <c r="AN466" s="147">
        <f>AK466*AM466</f>
        <v>2540000</v>
      </c>
      <c r="AO466" s="191"/>
    </row>
    <row r="467" spans="18:46">
      <c r="R467" s="97" t="s">
        <v>5649</v>
      </c>
      <c r="S467" s="93">
        <v>2868508.1846330003</v>
      </c>
      <c r="U467" s="187" t="s">
        <v>6206</v>
      </c>
      <c r="V467" s="187">
        <v>-10637</v>
      </c>
      <c r="W467" s="186">
        <v>1739.5916549999999</v>
      </c>
      <c r="X467" s="186">
        <f t="shared" si="75"/>
        <v>-18504036.434234999</v>
      </c>
      <c r="Y467" s="258" t="s">
        <v>6209</v>
      </c>
      <c r="Z467" t="s">
        <v>25</v>
      </c>
      <c r="AB467" t="s">
        <v>25</v>
      </c>
      <c r="AI467" s="147">
        <v>172</v>
      </c>
      <c r="AJ467" s="147" t="s">
        <v>5701</v>
      </c>
      <c r="AK467" s="186">
        <v>70000</v>
      </c>
      <c r="AL467" s="147">
        <v>0</v>
      </c>
      <c r="AM467" s="147">
        <f t="shared" si="88"/>
        <v>120</v>
      </c>
      <c r="AN467" s="147">
        <f>AK467*AM467</f>
        <v>8400000</v>
      </c>
      <c r="AO467" s="147"/>
      <c r="AT467" t="s">
        <v>25</v>
      </c>
    </row>
    <row r="468" spans="18:46">
      <c r="R468" s="97" t="s">
        <v>5650</v>
      </c>
      <c r="S468" s="93">
        <v>17450393.011856001</v>
      </c>
      <c r="U468" s="19" t="s">
        <v>6206</v>
      </c>
      <c r="V468" s="19">
        <v>10637</v>
      </c>
      <c r="W468" s="115">
        <v>1739.5916549999999</v>
      </c>
      <c r="X468" s="115">
        <f t="shared" si="75"/>
        <v>18504036.434234999</v>
      </c>
      <c r="Y468" s="259" t="s">
        <v>6210</v>
      </c>
      <c r="AB468" t="s">
        <v>25</v>
      </c>
      <c r="AI468" s="20">
        <v>173</v>
      </c>
      <c r="AJ468" s="20" t="s">
        <v>5701</v>
      </c>
      <c r="AK468" s="115">
        <v>70000</v>
      </c>
      <c r="AL468" s="20">
        <v>1</v>
      </c>
      <c r="AM468" s="20">
        <f t="shared" si="88"/>
        <v>120</v>
      </c>
      <c r="AN468" s="20">
        <f>AK468*AM468</f>
        <v>8400000</v>
      </c>
      <c r="AO468" s="20"/>
    </row>
    <row r="469" spans="18:46" ht="30">
      <c r="R469" s="97" t="s">
        <v>5651</v>
      </c>
      <c r="S469" s="93">
        <v>31388943.254850004</v>
      </c>
      <c r="U469" s="19" t="s">
        <v>6232</v>
      </c>
      <c r="V469" s="19">
        <v>39478</v>
      </c>
      <c r="W469" s="115">
        <v>1873.903047</v>
      </c>
      <c r="X469" s="115">
        <f t="shared" si="75"/>
        <v>73977944.489465997</v>
      </c>
      <c r="Y469" s="259" t="s">
        <v>6233</v>
      </c>
      <c r="AI469" s="20">
        <v>174</v>
      </c>
      <c r="AJ469" s="20" t="s">
        <v>5707</v>
      </c>
      <c r="AK469" s="115">
        <v>330000</v>
      </c>
      <c r="AL469" s="20">
        <v>0</v>
      </c>
      <c r="AM469" s="20">
        <f t="shared" si="88"/>
        <v>119</v>
      </c>
      <c r="AN469" s="20">
        <f>AK469*AM469</f>
        <v>39270000</v>
      </c>
      <c r="AO469" s="20"/>
    </row>
    <row r="470" spans="18:46">
      <c r="R470" s="97" t="s">
        <v>5653</v>
      </c>
      <c r="S470" s="93">
        <v>30912095.373174001</v>
      </c>
      <c r="U470" s="19" t="s">
        <v>6236</v>
      </c>
      <c r="V470" s="19">
        <v>283</v>
      </c>
      <c r="W470" s="115">
        <v>2014.7222959999999</v>
      </c>
      <c r="X470" s="115">
        <f t="shared" si="75"/>
        <v>570166.40976800001</v>
      </c>
      <c r="Y470" s="259" t="s">
        <v>6237</v>
      </c>
      <c r="Z470" t="s">
        <v>25</v>
      </c>
      <c r="AB470" t="s">
        <v>25</v>
      </c>
      <c r="AI470" s="147">
        <v>175</v>
      </c>
      <c r="AJ470" s="147" t="s">
        <v>5707</v>
      </c>
      <c r="AK470" s="186">
        <v>330000</v>
      </c>
      <c r="AL470" s="147">
        <v>10</v>
      </c>
      <c r="AM470" s="147">
        <f t="shared" si="88"/>
        <v>119</v>
      </c>
      <c r="AN470" s="147">
        <f t="shared" ref="AN470:AN475" si="89">AK470*AM470</f>
        <v>39270000</v>
      </c>
      <c r="AO470" s="147"/>
    </row>
    <row r="471" spans="18:46">
      <c r="R471" s="97" t="s">
        <v>5657</v>
      </c>
      <c r="S471" s="93">
        <v>19602926.115093999</v>
      </c>
      <c r="U471" s="19" t="s">
        <v>6239</v>
      </c>
      <c r="V471" s="19">
        <v>1704</v>
      </c>
      <c r="W471" s="115">
        <v>2104.0605820000001</v>
      </c>
      <c r="X471" s="115">
        <f t="shared" si="75"/>
        <v>3585319.2317280001</v>
      </c>
      <c r="Y471" s="259" t="s">
        <v>5095</v>
      </c>
      <c r="AA471" t="s">
        <v>25</v>
      </c>
      <c r="AB471" t="s">
        <v>25</v>
      </c>
      <c r="AI471" s="147">
        <v>176</v>
      </c>
      <c r="AJ471" s="147" t="s">
        <v>5715</v>
      </c>
      <c r="AK471" s="186">
        <v>90000000</v>
      </c>
      <c r="AL471" s="147">
        <v>16</v>
      </c>
      <c r="AM471" s="147">
        <f t="shared" si="88"/>
        <v>109</v>
      </c>
      <c r="AN471" s="147">
        <f t="shared" si="89"/>
        <v>9810000000</v>
      </c>
      <c r="AO471" s="147"/>
    </row>
    <row r="472" spans="18:46">
      <c r="R472" s="97" t="s">
        <v>5659</v>
      </c>
      <c r="S472" s="93">
        <v>34458590.308710001</v>
      </c>
      <c r="U472" s="19" t="s">
        <v>6242</v>
      </c>
      <c r="V472" s="19">
        <v>324</v>
      </c>
      <c r="W472" s="115">
        <v>2088.5824040000002</v>
      </c>
      <c r="X472" s="115">
        <f t="shared" si="75"/>
        <v>676700.69889600005</v>
      </c>
      <c r="Y472" s="259" t="s">
        <v>5095</v>
      </c>
      <c r="Z472" t="s">
        <v>25</v>
      </c>
      <c r="AA472" t="s">
        <v>25</v>
      </c>
      <c r="AB472" t="s">
        <v>25</v>
      </c>
      <c r="AI472" s="147">
        <v>177</v>
      </c>
      <c r="AJ472" s="147" t="s">
        <v>5736</v>
      </c>
      <c r="AK472" s="186">
        <v>-15000000</v>
      </c>
      <c r="AL472" s="147">
        <v>65</v>
      </c>
      <c r="AM472" s="147">
        <f t="shared" si="88"/>
        <v>93</v>
      </c>
      <c r="AN472" s="147">
        <f t="shared" si="89"/>
        <v>-1395000000</v>
      </c>
      <c r="AO472" s="147" t="s">
        <v>5737</v>
      </c>
    </row>
    <row r="473" spans="18:46">
      <c r="R473" s="97" t="s">
        <v>5661</v>
      </c>
      <c r="S473" s="93">
        <v>21697868.203256</v>
      </c>
      <c r="U473" s="19" t="s">
        <v>6250</v>
      </c>
      <c r="V473" s="19">
        <v>538</v>
      </c>
      <c r="W473" s="115">
        <v>2055.3485930000002</v>
      </c>
      <c r="X473" s="115">
        <f t="shared" si="75"/>
        <v>1105777.5430340001</v>
      </c>
      <c r="Y473" s="259" t="s">
        <v>5095</v>
      </c>
      <c r="Z473" t="s">
        <v>25</v>
      </c>
      <c r="AI473" s="147">
        <v>178</v>
      </c>
      <c r="AJ473" s="147" t="s">
        <v>5796</v>
      </c>
      <c r="AK473" s="186">
        <v>33833075</v>
      </c>
      <c r="AL473" s="147">
        <v>0</v>
      </c>
      <c r="AM473" s="147">
        <f t="shared" si="88"/>
        <v>28</v>
      </c>
      <c r="AN473" s="147">
        <f t="shared" si="89"/>
        <v>947326100</v>
      </c>
      <c r="AO473" s="147" t="s">
        <v>5800</v>
      </c>
    </row>
    <row r="474" spans="18:46">
      <c r="R474" s="97" t="s">
        <v>5662</v>
      </c>
      <c r="S474" s="93">
        <v>25340079.252110001</v>
      </c>
      <c r="U474" s="19" t="s">
        <v>6253</v>
      </c>
      <c r="V474" s="19">
        <v>1031</v>
      </c>
      <c r="W474" s="115">
        <v>2245.620621</v>
      </c>
      <c r="X474" s="115">
        <f t="shared" si="75"/>
        <v>2315234.8602510002</v>
      </c>
      <c r="Y474" s="259" t="s">
        <v>5095</v>
      </c>
      <c r="Z474" t="s">
        <v>25</v>
      </c>
      <c r="AB474" t="s">
        <v>25</v>
      </c>
      <c r="AI474" s="20">
        <v>197</v>
      </c>
      <c r="AJ474" s="20" t="s">
        <v>5796</v>
      </c>
      <c r="AK474" s="115">
        <v>20033075</v>
      </c>
      <c r="AL474" s="20">
        <v>28</v>
      </c>
      <c r="AM474" s="20">
        <f t="shared" si="88"/>
        <v>28</v>
      </c>
      <c r="AN474" s="20">
        <f t="shared" si="89"/>
        <v>560926100</v>
      </c>
      <c r="AO474" s="20" t="s">
        <v>5800</v>
      </c>
    </row>
    <row r="475" spans="18:46">
      <c r="R475" s="97" t="s">
        <v>5665</v>
      </c>
      <c r="S475" s="93">
        <v>14780983.183526</v>
      </c>
      <c r="U475" s="19" t="s">
        <v>6254</v>
      </c>
      <c r="V475" s="19">
        <v>1804</v>
      </c>
      <c r="W475" s="115">
        <v>2292.882846</v>
      </c>
      <c r="X475" s="115">
        <f t="shared" si="75"/>
        <v>4136360.6541840001</v>
      </c>
      <c r="Y475" s="259" t="s">
        <v>5095</v>
      </c>
      <c r="AB475" t="s">
        <v>25</v>
      </c>
      <c r="AI475" s="147">
        <v>198</v>
      </c>
      <c r="AJ475" s="147" t="s">
        <v>5812</v>
      </c>
      <c r="AK475" s="186">
        <v>-22520813.151772</v>
      </c>
      <c r="AL475" s="147">
        <v>0</v>
      </c>
      <c r="AM475" s="147">
        <f>AL475+AM503</f>
        <v>0</v>
      </c>
      <c r="AN475" s="147">
        <f t="shared" si="89"/>
        <v>0</v>
      </c>
      <c r="AO475" s="147" t="s">
        <v>5820</v>
      </c>
    </row>
    <row r="476" spans="18:46">
      <c r="R476" s="97" t="s">
        <v>5665</v>
      </c>
      <c r="S476" s="93">
        <v>17804396.448481999</v>
      </c>
      <c r="U476" s="19" t="s">
        <v>6256</v>
      </c>
      <c r="V476" s="19">
        <v>1348</v>
      </c>
      <c r="W476" s="115">
        <v>2252.0137020000002</v>
      </c>
      <c r="X476" s="115">
        <f t="shared" si="75"/>
        <v>3035714.4702960001</v>
      </c>
      <c r="Y476" s="259" t="s">
        <v>5095</v>
      </c>
      <c r="AI476" s="20">
        <v>199</v>
      </c>
      <c r="AJ476" s="20" t="s">
        <v>5812</v>
      </c>
      <c r="AK476" s="115">
        <v>-204353015</v>
      </c>
      <c r="AL476" s="20">
        <v>0</v>
      </c>
      <c r="AM476" s="20">
        <f t="shared" ref="AM476:AM479" si="90">AL476+AM477</f>
        <v>383</v>
      </c>
      <c r="AN476" s="20">
        <f t="shared" ref="AN476:AN479" si="91">AK476*AM476</f>
        <v>-78267204745</v>
      </c>
      <c r="AO476" s="20" t="s">
        <v>5821</v>
      </c>
    </row>
    <row r="477" spans="18:46">
      <c r="R477" s="97" t="s">
        <v>5668</v>
      </c>
      <c r="S477" s="93">
        <v>260260000</v>
      </c>
      <c r="U477" s="19" t="s">
        <v>6263</v>
      </c>
      <c r="V477" s="19">
        <v>-76536</v>
      </c>
      <c r="W477" s="115">
        <v>2350.6086869999999</v>
      </c>
      <c r="X477" s="115">
        <f t="shared" si="75"/>
        <v>-179906186.46823201</v>
      </c>
      <c r="Y477" s="259" t="s">
        <v>6265</v>
      </c>
      <c r="AI477" s="20">
        <v>200</v>
      </c>
      <c r="AJ477" s="20" t="s">
        <v>5812</v>
      </c>
      <c r="AK477" s="115">
        <v>50000000</v>
      </c>
      <c r="AL477" s="20">
        <v>1</v>
      </c>
      <c r="AM477" s="20">
        <f t="shared" si="90"/>
        <v>383</v>
      </c>
      <c r="AN477" s="20">
        <f t="shared" si="91"/>
        <v>19150000000</v>
      </c>
      <c r="AO477" s="20" t="s">
        <v>5822</v>
      </c>
    </row>
    <row r="478" spans="18:46">
      <c r="R478" s="97" t="s">
        <v>5669</v>
      </c>
      <c r="S478" s="93">
        <v>11538335.631417999</v>
      </c>
      <c r="U478" s="19" t="s">
        <v>6267</v>
      </c>
      <c r="V478" s="19">
        <v>145</v>
      </c>
      <c r="W478" s="115">
        <v>2379.7882030000001</v>
      </c>
      <c r="X478" s="115">
        <f t="shared" si="75"/>
        <v>345069.28943499998</v>
      </c>
      <c r="Y478" s="259" t="s">
        <v>5095</v>
      </c>
      <c r="Z478" t="s">
        <v>25</v>
      </c>
      <c r="AB478" t="s">
        <v>25</v>
      </c>
      <c r="AI478" s="20">
        <v>201</v>
      </c>
      <c r="AJ478" s="20" t="s">
        <v>5828</v>
      </c>
      <c r="AK478" s="115">
        <v>50000000</v>
      </c>
      <c r="AL478" s="20">
        <v>8</v>
      </c>
      <c r="AM478" s="20">
        <f t="shared" si="90"/>
        <v>382</v>
      </c>
      <c r="AN478" s="20">
        <f t="shared" si="91"/>
        <v>19100000000</v>
      </c>
      <c r="AO478" s="20" t="s">
        <v>5822</v>
      </c>
      <c r="AT478" t="s">
        <v>25</v>
      </c>
    </row>
    <row r="479" spans="18:46">
      <c r="R479" s="97" t="s">
        <v>5677</v>
      </c>
      <c r="S479" s="93">
        <v>12429517.767776001</v>
      </c>
      <c r="U479" s="187" t="s">
        <v>6267</v>
      </c>
      <c r="V479" s="187">
        <v>55</v>
      </c>
      <c r="W479" s="186">
        <v>2379.7882030000001</v>
      </c>
      <c r="X479" s="186">
        <f t="shared" si="75"/>
        <v>130888.351165</v>
      </c>
      <c r="Y479" s="258" t="s">
        <v>6352</v>
      </c>
      <c r="AA479" t="s">
        <v>25</v>
      </c>
      <c r="AI479" s="20">
        <v>202</v>
      </c>
      <c r="AJ479" s="20" t="s">
        <v>6180</v>
      </c>
      <c r="AK479" s="115">
        <v>30000000</v>
      </c>
      <c r="AL479" s="20">
        <v>2</v>
      </c>
      <c r="AM479" s="20">
        <f t="shared" si="90"/>
        <v>374</v>
      </c>
      <c r="AN479" s="20">
        <f t="shared" si="91"/>
        <v>11220000000</v>
      </c>
      <c r="AO479" s="20" t="s">
        <v>6181</v>
      </c>
    </row>
    <row r="480" spans="18:46">
      <c r="R480" s="97" t="s">
        <v>5679</v>
      </c>
      <c r="S480" s="93">
        <v>5031176.5087869996</v>
      </c>
      <c r="U480" s="19" t="s">
        <v>6267</v>
      </c>
      <c r="V480" s="19">
        <v>53</v>
      </c>
      <c r="W480" s="115">
        <v>2379.7882030000001</v>
      </c>
      <c r="X480" s="115">
        <f t="shared" si="75"/>
        <v>126128.77475900001</v>
      </c>
      <c r="Y480" s="259" t="s">
        <v>6353</v>
      </c>
      <c r="AA480" t="s">
        <v>25</v>
      </c>
      <c r="AI480" s="147">
        <v>203</v>
      </c>
      <c r="AJ480" s="147" t="s">
        <v>6185</v>
      </c>
      <c r="AK480" s="186">
        <v>20000000</v>
      </c>
      <c r="AL480" s="147">
        <v>29</v>
      </c>
      <c r="AM480" s="147">
        <f t="shared" ref="AM480:AM489" si="92">AL480+AM481</f>
        <v>372</v>
      </c>
      <c r="AN480" s="147">
        <f t="shared" ref="AN480:AN489" si="93">AK480*AM480</f>
        <v>7440000000</v>
      </c>
      <c r="AO480" s="147" t="s">
        <v>6186</v>
      </c>
    </row>
    <row r="481" spans="18:47">
      <c r="R481" s="97" t="s">
        <v>5683</v>
      </c>
      <c r="S481" s="93">
        <v>6822803.9080700008</v>
      </c>
      <c r="U481" s="19" t="s">
        <v>6358</v>
      </c>
      <c r="V481" s="19">
        <v>243</v>
      </c>
      <c r="W481" s="115">
        <v>2336.5653440000001</v>
      </c>
      <c r="X481" s="115">
        <f t="shared" si="75"/>
        <v>567785.37859199999</v>
      </c>
      <c r="Y481" s="259" t="s">
        <v>5095</v>
      </c>
      <c r="AI481" s="147">
        <v>204</v>
      </c>
      <c r="AJ481" s="147" t="s">
        <v>6206</v>
      </c>
      <c r="AK481" s="186">
        <v>-20000000</v>
      </c>
      <c r="AL481" s="147">
        <v>0</v>
      </c>
      <c r="AM481" s="147">
        <f t="shared" si="92"/>
        <v>343</v>
      </c>
      <c r="AN481" s="147">
        <f t="shared" si="93"/>
        <v>-6860000000</v>
      </c>
      <c r="AO481" s="147" t="s">
        <v>6207</v>
      </c>
    </row>
    <row r="482" spans="18:47">
      <c r="R482" s="97" t="s">
        <v>5692</v>
      </c>
      <c r="S482" s="93">
        <v>330889.73324399994</v>
      </c>
      <c r="U482" s="19" t="s">
        <v>6369</v>
      </c>
      <c r="V482" s="19">
        <v>81</v>
      </c>
      <c r="W482" s="115">
        <v>2341.77675</v>
      </c>
      <c r="X482" s="115">
        <f t="shared" si="75"/>
        <v>189683.91675</v>
      </c>
      <c r="Y482" s="259" t="s">
        <v>5095</v>
      </c>
      <c r="Z482" t="s">
        <v>25</v>
      </c>
      <c r="AI482" s="147">
        <v>205</v>
      </c>
      <c r="AJ482" s="147" t="s">
        <v>6206</v>
      </c>
      <c r="AK482" s="186">
        <v>2000000</v>
      </c>
      <c r="AL482" s="147">
        <v>110</v>
      </c>
      <c r="AM482" s="147">
        <f t="shared" si="92"/>
        <v>343</v>
      </c>
      <c r="AN482" s="147">
        <f t="shared" si="93"/>
        <v>686000000</v>
      </c>
      <c r="AO482" s="147" t="s">
        <v>6208</v>
      </c>
    </row>
    <row r="483" spans="18:47">
      <c r="R483" s="97" t="s">
        <v>5693</v>
      </c>
      <c r="S483" s="93">
        <v>6610318.1610199995</v>
      </c>
      <c r="U483" s="187" t="s">
        <v>6370</v>
      </c>
      <c r="V483" s="187">
        <v>21767</v>
      </c>
      <c r="W483" s="186">
        <v>2297.060872</v>
      </c>
      <c r="X483" s="186">
        <f t="shared" si="75"/>
        <v>50000124.000823997</v>
      </c>
      <c r="Y483" s="258" t="s">
        <v>6372</v>
      </c>
      <c r="AI483" s="147">
        <v>206</v>
      </c>
      <c r="AJ483" s="147" t="s">
        <v>6409</v>
      </c>
      <c r="AK483" s="186">
        <v>5082711</v>
      </c>
      <c r="AL483" s="147">
        <v>89</v>
      </c>
      <c r="AM483" s="147">
        <f t="shared" si="92"/>
        <v>233</v>
      </c>
      <c r="AN483" s="147">
        <f t="shared" si="93"/>
        <v>1184271663</v>
      </c>
      <c r="AO483" s="147" t="s">
        <v>6410</v>
      </c>
    </row>
    <row r="484" spans="18:47">
      <c r="R484" s="97" t="s">
        <v>5695</v>
      </c>
      <c r="S484" s="93">
        <v>710713.17725199996</v>
      </c>
      <c r="U484" s="19" t="s">
        <v>6370</v>
      </c>
      <c r="V484" s="19">
        <v>4353</v>
      </c>
      <c r="W484" s="115">
        <v>2297.060872</v>
      </c>
      <c r="X484" s="115">
        <f t="shared" si="75"/>
        <v>9999105.9758160003</v>
      </c>
      <c r="Y484" s="259" t="s">
        <v>6373</v>
      </c>
      <c r="AA484" t="s">
        <v>25</v>
      </c>
      <c r="AI484" s="147">
        <v>207</v>
      </c>
      <c r="AJ484" s="147" t="s">
        <v>6826</v>
      </c>
      <c r="AK484" s="186">
        <v>7300000</v>
      </c>
      <c r="AL484" s="147">
        <v>0</v>
      </c>
      <c r="AM484" s="147">
        <f t="shared" si="92"/>
        <v>144</v>
      </c>
      <c r="AN484" s="147">
        <f t="shared" si="93"/>
        <v>1051200000</v>
      </c>
      <c r="AO484" s="147" t="s">
        <v>6828</v>
      </c>
    </row>
    <row r="485" spans="18:47">
      <c r="R485" s="97" t="s">
        <v>5698</v>
      </c>
      <c r="S485" s="93">
        <v>81025</v>
      </c>
      <c r="U485" s="19" t="s">
        <v>6370</v>
      </c>
      <c r="V485" s="19">
        <v>226</v>
      </c>
      <c r="W485" s="115">
        <v>2297.060872</v>
      </c>
      <c r="X485" s="115">
        <f t="shared" si="75"/>
        <v>519135.75707200001</v>
      </c>
      <c r="Y485" s="259" t="s">
        <v>5095</v>
      </c>
      <c r="AB485" t="s">
        <v>25</v>
      </c>
      <c r="AI485" s="20">
        <v>208</v>
      </c>
      <c r="AJ485" s="20" t="s">
        <v>6826</v>
      </c>
      <c r="AK485" s="115">
        <v>7000000</v>
      </c>
      <c r="AL485" s="20">
        <v>135</v>
      </c>
      <c r="AM485" s="20">
        <f t="shared" si="92"/>
        <v>144</v>
      </c>
      <c r="AN485" s="20">
        <f t="shared" si="93"/>
        <v>1008000000</v>
      </c>
      <c r="AO485" s="20" t="s">
        <v>5822</v>
      </c>
    </row>
    <row r="486" spans="18:47">
      <c r="R486" s="97" t="s">
        <v>5699</v>
      </c>
      <c r="S486" s="93">
        <v>219696.613128</v>
      </c>
      <c r="U486" s="19" t="s">
        <v>6376</v>
      </c>
      <c r="V486" s="19">
        <v>1416</v>
      </c>
      <c r="W486" s="115">
        <v>2405.6595360000001</v>
      </c>
      <c r="X486" s="115">
        <f t="shared" si="75"/>
        <v>3406413.9029760002</v>
      </c>
      <c r="Y486" s="259" t="s">
        <v>5095</v>
      </c>
      <c r="AA486" t="s">
        <v>25</v>
      </c>
      <c r="AI486" s="147">
        <v>209</v>
      </c>
      <c r="AJ486" s="147" t="s">
        <v>6916</v>
      </c>
      <c r="AK486" s="186">
        <v>-20000000</v>
      </c>
      <c r="AL486" s="147">
        <v>0</v>
      </c>
      <c r="AM486" s="147">
        <f t="shared" si="92"/>
        <v>9</v>
      </c>
      <c r="AN486" s="147">
        <f t="shared" si="93"/>
        <v>-180000000</v>
      </c>
      <c r="AO486" s="147" t="s">
        <v>6920</v>
      </c>
      <c r="AS486" t="s">
        <v>25</v>
      </c>
    </row>
    <row r="487" spans="18:47">
      <c r="R487" s="97" t="s">
        <v>5700</v>
      </c>
      <c r="S487" s="93">
        <v>6035472.4070199998</v>
      </c>
      <c r="U487" s="19" t="s">
        <v>6378</v>
      </c>
      <c r="V487" s="19">
        <v>172</v>
      </c>
      <c r="W487" s="115">
        <v>2529.2810939999999</v>
      </c>
      <c r="X487" s="115">
        <f t="shared" si="75"/>
        <v>435036.348168</v>
      </c>
      <c r="Y487" s="259" t="s">
        <v>5095</v>
      </c>
      <c r="AA487" t="s">
        <v>25</v>
      </c>
      <c r="AI487" s="147">
        <v>210</v>
      </c>
      <c r="AJ487" s="147" t="s">
        <v>6916</v>
      </c>
      <c r="AK487" s="186">
        <v>-59825035</v>
      </c>
      <c r="AL487" s="147">
        <v>0</v>
      </c>
      <c r="AM487" s="147">
        <f t="shared" si="92"/>
        <v>9</v>
      </c>
      <c r="AN487" s="147">
        <f t="shared" si="93"/>
        <v>-538425315</v>
      </c>
      <c r="AO487" s="147" t="s">
        <v>5820</v>
      </c>
    </row>
    <row r="488" spans="18:47">
      <c r="R488" s="97" t="s">
        <v>5701</v>
      </c>
      <c r="S488" s="93">
        <v>984486.34963200008</v>
      </c>
      <c r="U488" s="19" t="s">
        <v>6386</v>
      </c>
      <c r="V488" s="19">
        <v>-3909</v>
      </c>
      <c r="W488" s="115">
        <v>2881.8852230000002</v>
      </c>
      <c r="X488" s="115">
        <f>V488*W488</f>
        <v>-11265289.336707002</v>
      </c>
      <c r="Y488" s="259" t="s">
        <v>6387</v>
      </c>
      <c r="AI488" s="20">
        <v>211</v>
      </c>
      <c r="AJ488" s="20" t="s">
        <v>6916</v>
      </c>
      <c r="AK488" s="115">
        <v>-450269000</v>
      </c>
      <c r="AL488" s="20">
        <v>1</v>
      </c>
      <c r="AM488" s="20">
        <f t="shared" si="92"/>
        <v>9</v>
      </c>
      <c r="AN488" s="20">
        <f t="shared" si="93"/>
        <v>-4052421000</v>
      </c>
      <c r="AO488" s="20" t="s">
        <v>5819</v>
      </c>
    </row>
    <row r="489" spans="18:47">
      <c r="R489" s="97" t="s">
        <v>5711</v>
      </c>
      <c r="S489" s="93">
        <v>2143469.938015</v>
      </c>
      <c r="U489" s="187" t="s">
        <v>6386</v>
      </c>
      <c r="V489" s="187">
        <v>-932</v>
      </c>
      <c r="W489" s="186">
        <v>2881.8852230000002</v>
      </c>
      <c r="X489" s="186">
        <f t="shared" si="75"/>
        <v>-2685917.0278360001</v>
      </c>
      <c r="Y489" s="258" t="s">
        <v>6388</v>
      </c>
      <c r="AB489" t="s">
        <v>25</v>
      </c>
      <c r="AI489" s="20">
        <v>212</v>
      </c>
      <c r="AJ489" s="20" t="s">
        <v>6924</v>
      </c>
      <c r="AK489" s="115">
        <v>50000000</v>
      </c>
      <c r="AL489" s="20">
        <v>1</v>
      </c>
      <c r="AM489" s="20">
        <f t="shared" si="92"/>
        <v>8</v>
      </c>
      <c r="AN489" s="20">
        <f t="shared" si="93"/>
        <v>400000000</v>
      </c>
      <c r="AO489" s="20" t="s">
        <v>5822</v>
      </c>
    </row>
    <row r="490" spans="18:47">
      <c r="R490" s="97" t="s">
        <v>5712</v>
      </c>
      <c r="S490" s="93">
        <v>3085460.5177150001</v>
      </c>
      <c r="U490" s="19" t="s">
        <v>6396</v>
      </c>
      <c r="V490" s="19">
        <v>33</v>
      </c>
      <c r="W490" s="115">
        <v>2905.0202519999998</v>
      </c>
      <c r="X490" s="115">
        <f t="shared" si="75"/>
        <v>95865.668315999996</v>
      </c>
      <c r="Y490" s="259" t="s">
        <v>4406</v>
      </c>
      <c r="AC490" t="s">
        <v>25</v>
      </c>
      <c r="AI490" s="20">
        <v>213</v>
      </c>
      <c r="AJ490" s="20" t="s">
        <v>6931</v>
      </c>
      <c r="AK490" s="115">
        <v>50000000</v>
      </c>
      <c r="AL490" s="20">
        <v>1</v>
      </c>
      <c r="AM490" s="20">
        <f t="shared" ref="AM490:AM503" si="94">AL490+AM491</f>
        <v>7</v>
      </c>
      <c r="AN490" s="20">
        <f t="shared" ref="AN490:AN503" si="95">AK490*AM490</f>
        <v>350000000</v>
      </c>
      <c r="AO490" s="20" t="s">
        <v>5822</v>
      </c>
    </row>
    <row r="491" spans="18:47">
      <c r="R491" s="97" t="s">
        <v>5713</v>
      </c>
      <c r="S491" s="93">
        <v>8261456.790906</v>
      </c>
      <c r="U491" s="187" t="s">
        <v>6409</v>
      </c>
      <c r="V491" s="187">
        <v>10421</v>
      </c>
      <c r="W491" s="186">
        <v>2780.2819920000002</v>
      </c>
      <c r="X491" s="186">
        <f t="shared" si="75"/>
        <v>28973318.638632003</v>
      </c>
      <c r="Y491" s="258" t="s">
        <v>6411</v>
      </c>
      <c r="AI491" s="20">
        <v>214</v>
      </c>
      <c r="AJ491" s="20" t="s">
        <v>6932</v>
      </c>
      <c r="AK491" s="115">
        <v>50000000</v>
      </c>
      <c r="AL491" s="20">
        <v>1</v>
      </c>
      <c r="AM491" s="20">
        <f t="shared" si="94"/>
        <v>6</v>
      </c>
      <c r="AN491" s="20">
        <f t="shared" si="95"/>
        <v>300000000</v>
      </c>
      <c r="AO491" s="20" t="s">
        <v>5822</v>
      </c>
      <c r="AT491" t="s">
        <v>25</v>
      </c>
    </row>
    <row r="492" spans="18:47">
      <c r="R492" s="97" t="s">
        <v>5717</v>
      </c>
      <c r="S492" s="93">
        <v>6572373.7593120001</v>
      </c>
      <c r="U492" s="19" t="s">
        <v>6409</v>
      </c>
      <c r="V492" s="19">
        <v>835</v>
      </c>
      <c r="W492" s="115">
        <v>2780.2819920000002</v>
      </c>
      <c r="X492" s="115">
        <f t="shared" si="75"/>
        <v>2321535.4633200001</v>
      </c>
      <c r="Y492" s="259" t="s">
        <v>5095</v>
      </c>
      <c r="AI492" s="20">
        <v>215</v>
      </c>
      <c r="AJ492" s="20" t="s">
        <v>6933</v>
      </c>
      <c r="AK492" s="115">
        <v>50000000</v>
      </c>
      <c r="AL492" s="20">
        <v>1</v>
      </c>
      <c r="AM492" s="20">
        <f t="shared" si="94"/>
        <v>5</v>
      </c>
      <c r="AN492" s="20">
        <f t="shared" si="95"/>
        <v>250000000</v>
      </c>
      <c r="AO492" s="20" t="s">
        <v>5822</v>
      </c>
      <c r="AS492" t="s">
        <v>25</v>
      </c>
      <c r="AT492" t="s">
        <v>25</v>
      </c>
    </row>
    <row r="493" spans="18:47">
      <c r="R493" s="97" t="s">
        <v>5718</v>
      </c>
      <c r="S493" s="93">
        <v>2893243.5730909999</v>
      </c>
      <c r="U493" s="19" t="s">
        <v>6690</v>
      </c>
      <c r="V493" s="19">
        <v>410</v>
      </c>
      <c r="W493" s="115">
        <v>2678.4068379999999</v>
      </c>
      <c r="X493" s="115">
        <f t="shared" si="75"/>
        <v>1098146.8035800001</v>
      </c>
      <c r="Y493" s="259" t="s">
        <v>5095</v>
      </c>
      <c r="AI493" s="20">
        <v>216</v>
      </c>
      <c r="AJ493" s="20" t="s">
        <v>6934</v>
      </c>
      <c r="AK493" s="115">
        <v>100000000</v>
      </c>
      <c r="AL493" s="20">
        <v>1</v>
      </c>
      <c r="AM493" s="20">
        <f t="shared" si="94"/>
        <v>4</v>
      </c>
      <c r="AN493" s="20">
        <f t="shared" si="95"/>
        <v>400000000</v>
      </c>
      <c r="AO493" s="20" t="s">
        <v>5822</v>
      </c>
      <c r="AS493" t="s">
        <v>25</v>
      </c>
      <c r="AT493" t="s">
        <v>25</v>
      </c>
      <c r="AU493" s="94" t="s">
        <v>25</v>
      </c>
    </row>
    <row r="494" spans="18:47">
      <c r="R494" s="97" t="s">
        <v>5723</v>
      </c>
      <c r="S494" s="93">
        <v>94992058.939007998</v>
      </c>
      <c r="U494" s="19" t="s">
        <v>6695</v>
      </c>
      <c r="V494" s="19">
        <v>201</v>
      </c>
      <c r="W494" s="115">
        <v>2688.6794049999999</v>
      </c>
      <c r="X494" s="115">
        <f t="shared" si="75"/>
        <v>540424.560405</v>
      </c>
      <c r="Y494" s="259" t="s">
        <v>5095</v>
      </c>
      <c r="AA494" t="s">
        <v>25</v>
      </c>
      <c r="AI494" s="20">
        <v>217</v>
      </c>
      <c r="AJ494" s="20" t="s">
        <v>6936</v>
      </c>
      <c r="AK494" s="115">
        <v>50000000</v>
      </c>
      <c r="AL494" s="20">
        <v>1</v>
      </c>
      <c r="AM494" s="20">
        <f t="shared" si="94"/>
        <v>3</v>
      </c>
      <c r="AN494" s="20">
        <f t="shared" si="95"/>
        <v>150000000</v>
      </c>
      <c r="AO494" s="20" t="s">
        <v>5822</v>
      </c>
      <c r="AR494" t="s">
        <v>25</v>
      </c>
    </row>
    <row r="495" spans="18:47">
      <c r="R495" s="97" t="s">
        <v>5728</v>
      </c>
      <c r="S495" s="93">
        <v>275021.925965</v>
      </c>
      <c r="U495" s="19" t="s">
        <v>6696</v>
      </c>
      <c r="V495" s="19">
        <v>1133</v>
      </c>
      <c r="W495" s="115">
        <v>2455.1740869999999</v>
      </c>
      <c r="X495" s="115">
        <f t="shared" si="75"/>
        <v>2781712.2405709997</v>
      </c>
      <c r="Y495" s="259" t="s">
        <v>5095</v>
      </c>
      <c r="AA495" t="s">
        <v>25</v>
      </c>
      <c r="AB495" t="s">
        <v>25</v>
      </c>
      <c r="AI495" s="20">
        <v>218</v>
      </c>
      <c r="AJ495" s="20" t="s">
        <v>6938</v>
      </c>
      <c r="AK495" s="115">
        <v>65511600</v>
      </c>
      <c r="AL495" s="20">
        <v>1</v>
      </c>
      <c r="AM495" s="20">
        <f t="shared" si="94"/>
        <v>2</v>
      </c>
      <c r="AN495" s="20">
        <f t="shared" si="95"/>
        <v>131023200</v>
      </c>
      <c r="AO495" s="20" t="s">
        <v>5822</v>
      </c>
    </row>
    <row r="496" spans="18:47">
      <c r="R496" s="97" t="s">
        <v>5738</v>
      </c>
      <c r="S496" s="93">
        <v>327451.9203</v>
      </c>
      <c r="U496" s="19" t="s">
        <v>6699</v>
      </c>
      <c r="V496" s="19">
        <v>59</v>
      </c>
      <c r="W496" s="115">
        <v>2706.4553110000002</v>
      </c>
      <c r="X496" s="115">
        <f t="shared" si="75"/>
        <v>159680.86334900002</v>
      </c>
      <c r="Y496" s="259" t="s">
        <v>6700</v>
      </c>
      <c r="Z496" t="s">
        <v>25</v>
      </c>
      <c r="AA496" t="s">
        <v>25</v>
      </c>
      <c r="AB496" t="s">
        <v>25</v>
      </c>
      <c r="AC496" t="s">
        <v>25</v>
      </c>
      <c r="AI496" s="20">
        <v>219</v>
      </c>
      <c r="AJ496" s="20" t="s">
        <v>6942</v>
      </c>
      <c r="AK496" s="115">
        <v>25000000</v>
      </c>
      <c r="AL496" s="20">
        <v>1</v>
      </c>
      <c r="AM496" s="20">
        <f t="shared" si="94"/>
        <v>1</v>
      </c>
      <c r="AN496" s="20">
        <f t="shared" si="95"/>
        <v>25000000</v>
      </c>
      <c r="AO496" s="20" t="s">
        <v>5822</v>
      </c>
    </row>
    <row r="497" spans="18:43">
      <c r="R497" s="97" t="s">
        <v>5746</v>
      </c>
      <c r="S497" s="93">
        <v>260081.94096800001</v>
      </c>
      <c r="U497" s="19" t="s">
        <v>6723</v>
      </c>
      <c r="V497" s="19">
        <v>4795</v>
      </c>
      <c r="W497" s="115">
        <v>2908.4025580000002</v>
      </c>
      <c r="X497" s="115">
        <f t="shared" si="75"/>
        <v>13945790.265610002</v>
      </c>
      <c r="Y497" s="259" t="s">
        <v>5335</v>
      </c>
      <c r="AI497" s="20"/>
      <c r="AJ497" s="20"/>
      <c r="AK497" s="115"/>
      <c r="AL497" s="20"/>
      <c r="AM497" s="20">
        <f t="shared" si="94"/>
        <v>0</v>
      </c>
      <c r="AN497" s="20">
        <f t="shared" si="95"/>
        <v>0</v>
      </c>
      <c r="AO497" s="20"/>
    </row>
    <row r="498" spans="18:43">
      <c r="R498" s="97" t="s">
        <v>5747</v>
      </c>
      <c r="S498" s="93">
        <v>2909284.5308940001</v>
      </c>
      <c r="U498" s="19" t="s">
        <v>6725</v>
      </c>
      <c r="V498" s="19">
        <v>164</v>
      </c>
      <c r="W498" s="115">
        <v>2792.1636870000002</v>
      </c>
      <c r="X498" s="115">
        <f t="shared" si="75"/>
        <v>457914.84466800001</v>
      </c>
      <c r="Y498" s="259" t="s">
        <v>5335</v>
      </c>
      <c r="AI498" s="20"/>
      <c r="AJ498" s="20"/>
      <c r="AK498" s="115"/>
      <c r="AL498" s="20"/>
      <c r="AM498" s="20">
        <f t="shared" si="94"/>
        <v>0</v>
      </c>
      <c r="AN498" s="20">
        <f t="shared" si="95"/>
        <v>0</v>
      </c>
      <c r="AO498" s="20"/>
    </row>
    <row r="499" spans="18:43">
      <c r="R499" s="97" t="s">
        <v>5748</v>
      </c>
      <c r="S499" s="93">
        <v>37723205.094084002</v>
      </c>
      <c r="U499" s="19" t="s">
        <v>6727</v>
      </c>
      <c r="V499" s="19">
        <v>352</v>
      </c>
      <c r="W499" s="115">
        <v>2768.6657369999998</v>
      </c>
      <c r="X499" s="115">
        <f t="shared" si="75"/>
        <v>974570.33942399989</v>
      </c>
      <c r="Y499" s="259" t="s">
        <v>5335</v>
      </c>
      <c r="AC499" t="s">
        <v>25</v>
      </c>
      <c r="AI499" s="20"/>
      <c r="AJ499" s="20"/>
      <c r="AK499" s="115"/>
      <c r="AL499" s="20"/>
      <c r="AM499" s="20">
        <f t="shared" si="94"/>
        <v>0</v>
      </c>
      <c r="AN499" s="20">
        <f t="shared" si="95"/>
        <v>0</v>
      </c>
      <c r="AO499" s="20"/>
    </row>
    <row r="500" spans="18:43">
      <c r="R500" s="97" t="s">
        <v>5749</v>
      </c>
      <c r="S500" s="93">
        <v>1500094.75168</v>
      </c>
      <c r="U500" s="19" t="s">
        <v>6729</v>
      </c>
      <c r="V500" s="19">
        <v>283</v>
      </c>
      <c r="W500" s="115">
        <v>2636.7439079999999</v>
      </c>
      <c r="X500" s="115">
        <f t="shared" si="75"/>
        <v>746198.52596400003</v>
      </c>
      <c r="Y500" s="259" t="s">
        <v>5335</v>
      </c>
      <c r="Z500" t="s">
        <v>25</v>
      </c>
      <c r="AI500" s="20"/>
      <c r="AJ500" s="20"/>
      <c r="AK500" s="115"/>
      <c r="AL500" s="20"/>
      <c r="AM500" s="20">
        <f t="shared" si="94"/>
        <v>0</v>
      </c>
      <c r="AN500" s="20">
        <f t="shared" si="95"/>
        <v>0</v>
      </c>
      <c r="AO500" s="20"/>
      <c r="AQ500" t="s">
        <v>25</v>
      </c>
    </row>
    <row r="501" spans="18:43">
      <c r="R501" s="97" t="s">
        <v>5751</v>
      </c>
      <c r="S501" s="93">
        <v>7230628.4378079996</v>
      </c>
      <c r="U501" s="19" t="s">
        <v>6731</v>
      </c>
      <c r="V501" s="19">
        <v>154</v>
      </c>
      <c r="W501" s="115">
        <v>2702</v>
      </c>
      <c r="X501" s="115">
        <f t="shared" si="75"/>
        <v>416108</v>
      </c>
      <c r="Y501" s="259" t="s">
        <v>5335</v>
      </c>
      <c r="Z501" t="s">
        <v>25</v>
      </c>
      <c r="AA501" t="s">
        <v>25</v>
      </c>
      <c r="AC501" t="s">
        <v>25</v>
      </c>
      <c r="AI501" s="20"/>
      <c r="AJ501" s="20"/>
      <c r="AK501" s="115"/>
      <c r="AL501" s="20"/>
      <c r="AM501" s="20">
        <f t="shared" si="94"/>
        <v>0</v>
      </c>
      <c r="AN501" s="20">
        <f t="shared" si="95"/>
        <v>0</v>
      </c>
      <c r="AO501" s="20"/>
    </row>
    <row r="502" spans="18:43">
      <c r="R502" s="97" t="s">
        <v>5752</v>
      </c>
      <c r="S502" s="93">
        <v>29767389.390390001</v>
      </c>
      <c r="U502" s="19" t="s">
        <v>6743</v>
      </c>
      <c r="V502" s="19">
        <v>135</v>
      </c>
      <c r="W502" s="115">
        <v>2678.6709300000002</v>
      </c>
      <c r="X502" s="115">
        <f t="shared" si="75"/>
        <v>361620.57555000001</v>
      </c>
      <c r="Y502" s="259" t="s">
        <v>5335</v>
      </c>
      <c r="AA502" t="s">
        <v>25</v>
      </c>
      <c r="AI502" s="20"/>
      <c r="AJ502" s="20"/>
      <c r="AK502" s="115"/>
      <c r="AL502" s="20"/>
      <c r="AM502" s="20">
        <f t="shared" si="94"/>
        <v>0</v>
      </c>
      <c r="AN502" s="20">
        <f t="shared" si="95"/>
        <v>0</v>
      </c>
      <c r="AO502" s="20"/>
    </row>
    <row r="503" spans="18:43">
      <c r="R503" s="97" t="s">
        <v>5754</v>
      </c>
      <c r="S503" s="93">
        <v>151560.25597</v>
      </c>
      <c r="U503" s="19" t="s">
        <v>6744</v>
      </c>
      <c r="V503" s="19">
        <v>291</v>
      </c>
      <c r="W503" s="115">
        <v>2616.1873500000002</v>
      </c>
      <c r="X503" s="115">
        <f t="shared" si="75"/>
        <v>761310.51884999999</v>
      </c>
      <c r="Y503" s="259" t="s">
        <v>5335</v>
      </c>
      <c r="AA503" t="s">
        <v>25</v>
      </c>
      <c r="AI503" s="97"/>
      <c r="AJ503" s="97"/>
      <c r="AK503" s="115"/>
      <c r="AL503" s="97"/>
      <c r="AM503" s="20">
        <f t="shared" si="94"/>
        <v>0</v>
      </c>
      <c r="AN503" s="20">
        <f t="shared" si="95"/>
        <v>0</v>
      </c>
      <c r="AO503" s="20"/>
    </row>
    <row r="504" spans="18:43">
      <c r="R504" s="97" t="s">
        <v>5757</v>
      </c>
      <c r="S504" s="93">
        <v>481318.88078800001</v>
      </c>
      <c r="U504" s="19" t="s">
        <v>6746</v>
      </c>
      <c r="V504" s="19">
        <v>1194</v>
      </c>
      <c r="W504" s="115">
        <v>2552.0103049999998</v>
      </c>
      <c r="X504" s="115">
        <f t="shared" si="75"/>
        <v>3047100.3041699999</v>
      </c>
      <c r="Y504" s="259" t="s">
        <v>5335</v>
      </c>
      <c r="Z504" t="s">
        <v>25</v>
      </c>
      <c r="AA504" t="s">
        <v>25</v>
      </c>
      <c r="AI504" s="97"/>
      <c r="AJ504" s="97"/>
      <c r="AK504" s="115"/>
      <c r="AL504" s="97"/>
      <c r="AM504" s="20">
        <f>AL504+AM505</f>
        <v>0</v>
      </c>
      <c r="AN504" s="20">
        <f>AK504*AM504</f>
        <v>0</v>
      </c>
      <c r="AO504" s="97"/>
    </row>
    <row r="505" spans="18:43">
      <c r="R505" s="97" t="s">
        <v>5769</v>
      </c>
      <c r="S505" s="93">
        <v>146277.56820000001</v>
      </c>
      <c r="U505" s="19" t="s">
        <v>6748</v>
      </c>
      <c r="V505" s="19">
        <v>928</v>
      </c>
      <c r="W505" s="115">
        <v>2626.1621239999999</v>
      </c>
      <c r="X505" s="115">
        <f t="shared" si="75"/>
        <v>2437078.451072</v>
      </c>
      <c r="Y505" s="259" t="s">
        <v>5335</v>
      </c>
      <c r="AI505" s="97"/>
      <c r="AJ505" s="97"/>
      <c r="AK505" s="93">
        <f>SUM(AK296:AK504)</f>
        <v>131592952.84822798</v>
      </c>
      <c r="AL505" s="97"/>
      <c r="AM505" s="97"/>
      <c r="AN505" s="97">
        <f>SUM(AN296:AN504)</f>
        <v>202627129387</v>
      </c>
      <c r="AO505" s="93">
        <f>AN505*AO282/31</f>
        <v>108941495.66106869</v>
      </c>
    </row>
    <row r="506" spans="18:43">
      <c r="R506" s="97" t="s">
        <v>5772</v>
      </c>
      <c r="S506" s="93">
        <v>424693.40162399999</v>
      </c>
      <c r="U506" s="187" t="s">
        <v>6802</v>
      </c>
      <c r="V506" s="187">
        <v>-15181</v>
      </c>
      <c r="W506" s="186">
        <v>2675.3319820000002</v>
      </c>
      <c r="X506" s="186">
        <f t="shared" si="75"/>
        <v>-40614214.818742</v>
      </c>
      <c r="Y506" s="258" t="s">
        <v>6803</v>
      </c>
      <c r="AB506" t="s">
        <v>25</v>
      </c>
      <c r="AK506" t="s">
        <v>4041</v>
      </c>
      <c r="AN506" t="s">
        <v>284</v>
      </c>
      <c r="AO506" t="s">
        <v>926</v>
      </c>
    </row>
    <row r="507" spans="18:43">
      <c r="R507" s="97" t="s">
        <v>5774</v>
      </c>
      <c r="S507" s="93">
        <v>558320.40202399995</v>
      </c>
      <c r="U507" s="19" t="s">
        <v>6824</v>
      </c>
      <c r="V507" s="19">
        <v>3122</v>
      </c>
      <c r="W507" s="115">
        <v>2481.626972</v>
      </c>
      <c r="X507" s="115">
        <f t="shared" si="75"/>
        <v>7747639.4065840002</v>
      </c>
      <c r="Y507" s="259" t="s">
        <v>5335</v>
      </c>
      <c r="AB507" t="s">
        <v>5523</v>
      </c>
    </row>
    <row r="508" spans="18:43">
      <c r="R508" s="97" t="s">
        <v>5796</v>
      </c>
      <c r="S508" s="93">
        <v>207642.22201140001</v>
      </c>
      <c r="U508" s="19" t="s">
        <v>6825</v>
      </c>
      <c r="V508" s="19">
        <v>2209</v>
      </c>
      <c r="W508" s="115">
        <v>2528.2563839999998</v>
      </c>
      <c r="X508" s="115">
        <f t="shared" si="75"/>
        <v>5584918.3522559991</v>
      </c>
      <c r="Y508" s="259" t="s">
        <v>5335</v>
      </c>
      <c r="Z508" t="s">
        <v>25</v>
      </c>
      <c r="AJ508" t="s">
        <v>4043</v>
      </c>
      <c r="AK508" s="112">
        <f>AK505+AO505</f>
        <v>240534448.50929666</v>
      </c>
      <c r="AN508" t="s">
        <v>25</v>
      </c>
    </row>
    <row r="509" spans="18:43">
      <c r="R509" s="97" t="s">
        <v>5796</v>
      </c>
      <c r="S509" s="93">
        <v>33832510.64875</v>
      </c>
      <c r="U509" s="187" t="s">
        <v>6826</v>
      </c>
      <c r="V509" s="187">
        <v>2977</v>
      </c>
      <c r="W509" s="186">
        <v>2451.5674020000001</v>
      </c>
      <c r="X509" s="186">
        <f t="shared" si="75"/>
        <v>7298316.1557539999</v>
      </c>
      <c r="Y509" s="258" t="s">
        <v>1069</v>
      </c>
      <c r="Z509" t="s">
        <v>25</v>
      </c>
      <c r="AJ509" t="s">
        <v>4046</v>
      </c>
      <c r="AK509" s="112">
        <f>SUM(N31:N41)</f>
        <v>5115180381</v>
      </c>
    </row>
    <row r="510" spans="18:43">
      <c r="R510" s="97" t="s">
        <v>5805</v>
      </c>
      <c r="S510" s="93">
        <v>637977.33504399995</v>
      </c>
      <c r="U510" s="19" t="s">
        <v>6826</v>
      </c>
      <c r="V510" s="19">
        <v>2857</v>
      </c>
      <c r="W510" s="115">
        <v>2451.5674020000001</v>
      </c>
      <c r="X510" s="115">
        <f t="shared" si="75"/>
        <v>7004128.0675140005</v>
      </c>
      <c r="Y510" s="259" t="s">
        <v>743</v>
      </c>
      <c r="AJ510" t="s">
        <v>4116</v>
      </c>
      <c r="AK510" s="112">
        <f>AK509-AK505</f>
        <v>4983587428.1517715</v>
      </c>
    </row>
    <row r="511" spans="18:43">
      <c r="R511" s="97" t="s">
        <v>5806</v>
      </c>
      <c r="S511" s="93">
        <v>466552.25632400002</v>
      </c>
      <c r="U511" s="19" t="s">
        <v>6826</v>
      </c>
      <c r="V511" s="19">
        <v>234</v>
      </c>
      <c r="W511" s="115">
        <v>2451.5674020000001</v>
      </c>
      <c r="X511" s="115">
        <f t="shared" si="75"/>
        <v>573666.77206800005</v>
      </c>
      <c r="Y511" s="259" t="s">
        <v>5095</v>
      </c>
      <c r="Z511" t="s">
        <v>25</v>
      </c>
      <c r="AJ511" t="s">
        <v>926</v>
      </c>
      <c r="AK511" s="112">
        <f>AO505</f>
        <v>108941495.66106869</v>
      </c>
    </row>
    <row r="512" spans="18:43">
      <c r="R512" s="97" t="s">
        <v>5807</v>
      </c>
      <c r="S512" s="93">
        <v>149316.98805000001</v>
      </c>
      <c r="U512" s="19" t="s">
        <v>6831</v>
      </c>
      <c r="V512" s="19">
        <v>751</v>
      </c>
      <c r="W512" s="115">
        <v>2490.0381539999998</v>
      </c>
      <c r="X512" s="115">
        <f t="shared" si="75"/>
        <v>1870018.6536539998</v>
      </c>
      <c r="Y512" s="259" t="s">
        <v>5095</v>
      </c>
      <c r="AA512" t="s">
        <v>25</v>
      </c>
      <c r="AJ512" t="s">
        <v>4047</v>
      </c>
      <c r="AK512" s="112">
        <f>AK510-AK511</f>
        <v>4874645932.4907026</v>
      </c>
      <c r="AN512" t="s">
        <v>25</v>
      </c>
      <c r="AO512" t="s">
        <v>25</v>
      </c>
    </row>
    <row r="513" spans="16:41">
      <c r="R513" s="97" t="s">
        <v>5807</v>
      </c>
      <c r="S513" s="93">
        <v>189134.85153000001</v>
      </c>
      <c r="U513" s="19" t="s">
        <v>6836</v>
      </c>
      <c r="V513" s="19">
        <v>44</v>
      </c>
      <c r="W513" s="115">
        <v>2664.1462569999999</v>
      </c>
      <c r="X513" s="115">
        <f t="shared" si="75"/>
        <v>117222.435308</v>
      </c>
      <c r="Y513" s="259" t="s">
        <v>5095</v>
      </c>
      <c r="AA513" t="s">
        <v>25</v>
      </c>
      <c r="AM513" t="s">
        <v>25</v>
      </c>
      <c r="AN513" t="s">
        <v>25</v>
      </c>
      <c r="AO513" t="s">
        <v>25</v>
      </c>
    </row>
    <row r="514" spans="16:41">
      <c r="R514" s="97" t="s">
        <v>5809</v>
      </c>
      <c r="S514" s="93">
        <v>564888.82799599995</v>
      </c>
      <c r="U514" s="19" t="s">
        <v>6838</v>
      </c>
      <c r="V514" s="19">
        <v>717</v>
      </c>
      <c r="W514" s="115">
        <v>2706.9144700000002</v>
      </c>
      <c r="X514" s="115">
        <f t="shared" si="75"/>
        <v>1940857.6749900002</v>
      </c>
      <c r="Y514" s="259" t="s">
        <v>5095</v>
      </c>
    </row>
    <row r="515" spans="16:41">
      <c r="R515" s="97" t="s">
        <v>5812</v>
      </c>
      <c r="S515" s="93">
        <v>8762299.2047910001</v>
      </c>
      <c r="U515" s="19" t="s">
        <v>6852</v>
      </c>
      <c r="V515" s="19">
        <v>86686</v>
      </c>
      <c r="W515" s="115">
        <v>2307.1718759999999</v>
      </c>
      <c r="X515" s="115">
        <f t="shared" si="75"/>
        <v>199999501.24293599</v>
      </c>
      <c r="Y515" s="415" t="s">
        <v>6855</v>
      </c>
      <c r="Z515" t="s">
        <v>25</v>
      </c>
    </row>
    <row r="516" spans="16:41">
      <c r="R516" s="97" t="s">
        <v>5812</v>
      </c>
      <c r="S516" s="93">
        <v>-341847876.93843603</v>
      </c>
      <c r="U516" s="19" t="s">
        <v>6859</v>
      </c>
      <c r="V516" s="19">
        <v>81</v>
      </c>
      <c r="W516" s="115">
        <v>2411.414808</v>
      </c>
      <c r="X516" s="115">
        <f t="shared" si="75"/>
        <v>195324.59944799999</v>
      </c>
      <c r="Y516" s="259" t="s">
        <v>5095</v>
      </c>
      <c r="AA516" t="s">
        <v>25</v>
      </c>
      <c r="AB516" t="s">
        <v>25</v>
      </c>
      <c r="AO516" t="s">
        <v>25</v>
      </c>
    </row>
    <row r="517" spans="16:41">
      <c r="R517" s="97" t="s">
        <v>5835</v>
      </c>
      <c r="S517" s="93">
        <v>259993.58394100002</v>
      </c>
      <c r="U517" s="19" t="s">
        <v>6859</v>
      </c>
      <c r="V517" s="19">
        <v>8426</v>
      </c>
      <c r="W517" s="115">
        <v>2411.414808</v>
      </c>
      <c r="X517" s="115">
        <f t="shared" si="75"/>
        <v>20318581.172208</v>
      </c>
      <c r="Y517" s="415" t="s">
        <v>6860</v>
      </c>
      <c r="AO517" t="s">
        <v>25</v>
      </c>
    </row>
    <row r="518" spans="16:41">
      <c r="R518" s="97" t="s">
        <v>5836</v>
      </c>
      <c r="S518" s="93">
        <v>269955.31205999997</v>
      </c>
      <c r="U518" s="19" t="s">
        <v>6861</v>
      </c>
      <c r="V518" s="19">
        <v>1242</v>
      </c>
      <c r="W518" s="115">
        <v>2330.0938919999999</v>
      </c>
      <c r="X518" s="115">
        <f t="shared" si="75"/>
        <v>2893976.613864</v>
      </c>
      <c r="Y518" s="259" t="s">
        <v>5095</v>
      </c>
    </row>
    <row r="519" spans="16:41">
      <c r="R519" s="97" t="s">
        <v>6191</v>
      </c>
      <c r="S519" s="93">
        <v>560534.38387200003</v>
      </c>
      <c r="U519" s="19" t="s">
        <v>6862</v>
      </c>
      <c r="V519" s="19">
        <v>149</v>
      </c>
      <c r="W519" s="115">
        <v>2336.750747</v>
      </c>
      <c r="X519" s="115">
        <f t="shared" si="75"/>
        <v>348175.86130300001</v>
      </c>
      <c r="Y519" s="259" t="s">
        <v>5095</v>
      </c>
    </row>
    <row r="520" spans="16:41">
      <c r="P520" t="s">
        <v>25</v>
      </c>
      <c r="R520" s="97" t="s">
        <v>6193</v>
      </c>
      <c r="S520" s="93">
        <v>581484.96802499995</v>
      </c>
      <c r="U520" s="19" t="s">
        <v>6865</v>
      </c>
      <c r="V520" s="19">
        <v>125</v>
      </c>
      <c r="W520" s="115">
        <v>2522.243884</v>
      </c>
      <c r="X520" s="115">
        <f t="shared" si="75"/>
        <v>315280.48550000001</v>
      </c>
      <c r="Y520" s="259" t="s">
        <v>5095</v>
      </c>
    </row>
    <row r="521" spans="16:41" ht="30">
      <c r="R521" s="97" t="s">
        <v>6195</v>
      </c>
      <c r="S521" s="93">
        <v>2136964.3409779998</v>
      </c>
      <c r="U521" s="19" t="s">
        <v>6865</v>
      </c>
      <c r="V521" s="19">
        <v>2429</v>
      </c>
      <c r="W521" s="115">
        <v>2522.243884</v>
      </c>
      <c r="X521" s="115">
        <f t="shared" si="75"/>
        <v>6126530.3942360003</v>
      </c>
      <c r="Y521" s="259" t="s">
        <v>6866</v>
      </c>
    </row>
    <row r="522" spans="16:41">
      <c r="R522" s="97" t="s">
        <v>6198</v>
      </c>
      <c r="S522" s="93">
        <v>593783.22629999998</v>
      </c>
      <c r="U522" s="19" t="s">
        <v>6865</v>
      </c>
      <c r="V522" s="19">
        <v>-2429</v>
      </c>
      <c r="W522" s="115">
        <v>2522.243884</v>
      </c>
      <c r="X522" s="115">
        <f t="shared" si="75"/>
        <v>-6126530.3942360003</v>
      </c>
      <c r="Y522" s="415" t="s">
        <v>6867</v>
      </c>
    </row>
    <row r="523" spans="16:41">
      <c r="R523" s="97" t="s">
        <v>6202</v>
      </c>
      <c r="S523" s="93">
        <v>469469.96222000004</v>
      </c>
      <c r="U523" s="19" t="s">
        <v>6869</v>
      </c>
      <c r="V523" s="19">
        <v>73</v>
      </c>
      <c r="W523" s="115">
        <v>2521.1733559999998</v>
      </c>
      <c r="X523" s="115">
        <f t="shared" si="75"/>
        <v>184045.65498799999</v>
      </c>
      <c r="Y523" s="415" t="s">
        <v>5095</v>
      </c>
      <c r="AA523" t="s">
        <v>25</v>
      </c>
    </row>
    <row r="524" spans="16:41">
      <c r="R524" s="97" t="s">
        <v>6232</v>
      </c>
      <c r="S524" s="93">
        <v>73977944.489465997</v>
      </c>
      <c r="U524" s="19" t="s">
        <v>6884</v>
      </c>
      <c r="V524" s="19">
        <v>1275</v>
      </c>
      <c r="W524" s="115">
        <v>2528.6778709999999</v>
      </c>
      <c r="X524" s="115">
        <f t="shared" si="75"/>
        <v>3224064.2855249997</v>
      </c>
      <c r="Y524" s="415" t="s">
        <v>5095</v>
      </c>
      <c r="AA524" t="s">
        <v>25</v>
      </c>
    </row>
    <row r="525" spans="16:41">
      <c r="R525" s="97" t="s">
        <v>6236</v>
      </c>
      <c r="S525" s="93">
        <v>570166.40976800001</v>
      </c>
      <c r="U525" s="19" t="s">
        <v>6885</v>
      </c>
      <c r="V525" s="19">
        <v>57</v>
      </c>
      <c r="W525" s="115">
        <v>2549.1635460000002</v>
      </c>
      <c r="X525" s="115">
        <f t="shared" si="75"/>
        <v>145302.32212200001</v>
      </c>
      <c r="Y525" s="415" t="s">
        <v>5095</v>
      </c>
      <c r="Z525" t="s">
        <v>25</v>
      </c>
    </row>
    <row r="526" spans="16:41">
      <c r="R526" s="97" t="s">
        <v>6239</v>
      </c>
      <c r="S526" s="93">
        <v>3585319.2317280001</v>
      </c>
      <c r="U526" s="19" t="s">
        <v>6887</v>
      </c>
      <c r="V526" s="19">
        <v>2730</v>
      </c>
      <c r="W526" s="115">
        <v>2631.5477879999999</v>
      </c>
      <c r="X526" s="115">
        <f t="shared" si="75"/>
        <v>7184125.4612399992</v>
      </c>
      <c r="Y526" s="415" t="s">
        <v>5095</v>
      </c>
    </row>
    <row r="527" spans="16:41">
      <c r="R527" s="97" t="s">
        <v>6242</v>
      </c>
      <c r="S527" s="93">
        <v>676700.69889600005</v>
      </c>
      <c r="U527" s="19" t="s">
        <v>6889</v>
      </c>
      <c r="V527" s="19">
        <v>3150</v>
      </c>
      <c r="W527" s="115">
        <v>2622.3760240000001</v>
      </c>
      <c r="X527" s="115">
        <f t="shared" si="75"/>
        <v>8260484.4756000005</v>
      </c>
      <c r="Y527" s="415" t="s">
        <v>5095</v>
      </c>
      <c r="Z527" t="s">
        <v>25</v>
      </c>
      <c r="AA527" t="s">
        <v>25</v>
      </c>
    </row>
    <row r="528" spans="16:41">
      <c r="R528" s="97" t="s">
        <v>6250</v>
      </c>
      <c r="S528" s="93">
        <v>1105777.5430340001</v>
      </c>
      <c r="U528" s="19" t="s">
        <v>6890</v>
      </c>
      <c r="V528" s="19">
        <v>1044</v>
      </c>
      <c r="W528" s="115">
        <v>2673.5657609999998</v>
      </c>
      <c r="X528" s="115">
        <f t="shared" si="75"/>
        <v>2791202.6544840001</v>
      </c>
      <c r="Y528" s="415" t="s">
        <v>5095</v>
      </c>
    </row>
    <row r="529" spans="15:28">
      <c r="R529" s="97" t="s">
        <v>6253</v>
      </c>
      <c r="S529" s="93">
        <v>2315234.8602510002</v>
      </c>
      <c r="U529" s="19" t="s">
        <v>6891</v>
      </c>
      <c r="V529" s="19">
        <v>90</v>
      </c>
      <c r="W529" s="115">
        <v>2757.13409</v>
      </c>
      <c r="X529" s="115">
        <f t="shared" si="75"/>
        <v>248142.0681</v>
      </c>
      <c r="Y529" s="415" t="s">
        <v>5095</v>
      </c>
      <c r="Z529" t="s">
        <v>25</v>
      </c>
    </row>
    <row r="530" spans="15:28">
      <c r="R530" s="97" t="s">
        <v>6254</v>
      </c>
      <c r="S530" s="93">
        <v>4136360.6541840001</v>
      </c>
      <c r="U530" s="187" t="s">
        <v>6916</v>
      </c>
      <c r="V530" s="187">
        <v>-20619</v>
      </c>
      <c r="W530" s="186">
        <v>2901.357</v>
      </c>
      <c r="X530" s="186">
        <f t="shared" si="75"/>
        <v>-59823079.983000003</v>
      </c>
      <c r="Y530" s="454" t="s">
        <v>5820</v>
      </c>
      <c r="Z530" t="s">
        <v>25</v>
      </c>
    </row>
    <row r="531" spans="15:28">
      <c r="O531" s="112"/>
      <c r="R531" s="97" t="s">
        <v>6256</v>
      </c>
      <c r="S531" s="93">
        <v>3035714.4702960001</v>
      </c>
      <c r="U531" s="187" t="s">
        <v>6916</v>
      </c>
      <c r="V531" s="187">
        <v>-6894</v>
      </c>
      <c r="W531" s="186">
        <v>2901.357</v>
      </c>
      <c r="X531" s="186">
        <f t="shared" si="75"/>
        <v>-20001955.158</v>
      </c>
      <c r="Y531" s="454" t="s">
        <v>6917</v>
      </c>
    </row>
    <row r="532" spans="15:28">
      <c r="R532" s="97" t="s">
        <v>6263</v>
      </c>
      <c r="S532" s="93">
        <v>-179906186.46823201</v>
      </c>
      <c r="U532" s="19" t="s">
        <v>6916</v>
      </c>
      <c r="V532" s="19">
        <v>6894</v>
      </c>
      <c r="W532" s="115">
        <v>2901.357</v>
      </c>
      <c r="X532" s="115">
        <f t="shared" si="75"/>
        <v>20001955.158</v>
      </c>
      <c r="Y532" s="415" t="s">
        <v>6919</v>
      </c>
      <c r="AA532" t="s">
        <v>25</v>
      </c>
    </row>
    <row r="533" spans="15:28">
      <c r="R533" s="97" t="s">
        <v>6267</v>
      </c>
      <c r="S533" s="93">
        <v>345069.28943499998</v>
      </c>
      <c r="U533" s="19" t="s">
        <v>6916</v>
      </c>
      <c r="V533" s="19">
        <v>-193841</v>
      </c>
      <c r="W533" s="115">
        <v>2901.357</v>
      </c>
      <c r="X533" s="115">
        <f t="shared" si="75"/>
        <v>-562401942.23699999</v>
      </c>
      <c r="Y533" s="415" t="s">
        <v>5402</v>
      </c>
      <c r="Z533" t="s">
        <v>25</v>
      </c>
    </row>
    <row r="534" spans="15:28">
      <c r="R534" s="97" t="s">
        <v>6358</v>
      </c>
      <c r="S534" s="93">
        <v>567785.37859199999</v>
      </c>
      <c r="U534" s="19" t="s">
        <v>6916</v>
      </c>
      <c r="V534" s="19">
        <v>-155192</v>
      </c>
      <c r="W534" s="115">
        <v>2901.357</v>
      </c>
      <c r="X534" s="115">
        <f t="shared" si="75"/>
        <v>-450267395.54399997</v>
      </c>
      <c r="Y534" s="415" t="s">
        <v>5821</v>
      </c>
    </row>
    <row r="535" spans="15:28">
      <c r="R535" s="97" t="s">
        <v>6369</v>
      </c>
      <c r="S535" s="93">
        <v>189683.91675</v>
      </c>
      <c r="U535" s="19" t="s">
        <v>6916</v>
      </c>
      <c r="V535" s="19">
        <v>172</v>
      </c>
      <c r="W535" s="115">
        <v>2901.357</v>
      </c>
      <c r="X535" s="115">
        <f t="shared" si="75"/>
        <v>499033.40399999998</v>
      </c>
      <c r="Y535" s="415" t="s">
        <v>5808</v>
      </c>
    </row>
    <row r="536" spans="15:28">
      <c r="R536" s="97" t="s">
        <v>6370</v>
      </c>
      <c r="S536" s="93">
        <v>10000000</v>
      </c>
      <c r="U536" s="19" t="s">
        <v>6916</v>
      </c>
      <c r="V536" s="19">
        <v>1163</v>
      </c>
      <c r="W536" s="115">
        <v>2901.357</v>
      </c>
      <c r="X536" s="115">
        <f t="shared" si="75"/>
        <v>3374278.1910000001</v>
      </c>
      <c r="Y536" s="415" t="s">
        <v>5095</v>
      </c>
    </row>
    <row r="537" spans="15:28">
      <c r="R537" s="97" t="s">
        <v>6370</v>
      </c>
      <c r="S537" s="93">
        <v>519135.75707200001</v>
      </c>
      <c r="U537" s="19" t="s">
        <v>6924</v>
      </c>
      <c r="V537" s="19">
        <v>17233</v>
      </c>
      <c r="W537" s="115">
        <v>2901.357</v>
      </c>
      <c r="X537" s="115">
        <f t="shared" si="75"/>
        <v>49999085.181000002</v>
      </c>
      <c r="Y537" s="415" t="s">
        <v>6925</v>
      </c>
    </row>
    <row r="538" spans="15:28">
      <c r="R538" s="97" t="s">
        <v>6376</v>
      </c>
      <c r="S538" s="93">
        <v>3406413.9029760002</v>
      </c>
      <c r="U538" s="19" t="s">
        <v>6924</v>
      </c>
      <c r="V538" s="19">
        <v>10340</v>
      </c>
      <c r="W538" s="115">
        <v>2901.357</v>
      </c>
      <c r="X538" s="115">
        <f t="shared" si="75"/>
        <v>30000031.379999999</v>
      </c>
      <c r="Y538" s="415" t="s">
        <v>5808</v>
      </c>
      <c r="AA538" t="s">
        <v>25</v>
      </c>
    </row>
    <row r="539" spans="15:28">
      <c r="R539" s="97" t="s">
        <v>6378</v>
      </c>
      <c r="S539" s="93">
        <v>435036.348168</v>
      </c>
      <c r="U539" s="19" t="s">
        <v>6931</v>
      </c>
      <c r="V539" s="19">
        <v>17234</v>
      </c>
      <c r="W539" s="115">
        <v>2901.357</v>
      </c>
      <c r="X539" s="115">
        <f t="shared" si="75"/>
        <v>50001986.538000003</v>
      </c>
      <c r="Y539" s="415" t="s">
        <v>6925</v>
      </c>
      <c r="AA539" t="s">
        <v>25</v>
      </c>
    </row>
    <row r="540" spans="15:28">
      <c r="R540" s="97" t="s">
        <v>6409</v>
      </c>
      <c r="S540" s="93">
        <v>2321535.4633200001</v>
      </c>
      <c r="U540" s="19" t="s">
        <v>6932</v>
      </c>
      <c r="V540" s="19">
        <v>17234</v>
      </c>
      <c r="W540" s="115">
        <v>2901.357</v>
      </c>
      <c r="X540" s="115">
        <f t="shared" si="75"/>
        <v>50001986.538000003</v>
      </c>
      <c r="Y540" s="415" t="s">
        <v>6925</v>
      </c>
      <c r="AA540" t="s">
        <v>25</v>
      </c>
    </row>
    <row r="541" spans="15:28">
      <c r="R541" s="97" t="s">
        <v>6690</v>
      </c>
      <c r="S541" s="93">
        <v>1098146.8035800001</v>
      </c>
      <c r="U541" s="19" t="s">
        <v>6932</v>
      </c>
      <c r="V541" s="19">
        <v>17234</v>
      </c>
      <c r="W541" s="115">
        <v>2901.357</v>
      </c>
      <c r="X541" s="115">
        <f t="shared" si="75"/>
        <v>50001986.538000003</v>
      </c>
      <c r="Y541" s="415" t="s">
        <v>6937</v>
      </c>
      <c r="AB541" t="s">
        <v>25</v>
      </c>
    </row>
    <row r="542" spans="15:28">
      <c r="R542" s="97" t="s">
        <v>6695</v>
      </c>
      <c r="S542" s="93">
        <v>540424.560405</v>
      </c>
      <c r="U542" s="19" t="s">
        <v>6933</v>
      </c>
      <c r="V542" s="19">
        <v>17233</v>
      </c>
      <c r="W542" s="115">
        <v>2901.357</v>
      </c>
      <c r="X542" s="115">
        <f t="shared" si="75"/>
        <v>49999085.181000002</v>
      </c>
      <c r="Y542" s="415" t="s">
        <v>6925</v>
      </c>
      <c r="AA542" t="s">
        <v>25</v>
      </c>
    </row>
    <row r="543" spans="15:28">
      <c r="R543" s="97" t="s">
        <v>6696</v>
      </c>
      <c r="S543" s="93">
        <v>2781712.2405709997</v>
      </c>
      <c r="U543" s="19" t="s">
        <v>6934</v>
      </c>
      <c r="V543" s="19">
        <v>34467</v>
      </c>
      <c r="W543" s="115">
        <v>2901.357</v>
      </c>
      <c r="X543" s="115">
        <f t="shared" si="75"/>
        <v>100001071.719</v>
      </c>
      <c r="Y543" s="415" t="s">
        <v>6925</v>
      </c>
    </row>
    <row r="544" spans="15:28">
      <c r="R544" s="97" t="s">
        <v>6699</v>
      </c>
      <c r="S544" s="93">
        <v>159680.86334900002</v>
      </c>
      <c r="U544" s="19" t="s">
        <v>6936</v>
      </c>
      <c r="V544" s="19">
        <v>17233</v>
      </c>
      <c r="W544" s="115">
        <v>2901.357</v>
      </c>
      <c r="X544" s="115">
        <f t="shared" si="75"/>
        <v>49999085.181000002</v>
      </c>
      <c r="Y544" s="415" t="s">
        <v>6925</v>
      </c>
    </row>
    <row r="545" spans="18:28">
      <c r="R545" s="97" t="s">
        <v>6723</v>
      </c>
      <c r="S545" s="93">
        <v>13945790.265610002</v>
      </c>
      <c r="U545" s="19" t="s">
        <v>6938</v>
      </c>
      <c r="V545" s="19">
        <v>928</v>
      </c>
      <c r="W545" s="115">
        <v>2820</v>
      </c>
      <c r="X545" s="115">
        <f t="shared" si="75"/>
        <v>2616960</v>
      </c>
      <c r="Y545" s="415" t="s">
        <v>5095</v>
      </c>
    </row>
    <row r="546" spans="18:28">
      <c r="R546" s="97" t="s">
        <v>6725</v>
      </c>
      <c r="S546" s="93">
        <v>457914.84466800001</v>
      </c>
      <c r="U546" s="19" t="s">
        <v>6938</v>
      </c>
      <c r="V546" s="19">
        <v>-3980</v>
      </c>
      <c r="W546" s="115">
        <v>2838.81</v>
      </c>
      <c r="X546" s="115">
        <f t="shared" si="75"/>
        <v>-11298463.799999999</v>
      </c>
      <c r="Y546" s="415" t="s">
        <v>6939</v>
      </c>
    </row>
    <row r="547" spans="18:28">
      <c r="R547" s="97" t="s">
        <v>6727</v>
      </c>
      <c r="S547" s="93">
        <v>974570.33942399989</v>
      </c>
      <c r="U547" s="19" t="s">
        <v>6938</v>
      </c>
      <c r="V547" s="19">
        <v>3980</v>
      </c>
      <c r="W547" s="115">
        <v>2838.81</v>
      </c>
      <c r="X547" s="115">
        <f t="shared" si="75"/>
        <v>11298463.799999999</v>
      </c>
      <c r="Y547" s="415" t="s">
        <v>6940</v>
      </c>
      <c r="AB547" t="s">
        <v>25</v>
      </c>
    </row>
    <row r="548" spans="18:28">
      <c r="R548" s="97" t="s">
        <v>6729</v>
      </c>
      <c r="S548" s="93">
        <v>746198.52596400003</v>
      </c>
      <c r="U548" s="19" t="s">
        <v>6938</v>
      </c>
      <c r="V548" s="19">
        <v>23077</v>
      </c>
      <c r="W548" s="115">
        <v>2838.81</v>
      </c>
      <c r="X548" s="115">
        <f t="shared" ref="X548:X563" si="96">V548*W548</f>
        <v>65511218.369999997</v>
      </c>
      <c r="Y548" s="415" t="s">
        <v>6941</v>
      </c>
    </row>
    <row r="549" spans="18:28">
      <c r="R549" s="97" t="s">
        <v>6731</v>
      </c>
      <c r="S549" s="93">
        <v>416108</v>
      </c>
      <c r="U549" s="19" t="s">
        <v>6942</v>
      </c>
      <c r="V549" s="19">
        <v>8806</v>
      </c>
      <c r="W549" s="115">
        <v>2838.81</v>
      </c>
      <c r="X549" s="115">
        <f t="shared" si="96"/>
        <v>24998560.859999999</v>
      </c>
      <c r="Y549" s="415" t="s">
        <v>6941</v>
      </c>
      <c r="AA549" t="s">
        <v>25</v>
      </c>
    </row>
    <row r="550" spans="18:28">
      <c r="R550" s="97" t="s">
        <v>6743</v>
      </c>
      <c r="S550" s="93">
        <v>361620.57555000001</v>
      </c>
      <c r="U550" s="19" t="s">
        <v>6945</v>
      </c>
      <c r="V550" s="19">
        <v>88</v>
      </c>
      <c r="W550" s="115">
        <v>2881.3336610000001</v>
      </c>
      <c r="X550" s="115">
        <f t="shared" si="96"/>
        <v>253557.36216800002</v>
      </c>
      <c r="Y550" s="415" t="s">
        <v>5095</v>
      </c>
      <c r="AB550" t="s">
        <v>25</v>
      </c>
    </row>
    <row r="551" spans="18:28">
      <c r="R551" s="97" t="s">
        <v>6744</v>
      </c>
      <c r="S551" s="93">
        <v>761310.51884999999</v>
      </c>
      <c r="U551" s="19" t="s">
        <v>6945</v>
      </c>
      <c r="V551" s="19">
        <v>4729</v>
      </c>
      <c r="W551" s="115">
        <v>2881.3336610000001</v>
      </c>
      <c r="X551" s="115">
        <f t="shared" si="96"/>
        <v>13625826.882869001</v>
      </c>
      <c r="Y551" s="415" t="s">
        <v>6947</v>
      </c>
      <c r="AB551" t="s">
        <v>25</v>
      </c>
    </row>
    <row r="552" spans="18:28">
      <c r="R552" s="97" t="s">
        <v>6746</v>
      </c>
      <c r="S552" s="93">
        <v>3047100.3041699999</v>
      </c>
      <c r="U552" s="19" t="s">
        <v>6948</v>
      </c>
      <c r="V552" s="19">
        <v>322</v>
      </c>
      <c r="W552" s="115">
        <v>2898.1177969999999</v>
      </c>
      <c r="X552" s="115">
        <f t="shared" si="96"/>
        <v>933193.93063399999</v>
      </c>
      <c r="Y552" s="415" t="s">
        <v>5095</v>
      </c>
    </row>
    <row r="553" spans="18:28">
      <c r="R553" s="97" t="s">
        <v>6748</v>
      </c>
      <c r="S553" s="93">
        <v>2437078.451072</v>
      </c>
      <c r="U553" s="19" t="s">
        <v>6954</v>
      </c>
      <c r="V553" s="19">
        <v>387</v>
      </c>
      <c r="W553" s="115">
        <v>3079.346732</v>
      </c>
      <c r="X553" s="115">
        <f t="shared" si="96"/>
        <v>1191707.1852839999</v>
      </c>
      <c r="Y553" s="415" t="s">
        <v>5095</v>
      </c>
    </row>
    <row r="554" spans="18:28">
      <c r="R554" s="97" t="s">
        <v>6824</v>
      </c>
      <c r="S554" s="93">
        <v>7747639.4065840002</v>
      </c>
      <c r="U554" s="19" t="s">
        <v>6956</v>
      </c>
      <c r="V554" s="19">
        <v>807</v>
      </c>
      <c r="W554" s="115">
        <v>3145.9883460000001</v>
      </c>
      <c r="X554" s="115">
        <f t="shared" si="96"/>
        <v>2538812.595222</v>
      </c>
      <c r="Y554" s="415" t="s">
        <v>5095</v>
      </c>
      <c r="Z554" t="s">
        <v>25</v>
      </c>
    </row>
    <row r="555" spans="18:28">
      <c r="R555" s="97" t="s">
        <v>6825</v>
      </c>
      <c r="S555" s="93">
        <v>5584918.3522559991</v>
      </c>
      <c r="U555" s="187" t="s">
        <v>6964</v>
      </c>
      <c r="V555" s="187">
        <v>-5039</v>
      </c>
      <c r="W555" s="186">
        <v>3008.7638149999998</v>
      </c>
      <c r="X555" s="186">
        <f t="shared" si="96"/>
        <v>-15161160.863784999</v>
      </c>
      <c r="Y555" s="454" t="s">
        <v>6965</v>
      </c>
    </row>
    <row r="556" spans="18:28">
      <c r="R556" s="97" t="s">
        <v>6826</v>
      </c>
      <c r="S556" s="93">
        <v>573666.77206800005</v>
      </c>
      <c r="U556" s="19" t="s">
        <v>6964</v>
      </c>
      <c r="V556" s="19">
        <v>666</v>
      </c>
      <c r="W556" s="115">
        <v>3028.3040940000001</v>
      </c>
      <c r="X556" s="115">
        <f t="shared" si="96"/>
        <v>2016850.526604</v>
      </c>
      <c r="Y556" s="415" t="s">
        <v>5095</v>
      </c>
    </row>
    <row r="557" spans="18:28">
      <c r="R557" s="97" t="s">
        <v>6831</v>
      </c>
      <c r="S557" s="93">
        <v>1870018.6536539998</v>
      </c>
      <c r="U557" s="19" t="s">
        <v>6967</v>
      </c>
      <c r="V557" s="19">
        <v>44</v>
      </c>
      <c r="W557" s="115">
        <v>2971.6949030000001</v>
      </c>
      <c r="X557" s="115">
        <f t="shared" si="96"/>
        <v>130754.575732</v>
      </c>
      <c r="Y557" s="415" t="s">
        <v>5095</v>
      </c>
    </row>
    <row r="558" spans="18:28">
      <c r="R558" s="97" t="s">
        <v>6836</v>
      </c>
      <c r="S558" s="93">
        <v>117222.435308</v>
      </c>
      <c r="U558" s="19" t="s">
        <v>6968</v>
      </c>
      <c r="V558" s="19">
        <v>52</v>
      </c>
      <c r="W558" s="115">
        <v>2956.8541150000001</v>
      </c>
      <c r="X558" s="115">
        <f t="shared" si="96"/>
        <v>153756.41398000001</v>
      </c>
      <c r="Y558" s="415" t="s">
        <v>5095</v>
      </c>
    </row>
    <row r="559" spans="18:28">
      <c r="R559" s="97" t="s">
        <v>6838</v>
      </c>
      <c r="S559" s="93">
        <v>1940857.6749900002</v>
      </c>
      <c r="U559" s="187" t="s">
        <v>6970</v>
      </c>
      <c r="V559" s="187">
        <v>-3365</v>
      </c>
      <c r="W559" s="186">
        <v>3036.1223669999999</v>
      </c>
      <c r="X559" s="186">
        <f t="shared" si="96"/>
        <v>-10216551.764954999</v>
      </c>
      <c r="Y559" s="454" t="s">
        <v>6965</v>
      </c>
    </row>
    <row r="560" spans="18:28">
      <c r="R560" s="97" t="s">
        <v>6852</v>
      </c>
      <c r="S560" s="93">
        <v>200000000</v>
      </c>
      <c r="U560" s="187" t="s">
        <v>6976</v>
      </c>
      <c r="V560" s="187">
        <v>-1733</v>
      </c>
      <c r="W560" s="186">
        <v>2940.3427999999999</v>
      </c>
      <c r="X560" s="186">
        <f t="shared" si="96"/>
        <v>-5095614.0723999999</v>
      </c>
      <c r="Y560" s="454" t="s">
        <v>6965</v>
      </c>
      <c r="AB560" t="s">
        <v>25</v>
      </c>
    </row>
    <row r="561" spans="18:27">
      <c r="R561" s="97" t="s">
        <v>6859</v>
      </c>
      <c r="S561" s="93">
        <v>195324.59944799999</v>
      </c>
      <c r="U561" s="19" t="s">
        <v>6976</v>
      </c>
      <c r="V561" s="19">
        <v>187</v>
      </c>
      <c r="W561" s="115">
        <v>2940</v>
      </c>
      <c r="X561" s="115">
        <f t="shared" si="96"/>
        <v>549780</v>
      </c>
      <c r="Y561" s="415" t="s">
        <v>5095</v>
      </c>
    </row>
    <row r="562" spans="18:27">
      <c r="R562" s="97" t="s">
        <v>6859</v>
      </c>
      <c r="S562" s="93">
        <v>20318581.172208</v>
      </c>
      <c r="U562" s="19" t="s">
        <v>6977</v>
      </c>
      <c r="V562" s="19">
        <v>509</v>
      </c>
      <c r="W562" s="115">
        <v>2877.8520050000002</v>
      </c>
      <c r="X562" s="115">
        <f t="shared" si="96"/>
        <v>1464826.6705450001</v>
      </c>
      <c r="Y562" s="415" t="s">
        <v>5095</v>
      </c>
    </row>
    <row r="563" spans="18:27">
      <c r="R563" s="97" t="s">
        <v>6861</v>
      </c>
      <c r="S563" s="93">
        <v>2893976.613864</v>
      </c>
      <c r="U563" s="19" t="s">
        <v>6983</v>
      </c>
      <c r="V563" s="19">
        <v>104</v>
      </c>
      <c r="W563" s="115">
        <v>2870.0135799999998</v>
      </c>
      <c r="X563" s="115">
        <f t="shared" si="96"/>
        <v>298481.41232</v>
      </c>
      <c r="Y563" s="415" t="s">
        <v>5095</v>
      </c>
    </row>
    <row r="564" spans="18:27">
      <c r="R564" s="97" t="s">
        <v>6862</v>
      </c>
      <c r="S564" s="93">
        <v>348175.86130300001</v>
      </c>
      <c r="U564" s="19"/>
      <c r="V564" s="19"/>
      <c r="W564" s="115"/>
      <c r="X564" s="115"/>
      <c r="Y564" s="415"/>
      <c r="AA564" t="s">
        <v>25</v>
      </c>
    </row>
    <row r="565" spans="18:27">
      <c r="R565" s="97" t="s">
        <v>6865</v>
      </c>
      <c r="S565" s="93">
        <v>315280.48550000001</v>
      </c>
      <c r="U565" s="19"/>
      <c r="V565" s="19"/>
      <c r="W565" s="115"/>
      <c r="X565" s="115"/>
      <c r="Y565" s="415"/>
    </row>
    <row r="566" spans="18:27">
      <c r="R566" s="97" t="s">
        <v>6865</v>
      </c>
      <c r="S566" s="93">
        <v>6128000</v>
      </c>
      <c r="U566" s="19"/>
      <c r="V566" s="19"/>
      <c r="W566" s="115"/>
      <c r="X566" s="115">
        <f t="shared" si="75"/>
        <v>0</v>
      </c>
      <c r="Y566" s="259"/>
    </row>
    <row r="567" spans="18:27">
      <c r="R567" s="97" t="s">
        <v>6869</v>
      </c>
      <c r="S567" s="93">
        <v>184045.65498799999</v>
      </c>
      <c r="T567" t="s">
        <v>25</v>
      </c>
      <c r="U567" s="97"/>
      <c r="V567" s="166"/>
      <c r="W567" s="111"/>
      <c r="X567" s="115">
        <f t="shared" si="75"/>
        <v>0</v>
      </c>
      <c r="Y567" s="97"/>
    </row>
    <row r="568" spans="18:27">
      <c r="R568" s="97" t="s">
        <v>6884</v>
      </c>
      <c r="S568" s="93">
        <v>3224064.2855249997</v>
      </c>
      <c r="U568" s="166"/>
      <c r="V568" s="166">
        <f>SUM(V154:V567)</f>
        <v>4238109</v>
      </c>
      <c r="W568" s="97"/>
      <c r="X568" s="97"/>
      <c r="Y568" s="97"/>
    </row>
    <row r="569" spans="18:27">
      <c r="R569" s="97" t="s">
        <v>6885</v>
      </c>
      <c r="S569" s="93">
        <v>145302.32212200001</v>
      </c>
      <c r="U569" s="97"/>
      <c r="V569" s="97" t="s">
        <v>6</v>
      </c>
      <c r="W569" s="97"/>
      <c r="X569" s="97"/>
      <c r="Y569" s="97"/>
    </row>
    <row r="570" spans="18:27">
      <c r="R570" s="97" t="s">
        <v>6887</v>
      </c>
      <c r="S570" s="93">
        <v>7184125.4612399992</v>
      </c>
      <c r="U570" s="196" t="s">
        <v>4432</v>
      </c>
      <c r="AA570" t="s">
        <v>25</v>
      </c>
    </row>
    <row r="571" spans="18:27">
      <c r="R571" s="97" t="s">
        <v>6889</v>
      </c>
      <c r="S571" s="93">
        <v>8260484.4756000005</v>
      </c>
      <c r="U571" s="195">
        <f>S170/V568</f>
        <v>3046.9903848626827</v>
      </c>
      <c r="Y571" t="s">
        <v>25</v>
      </c>
    </row>
    <row r="572" spans="18:27">
      <c r="R572" s="97" t="s">
        <v>6890</v>
      </c>
      <c r="S572" s="93">
        <v>2791202.6544840001</v>
      </c>
      <c r="X572" s="112"/>
    </row>
    <row r="573" spans="18:27">
      <c r="R573" s="97" t="s">
        <v>6891</v>
      </c>
      <c r="S573" s="93">
        <v>248142.0681</v>
      </c>
      <c r="V573" s="94" t="s">
        <v>267</v>
      </c>
      <c r="W573" t="s">
        <v>4433</v>
      </c>
      <c r="Y573" t="s">
        <v>25</v>
      </c>
    </row>
    <row r="574" spans="18:27">
      <c r="R574" s="97" t="s">
        <v>6916</v>
      </c>
      <c r="S574" s="93">
        <v>20001955</v>
      </c>
      <c r="T574" t="s">
        <v>25</v>
      </c>
      <c r="U574" s="112"/>
      <c r="V574" s="93">
        <v>-301291</v>
      </c>
      <c r="W574">
        <f>V574/U571</f>
        <v>-98.881506648921743</v>
      </c>
      <c r="Y574" t="s">
        <v>25</v>
      </c>
    </row>
    <row r="575" spans="18:27">
      <c r="R575" s="97" t="s">
        <v>6916</v>
      </c>
      <c r="S575" s="93">
        <v>-562401942</v>
      </c>
      <c r="U575" t="s">
        <v>25</v>
      </c>
      <c r="Y575" t="s">
        <v>25</v>
      </c>
      <c r="AA575" t="s">
        <v>25</v>
      </c>
    </row>
    <row r="576" spans="18:27">
      <c r="R576" s="97" t="s">
        <v>6916</v>
      </c>
      <c r="S576" s="93">
        <v>499033.40399999998</v>
      </c>
      <c r="U576" t="s">
        <v>25</v>
      </c>
      <c r="V576" s="94" t="s">
        <v>25</v>
      </c>
      <c r="W576" s="22"/>
      <c r="X576" s="212"/>
      <c r="Y576" s="268" t="s">
        <v>25</v>
      </c>
    </row>
    <row r="577" spans="18:25">
      <c r="R577" s="97" t="s">
        <v>6916</v>
      </c>
      <c r="S577" s="93">
        <v>3374278.1910000001</v>
      </c>
      <c r="W577" t="s">
        <v>25</v>
      </c>
      <c r="X577" s="94" t="s">
        <v>25</v>
      </c>
      <c r="Y577" t="s">
        <v>25</v>
      </c>
    </row>
    <row r="578" spans="18:25">
      <c r="R578" s="97" t="s">
        <v>6924</v>
      </c>
      <c r="S578" s="93">
        <v>30000000</v>
      </c>
      <c r="U578" t="s">
        <v>25</v>
      </c>
      <c r="X578" s="112"/>
      <c r="Y578" s="112"/>
    </row>
    <row r="579" spans="18:25">
      <c r="R579" s="97" t="s">
        <v>6932</v>
      </c>
      <c r="S579" s="93">
        <v>50000000</v>
      </c>
      <c r="U579" s="22"/>
      <c r="W579" s="212"/>
    </row>
    <row r="580" spans="18:25">
      <c r="R580" s="97" t="s">
        <v>6938</v>
      </c>
      <c r="S580" s="93">
        <v>2616960</v>
      </c>
      <c r="U580" s="22"/>
      <c r="X580" s="268"/>
    </row>
    <row r="581" spans="18:25">
      <c r="R581" s="97" t="s">
        <v>6945</v>
      </c>
      <c r="S581" s="93">
        <v>253557.36216800002</v>
      </c>
    </row>
    <row r="582" spans="18:25">
      <c r="R582" s="97" t="s">
        <v>6945</v>
      </c>
      <c r="S582" s="93">
        <v>13625826.882869001</v>
      </c>
    </row>
    <row r="583" spans="18:25">
      <c r="R583" s="97" t="s">
        <v>6948</v>
      </c>
      <c r="S583" s="93">
        <v>933193.93063399999</v>
      </c>
      <c r="U583" s="97" t="s">
        <v>4434</v>
      </c>
      <c r="V583" s="97" t="s">
        <v>4415</v>
      </c>
      <c r="W583" s="97" t="s">
        <v>936</v>
      </c>
      <c r="X583" s="354"/>
    </row>
    <row r="584" spans="18:25">
      <c r="R584" s="97" t="s">
        <v>6954</v>
      </c>
      <c r="S584" s="115">
        <v>1191707.1852839999</v>
      </c>
      <c r="U584" s="93">
        <f>T229+S309+S594</f>
        <v>2086793633.4222875</v>
      </c>
      <c r="V584" s="93">
        <f>S170</f>
        <v>12913477373</v>
      </c>
      <c r="W584" s="93">
        <f>V584-U584</f>
        <v>10826683739.577713</v>
      </c>
    </row>
    <row r="585" spans="18:25">
      <c r="R585" s="97" t="s">
        <v>6956</v>
      </c>
      <c r="S585" s="93">
        <v>2538812.595222</v>
      </c>
      <c r="X585" s="94" t="s">
        <v>25</v>
      </c>
    </row>
    <row r="586" spans="18:25">
      <c r="R586" s="97" t="s">
        <v>6964</v>
      </c>
      <c r="S586" s="93">
        <v>2016850.526604</v>
      </c>
      <c r="W586">
        <v>193</v>
      </c>
    </row>
    <row r="587" spans="18:25">
      <c r="R587" s="97" t="s">
        <v>6967</v>
      </c>
      <c r="S587" s="93">
        <v>130754.575732</v>
      </c>
      <c r="U587" s="94" t="s">
        <v>5403</v>
      </c>
      <c r="V587" s="120">
        <v>353427</v>
      </c>
      <c r="W587" s="112">
        <f>V587*$W$586</f>
        <v>68211411</v>
      </c>
    </row>
    <row r="588" spans="18:25">
      <c r="R588" s="97" t="s">
        <v>6968</v>
      </c>
      <c r="S588" s="93">
        <v>153756.41398000001</v>
      </c>
      <c r="U588" t="s">
        <v>6881</v>
      </c>
      <c r="V588">
        <v>2333000</v>
      </c>
      <c r="W588" s="112">
        <f>V588*$W$586</f>
        <v>450269000</v>
      </c>
    </row>
    <row r="589" spans="18:25">
      <c r="R589" s="97" t="s">
        <v>6976</v>
      </c>
      <c r="S589" s="93">
        <v>549780</v>
      </c>
      <c r="U589" s="455" t="s">
        <v>1069</v>
      </c>
      <c r="V589" s="456">
        <v>309975</v>
      </c>
      <c r="W589" s="457">
        <f>V589*$W$586</f>
        <v>59825175</v>
      </c>
    </row>
    <row r="590" spans="18:25">
      <c r="R590" s="97" t="s">
        <v>6977</v>
      </c>
      <c r="S590" s="93">
        <v>1464826.6705450001</v>
      </c>
      <c r="U590" t="s">
        <v>452</v>
      </c>
      <c r="V590" s="113">
        <v>2914000</v>
      </c>
      <c r="W590" s="112">
        <f>V590*$W$586</f>
        <v>562402000</v>
      </c>
    </row>
    <row r="591" spans="18:25">
      <c r="R591" s="97" t="s">
        <v>6983</v>
      </c>
      <c r="S591" s="93">
        <v>298481.41232</v>
      </c>
      <c r="T591" t="s">
        <v>25</v>
      </c>
      <c r="U591" s="112" t="s">
        <v>25</v>
      </c>
    </row>
    <row r="592" spans="18:25">
      <c r="R592" s="97"/>
      <c r="S592" s="93"/>
      <c r="U592" t="s">
        <v>25</v>
      </c>
    </row>
    <row r="593" spans="18:25">
      <c r="R593" s="97" t="s">
        <v>25</v>
      </c>
      <c r="S593" s="97" t="s">
        <v>25</v>
      </c>
      <c r="U593" t="s">
        <v>25</v>
      </c>
      <c r="W593" t="s">
        <v>25</v>
      </c>
      <c r="Y593" s="112"/>
    </row>
    <row r="594" spans="18:25">
      <c r="R594" s="97"/>
      <c r="S594" s="93">
        <f>SUM(S314:S593)</f>
        <v>1926898254.6943796</v>
      </c>
      <c r="X594" s="94" t="s">
        <v>25</v>
      </c>
    </row>
    <row r="595" spans="18:25">
      <c r="S595" s="97" t="s">
        <v>6</v>
      </c>
      <c r="U595" t="s">
        <v>25</v>
      </c>
    </row>
    <row r="596" spans="18:25">
      <c r="T596" t="s">
        <v>25</v>
      </c>
      <c r="U596" t="s">
        <v>25</v>
      </c>
    </row>
    <row r="597" spans="18:25">
      <c r="R597" t="s">
        <v>25</v>
      </c>
      <c r="U597" s="354" t="s">
        <v>25</v>
      </c>
      <c r="V597" s="354"/>
      <c r="W597" s="354"/>
    </row>
    <row r="598" spans="18:25">
      <c r="R598" t="s">
        <v>25</v>
      </c>
      <c r="U598" s="354" t="s">
        <v>25</v>
      </c>
      <c r="V598" s="354"/>
      <c r="W598" s="354"/>
      <c r="X598" s="94" t="s">
        <v>25</v>
      </c>
    </row>
    <row r="599" spans="18:25">
      <c r="R599" t="s">
        <v>25</v>
      </c>
      <c r="S599" t="s">
        <v>25</v>
      </c>
      <c r="U599" s="354"/>
      <c r="V599" s="354"/>
      <c r="W599" s="354"/>
      <c r="Y599" t="s">
        <v>25</v>
      </c>
    </row>
    <row r="600" spans="18:25">
      <c r="R600" t="s">
        <v>25</v>
      </c>
      <c r="S600" t="s">
        <v>25</v>
      </c>
      <c r="U600" s="354"/>
      <c r="V600" s="354"/>
      <c r="W600" s="354" t="s">
        <v>25</v>
      </c>
    </row>
    <row r="601" spans="18:25">
      <c r="R601" s="112"/>
      <c r="S601" t="s">
        <v>25</v>
      </c>
      <c r="U601" s="354"/>
      <c r="V601" s="354"/>
      <c r="W601" s="354"/>
    </row>
    <row r="602" spans="18:25">
      <c r="U602" s="354" t="s">
        <v>25</v>
      </c>
      <c r="V602" s="354" t="s">
        <v>25</v>
      </c>
      <c r="W602" s="354"/>
    </row>
    <row r="603" spans="18:25">
      <c r="S603" t="s">
        <v>25</v>
      </c>
      <c r="U603" s="354"/>
      <c r="V603" s="354"/>
      <c r="W603" s="354"/>
    </row>
    <row r="604" spans="18:25">
      <c r="R604" t="s">
        <v>25</v>
      </c>
      <c r="U604" s="354"/>
      <c r="V604" s="354"/>
      <c r="W604" s="354"/>
    </row>
    <row r="605" spans="18:25">
      <c r="U605" s="354"/>
      <c r="V605" s="354"/>
      <c r="W605" s="354"/>
    </row>
    <row r="606" spans="18:25">
      <c r="U606" s="354"/>
      <c r="V606" s="354"/>
      <c r="W606" s="354"/>
    </row>
    <row r="607" spans="18:25">
      <c r="U607" s="354"/>
      <c r="V607" s="354"/>
      <c r="W607" s="354"/>
    </row>
    <row r="608" spans="18:25">
      <c r="U608" s="354"/>
      <c r="V608" s="354"/>
      <c r="W608" s="354"/>
      <c r="Y608" t="s">
        <v>25</v>
      </c>
    </row>
    <row r="609" spans="21:24">
      <c r="U609" s="354"/>
      <c r="V609" s="354"/>
      <c r="W609" s="354"/>
    </row>
    <row r="610" spans="21:24">
      <c r="U610" s="354"/>
      <c r="V610" s="354"/>
      <c r="W610" s="354"/>
    </row>
    <row r="611" spans="21:24">
      <c r="U611" s="354"/>
      <c r="V611" s="354"/>
      <c r="W611" s="354"/>
    </row>
    <row r="613" spans="21:24">
      <c r="U613" s="94"/>
      <c r="W613" s="94"/>
    </row>
    <row r="614" spans="21:24">
      <c r="U614" s="94"/>
      <c r="W614" s="94"/>
      <c r="X614" s="112"/>
    </row>
    <row r="615" spans="21:24">
      <c r="U615" s="94"/>
      <c r="W615" s="94"/>
    </row>
    <row r="616" spans="21:24">
      <c r="U616" s="94"/>
      <c r="W616" s="94"/>
    </row>
    <row r="618" spans="21:24">
      <c r="V618" s="112"/>
    </row>
  </sheetData>
  <mergeCells count="1">
    <mergeCell ref="J85:K85"/>
  </mergeCells>
  <conditionalFormatting sqref="G3:G6">
    <cfRule type="cellIs" dxfId="15" priority="15" operator="greaterThan">
      <formula>0</formula>
    </cfRule>
  </conditionalFormatting>
  <conditionalFormatting sqref="G2:G62">
    <cfRule type="cellIs" dxfId="14" priority="14" operator="greaterThan">
      <formula>0</formula>
    </cfRule>
  </conditionalFormatting>
  <conditionalFormatting sqref="G67:G74 G1:G65 G124 G135:G137 G343:G1048576 G332:G338 G150:G164 G105:G111">
    <cfRule type="cellIs" dxfId="13" priority="13" operator="lessThan">
      <formula>0</formula>
    </cfRule>
  </conditionalFormatting>
  <pageMargins left="0.7" right="0.7" top="0.75" bottom="0.75" header="0.3" footer="0.3"/>
  <pageSetup orientation="portrait" r:id="rId1"/>
  <ignoredErrors>
    <ignoredError sqref="N10" formulaRange="1"/>
    <ignoredError sqref="T22 T34 T41 T44:T45 T105:T106 T108"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C238"/>
  <sheetViews>
    <sheetView topLeftCell="A34" zoomScale="80" zoomScaleNormal="80" workbookViewId="0">
      <selection activeCell="S39" sqref="R39:S43"/>
    </sheetView>
  </sheetViews>
  <sheetFormatPr defaultRowHeight="15"/>
  <cols>
    <col min="1" max="1" width="12.5703125" customWidth="1"/>
    <col min="2" max="2" width="11.85546875" customWidth="1"/>
    <col min="3" max="3" width="17.7109375" bestFit="1" customWidth="1"/>
    <col min="4" max="4" width="17.28515625" bestFit="1" customWidth="1"/>
    <col min="5" max="6" width="14" customWidth="1"/>
    <col min="7" max="7" width="17.140625" customWidth="1"/>
    <col min="8" max="8" width="18.42578125" bestFit="1" customWidth="1"/>
    <col min="9" max="9" width="13.140625" customWidth="1"/>
    <col min="10" max="10" width="20.42578125" bestFit="1" customWidth="1"/>
    <col min="11" max="11" width="17.140625" bestFit="1" customWidth="1"/>
    <col min="12" max="12" width="19.85546875" customWidth="1"/>
    <col min="13" max="13" width="14.85546875" bestFit="1" customWidth="1"/>
    <col min="14" max="14" width="17.140625" bestFit="1" customWidth="1"/>
    <col min="15" max="15" width="11.5703125" bestFit="1" customWidth="1"/>
    <col min="16" max="16" width="22.28515625" customWidth="1"/>
    <col min="17" max="17" width="15.85546875" bestFit="1" customWidth="1"/>
    <col min="18" max="18" width="27" customWidth="1"/>
    <col min="19" max="19" width="25" bestFit="1" customWidth="1"/>
    <col min="20" max="20" width="15.85546875" bestFit="1" customWidth="1"/>
    <col min="21" max="21" width="23.5703125" bestFit="1" customWidth="1"/>
    <col min="22" max="22" width="7.7109375" bestFit="1" customWidth="1"/>
    <col min="23" max="23" width="13" bestFit="1" customWidth="1"/>
    <col min="24" max="24" width="23.140625" bestFit="1" customWidth="1"/>
    <col min="25" max="25" width="12.7109375" bestFit="1" customWidth="1"/>
    <col min="26" max="26" width="17" bestFit="1" customWidth="1"/>
  </cols>
  <sheetData>
    <row r="1" spans="1:29">
      <c r="A1" s="335" t="s">
        <v>5710</v>
      </c>
      <c r="B1" s="335" t="s">
        <v>4358</v>
      </c>
      <c r="C1" s="286">
        <v>16940</v>
      </c>
      <c r="D1" s="335">
        <v>3336</v>
      </c>
      <c r="E1" s="325" t="s">
        <v>4354</v>
      </c>
      <c r="F1" s="324">
        <v>171.46458280816736</v>
      </c>
      <c r="G1" s="325">
        <f t="shared" ref="G1:G9" si="0">C1*D1*0.99114/(F1*1.0037158)</f>
        <v>325453.73781048105</v>
      </c>
      <c r="H1" s="325">
        <f t="shared" ref="H1:H25" si="1">C1/F1</f>
        <v>98.795912966774495</v>
      </c>
      <c r="I1" s="326">
        <f>$R$64/$R$65</f>
        <v>52.841726618705039</v>
      </c>
      <c r="J1" s="336">
        <f t="shared" ref="J1:J33" si="2">I1/H1</f>
        <v>0.53485741496691208</v>
      </c>
      <c r="K1" s="32">
        <f t="shared" ref="K1:K33" si="3">(1/J1-1.0256)*100</f>
        <v>84.405716846584795</v>
      </c>
      <c r="L1" s="336"/>
      <c r="M1" s="336"/>
      <c r="N1" s="336">
        <v>1</v>
      </c>
      <c r="O1" s="40"/>
      <c r="P1" s="40" t="s">
        <v>6390</v>
      </c>
      <c r="Q1" t="s">
        <v>6880</v>
      </c>
      <c r="R1">
        <f>P2/Q2</f>
        <v>0.13515406162464985</v>
      </c>
      <c r="S1" s="94">
        <v>79.34</v>
      </c>
      <c r="T1" s="94"/>
      <c r="U1" s="94"/>
      <c r="V1" s="94"/>
      <c r="W1" s="94"/>
      <c r="X1" s="113"/>
      <c r="Y1" s="113"/>
      <c r="Z1" s="113"/>
      <c r="AA1" s="94"/>
      <c r="AB1" s="94"/>
      <c r="AC1" s="94"/>
    </row>
    <row r="2" spans="1:29">
      <c r="A2" s="335" t="s">
        <v>5718</v>
      </c>
      <c r="B2" s="335" t="s">
        <v>4358</v>
      </c>
      <c r="C2" s="286">
        <v>19359</v>
      </c>
      <c r="D2" s="335">
        <v>3498</v>
      </c>
      <c r="E2" s="325" t="s">
        <v>4354</v>
      </c>
      <c r="F2" s="324">
        <v>185.02646836400302</v>
      </c>
      <c r="G2" s="325">
        <f t="shared" si="0"/>
        <v>361404.12768271239</v>
      </c>
      <c r="H2" s="325">
        <f t="shared" si="1"/>
        <v>104.62827384196186</v>
      </c>
      <c r="I2" s="326">
        <f>$R$64/$R$65</f>
        <v>52.841726618705039</v>
      </c>
      <c r="J2" s="336">
        <f t="shared" si="2"/>
        <v>0.50504251554910506</v>
      </c>
      <c r="K2" s="32">
        <f t="shared" si="3"/>
        <v>95.443132253678641</v>
      </c>
      <c r="L2" s="336" t="s">
        <v>25</v>
      </c>
      <c r="M2" s="336"/>
      <c r="N2" s="336">
        <f>H2/H1</f>
        <v>1.0590344347255418</v>
      </c>
      <c r="O2" s="40"/>
      <c r="P2" s="461">
        <v>193</v>
      </c>
      <c r="Q2" s="462">
        <v>1428</v>
      </c>
      <c r="R2" t="s">
        <v>6882</v>
      </c>
      <c r="S2" s="94" t="s">
        <v>6883</v>
      </c>
      <c r="T2" s="112"/>
      <c r="U2" s="94"/>
      <c r="V2" s="94"/>
      <c r="W2" s="94"/>
      <c r="X2" s="113"/>
      <c r="Y2" s="113"/>
      <c r="Z2" s="113"/>
      <c r="AA2" s="94"/>
      <c r="AB2" s="94"/>
      <c r="AC2" s="94"/>
    </row>
    <row r="3" spans="1:29">
      <c r="A3" s="335" t="s">
        <v>5718</v>
      </c>
      <c r="B3" s="335" t="s">
        <v>4358</v>
      </c>
      <c r="C3" s="286">
        <v>19359</v>
      </c>
      <c r="D3" s="335">
        <v>3611</v>
      </c>
      <c r="E3" s="325" t="s">
        <v>4354</v>
      </c>
      <c r="F3" s="324">
        <v>183.3123266952357</v>
      </c>
      <c r="G3" s="325">
        <f t="shared" si="0"/>
        <v>376567.62685533863</v>
      </c>
      <c r="H3" s="325">
        <f t="shared" si="1"/>
        <v>105.60664603960396</v>
      </c>
      <c r="I3" s="326">
        <f>$R$64/$R$65</f>
        <v>52.841726618705039</v>
      </c>
      <c r="J3" s="336">
        <f t="shared" si="2"/>
        <v>0.50036364755764196</v>
      </c>
      <c r="K3" s="32">
        <f t="shared" si="3"/>
        <v>97.294646691694339</v>
      </c>
      <c r="L3" s="336"/>
      <c r="M3" s="336"/>
      <c r="N3" s="336">
        <f>H3/H2</f>
        <v>1.0093509350935093</v>
      </c>
      <c r="O3" s="40"/>
      <c r="P3" s="40"/>
      <c r="S3" s="113"/>
      <c r="T3" s="113"/>
      <c r="U3" s="113"/>
      <c r="V3" s="113"/>
      <c r="W3" s="113"/>
      <c r="X3" s="113"/>
      <c r="Y3" s="113"/>
      <c r="Z3" s="113"/>
      <c r="AA3" s="113"/>
      <c r="AB3" s="113"/>
      <c r="AC3" s="113"/>
    </row>
    <row r="4" spans="1:29" ht="19.5">
      <c r="A4" s="335" t="s">
        <v>5718</v>
      </c>
      <c r="B4" s="335" t="s">
        <v>4358</v>
      </c>
      <c r="C4" s="286">
        <v>19360.400000000001</v>
      </c>
      <c r="D4" s="335">
        <v>32968</v>
      </c>
      <c r="E4" s="330" t="s">
        <v>4216</v>
      </c>
      <c r="F4" s="327">
        <v>1071.2202344231955</v>
      </c>
      <c r="G4" s="337">
        <f t="shared" si="0"/>
        <v>588372.54986047349</v>
      </c>
      <c r="H4" s="328">
        <f t="shared" si="1"/>
        <v>18.073220966017988</v>
      </c>
      <c r="I4" s="329">
        <f t="shared" ref="I4:I10" si="4">$R$64/$R$61</f>
        <v>9.8922558922558927</v>
      </c>
      <c r="J4" s="32">
        <f t="shared" si="2"/>
        <v>0.5473432716202451</v>
      </c>
      <c r="K4" s="32">
        <f t="shared" si="3"/>
        <v>80.140702073088562</v>
      </c>
      <c r="L4" s="32"/>
      <c r="M4" s="32"/>
      <c r="N4" s="338">
        <v>1</v>
      </c>
      <c r="O4" s="40"/>
      <c r="S4" s="113"/>
      <c r="T4" s="113"/>
      <c r="U4" s="113"/>
      <c r="AA4" s="113"/>
      <c r="AB4" s="113"/>
      <c r="AC4" s="113"/>
    </row>
    <row r="5" spans="1:29" ht="19.5">
      <c r="A5" s="335" t="s">
        <v>5720</v>
      </c>
      <c r="B5" s="335" t="s">
        <v>4358</v>
      </c>
      <c r="C5" s="286">
        <v>19361</v>
      </c>
      <c r="D5" s="335">
        <v>7994</v>
      </c>
      <c r="E5" s="330" t="s">
        <v>4216</v>
      </c>
      <c r="F5" s="327">
        <v>1055.3633559531154</v>
      </c>
      <c r="G5" s="337">
        <f t="shared" si="0"/>
        <v>144815.20425245521</v>
      </c>
      <c r="H5" s="328">
        <f t="shared" si="1"/>
        <v>18.345340389912224</v>
      </c>
      <c r="I5" s="329">
        <f t="shared" si="4"/>
        <v>9.8922558922558927</v>
      </c>
      <c r="J5" s="32">
        <f t="shared" si="2"/>
        <v>0.53922443966727751</v>
      </c>
      <c r="K5" s="32">
        <f t="shared" si="3"/>
        <v>82.891534915041859</v>
      </c>
      <c r="L5" s="32"/>
      <c r="M5" s="32"/>
      <c r="N5" s="338">
        <f t="shared" ref="N5:N10" si="5">H5/H4</f>
        <v>1.0150564984739514</v>
      </c>
      <c r="O5" s="40"/>
      <c r="S5" s="113"/>
      <c r="T5" s="113"/>
      <c r="U5" s="113"/>
      <c r="AA5" s="113"/>
      <c r="AB5" s="113"/>
      <c r="AC5" s="113"/>
    </row>
    <row r="6" spans="1:29" ht="19.5">
      <c r="A6" s="335" t="s">
        <v>5721</v>
      </c>
      <c r="B6" s="335" t="s">
        <v>4358</v>
      </c>
      <c r="C6" s="286">
        <v>19361</v>
      </c>
      <c r="D6" s="335">
        <v>3244</v>
      </c>
      <c r="E6" s="330" t="s">
        <v>4216</v>
      </c>
      <c r="F6" s="327">
        <v>1046.5539790252931</v>
      </c>
      <c r="G6" s="337">
        <f t="shared" si="0"/>
        <v>59261.308994031693</v>
      </c>
      <c r="H6" s="328">
        <f t="shared" si="1"/>
        <v>18.499762447066367</v>
      </c>
      <c r="I6" s="329">
        <f t="shared" si="4"/>
        <v>9.8922558922558927</v>
      </c>
      <c r="J6" s="32">
        <f t="shared" si="2"/>
        <v>0.53472340093883608</v>
      </c>
      <c r="K6" s="32">
        <f t="shared" si="3"/>
        <v>84.452574771229095</v>
      </c>
      <c r="L6" s="32"/>
      <c r="M6" s="32"/>
      <c r="N6" s="338">
        <f t="shared" si="5"/>
        <v>1.0084175084175084</v>
      </c>
      <c r="O6" s="40"/>
      <c r="S6" s="113"/>
      <c r="T6" s="113"/>
      <c r="U6" s="113"/>
      <c r="X6" s="113"/>
      <c r="Y6" s="113"/>
      <c r="Z6" s="113"/>
      <c r="AA6" s="113"/>
      <c r="AB6" s="113"/>
      <c r="AC6" s="113"/>
    </row>
    <row r="7" spans="1:29" ht="19.5">
      <c r="A7" s="335" t="s">
        <v>5718</v>
      </c>
      <c r="B7" s="335" t="s">
        <v>4358</v>
      </c>
      <c r="C7" s="286">
        <v>19360.64</v>
      </c>
      <c r="D7" s="335">
        <v>19092</v>
      </c>
      <c r="E7" s="330" t="s">
        <v>4216</v>
      </c>
      <c r="F7" s="327">
        <v>1043.0302282541641</v>
      </c>
      <c r="G7" s="337">
        <f t="shared" si="0"/>
        <v>349943.94482535077</v>
      </c>
      <c r="H7" s="328">
        <f t="shared" si="1"/>
        <v>18.561916496328262</v>
      </c>
      <c r="I7" s="329">
        <f t="shared" si="4"/>
        <v>9.8922558922558927</v>
      </c>
      <c r="J7" s="32">
        <f t="shared" si="2"/>
        <v>0.5329328948448121</v>
      </c>
      <c r="K7" s="32">
        <f t="shared" si="3"/>
        <v>85.080884935653287</v>
      </c>
      <c r="L7" s="32"/>
      <c r="M7" s="32"/>
      <c r="N7" s="338">
        <f t="shared" si="5"/>
        <v>1.0033597214796535</v>
      </c>
      <c r="O7" s="40"/>
      <c r="S7" s="113"/>
      <c r="T7" s="113"/>
      <c r="U7" s="314" t="s">
        <v>6850</v>
      </c>
      <c r="Y7" s="113"/>
      <c r="Z7" s="113"/>
      <c r="AA7" s="113"/>
      <c r="AB7" s="113"/>
      <c r="AC7" s="113"/>
    </row>
    <row r="8" spans="1:29" ht="19.5">
      <c r="A8" s="335" t="s">
        <v>6396</v>
      </c>
      <c r="B8" s="335" t="s">
        <v>4358</v>
      </c>
      <c r="C8" s="286">
        <v>24630.9</v>
      </c>
      <c r="D8" s="335">
        <v>1137</v>
      </c>
      <c r="E8" s="330" t="s">
        <v>4216</v>
      </c>
      <c r="F8" s="327">
        <v>1434.1665638494758</v>
      </c>
      <c r="G8" s="337">
        <f t="shared" si="0"/>
        <v>19282.591260637706</v>
      </c>
      <c r="H8" s="328">
        <f t="shared" si="1"/>
        <v>17.17436497326203</v>
      </c>
      <c r="I8" s="329">
        <f t="shared" si="4"/>
        <v>9.8922558922558927</v>
      </c>
      <c r="J8" s="32">
        <f t="shared" si="2"/>
        <v>0.57598961636466239</v>
      </c>
      <c r="K8" s="32">
        <f t="shared" si="3"/>
        <v>71.05424088015053</v>
      </c>
      <c r="L8" s="32"/>
      <c r="M8" s="32"/>
      <c r="N8" s="338">
        <f t="shared" si="5"/>
        <v>0.92524739978543136</v>
      </c>
      <c r="O8" s="40"/>
      <c r="S8" s="113"/>
      <c r="T8" s="113"/>
      <c r="U8" s="113"/>
      <c r="Y8" t="s">
        <v>25</v>
      </c>
      <c r="AA8" s="113"/>
      <c r="AB8" s="113"/>
      <c r="AC8" s="113"/>
    </row>
    <row r="9" spans="1:29" ht="19.5">
      <c r="A9" s="335" t="s">
        <v>6405</v>
      </c>
      <c r="B9" s="335" t="s">
        <v>4358</v>
      </c>
      <c r="C9" s="286">
        <v>24498.3</v>
      </c>
      <c r="D9" s="335">
        <v>250</v>
      </c>
      <c r="E9" s="330" t="s">
        <v>4216</v>
      </c>
      <c r="F9" s="327">
        <v>1341.6681061073411</v>
      </c>
      <c r="G9" s="337">
        <f t="shared" si="0"/>
        <v>4507.7010319501242</v>
      </c>
      <c r="H9" s="328">
        <f t="shared" si="1"/>
        <v>18.259582894221378</v>
      </c>
      <c r="I9" s="329">
        <f t="shared" si="4"/>
        <v>9.8922558922558927</v>
      </c>
      <c r="J9" s="32">
        <f t="shared" si="2"/>
        <v>0.54175694754706039</v>
      </c>
      <c r="K9" s="32">
        <f t="shared" si="3"/>
        <v>82.024619454858723</v>
      </c>
      <c r="L9" s="32"/>
      <c r="M9" s="32"/>
      <c r="N9" s="338">
        <f t="shared" si="5"/>
        <v>1.0631882414662128</v>
      </c>
      <c r="O9" s="40"/>
      <c r="S9" s="113"/>
      <c r="T9" s="113"/>
      <c r="U9" s="113"/>
    </row>
    <row r="10" spans="1:29" ht="19.5">
      <c r="A10" s="335" t="s">
        <v>6407</v>
      </c>
      <c r="B10" s="335" t="s">
        <v>4358</v>
      </c>
      <c r="C10" s="286">
        <v>25196.5</v>
      </c>
      <c r="D10" s="335">
        <v>613</v>
      </c>
      <c r="E10" s="330" t="s">
        <v>4216</v>
      </c>
      <c r="F10" s="327">
        <v>1358.5821098087602</v>
      </c>
      <c r="G10" s="416">
        <f>C10*D10*0.9912/(F10*1.003631981)</f>
        <v>11227.979283296863</v>
      </c>
      <c r="H10" s="328">
        <f t="shared" si="1"/>
        <v>18.546173851462513</v>
      </c>
      <c r="I10" s="329">
        <f t="shared" si="4"/>
        <v>9.8922558922558927</v>
      </c>
      <c r="J10" s="32">
        <f t="shared" si="2"/>
        <v>0.53338526703586409</v>
      </c>
      <c r="K10" s="32">
        <f t="shared" si="3"/>
        <v>84.921743835410695</v>
      </c>
      <c r="L10" s="32"/>
      <c r="M10" s="32"/>
      <c r="N10" s="338">
        <f t="shared" si="5"/>
        <v>1.0156953726107201</v>
      </c>
      <c r="O10" s="40"/>
    </row>
    <row r="11" spans="1:29">
      <c r="A11" s="325" t="s">
        <v>5752</v>
      </c>
      <c r="B11" s="325" t="s">
        <v>4354</v>
      </c>
      <c r="C11" s="324">
        <v>151.09654650869675</v>
      </c>
      <c r="D11" s="325">
        <v>52919.78</v>
      </c>
      <c r="E11" s="330" t="s">
        <v>4216</v>
      </c>
      <c r="F11" s="327">
        <v>1024.5305367057372</v>
      </c>
      <c r="G11" s="330">
        <f t="shared" ref="G11:G25" si="6">C11*D11*0.99114/(F11*1.0037158)</f>
        <v>7706.761227239137</v>
      </c>
      <c r="H11" s="330">
        <f t="shared" si="1"/>
        <v>0.14747881209527508</v>
      </c>
      <c r="I11" s="329">
        <f t="shared" ref="I11:I25" si="7">$R$65/$R$61</f>
        <v>0.18720538720538721</v>
      </c>
      <c r="J11" s="336">
        <f t="shared" si="2"/>
        <v>1.2693714069547004</v>
      </c>
      <c r="K11" s="336">
        <f t="shared" si="3"/>
        <v>-23.780850373567098</v>
      </c>
      <c r="L11" s="336"/>
      <c r="M11" s="336"/>
      <c r="N11" s="336">
        <v>1</v>
      </c>
      <c r="O11" s="40"/>
    </row>
    <row r="12" spans="1:29">
      <c r="A12" s="325" t="s">
        <v>5754</v>
      </c>
      <c r="B12" s="325" t="s">
        <v>4354</v>
      </c>
      <c r="C12" s="324">
        <v>149.63448449710108</v>
      </c>
      <c r="D12" s="325">
        <v>88543.44</v>
      </c>
      <c r="E12" s="330" t="s">
        <v>4216</v>
      </c>
      <c r="F12" s="327">
        <v>1006.0308451573103</v>
      </c>
      <c r="G12" s="330">
        <f t="shared" si="6"/>
        <v>13004.720687196468</v>
      </c>
      <c r="H12" s="330">
        <f t="shared" si="1"/>
        <v>0.14873747183537214</v>
      </c>
      <c r="I12" s="329">
        <f t="shared" si="7"/>
        <v>0.18720538720538721</v>
      </c>
      <c r="J12" s="336">
        <f t="shared" si="2"/>
        <v>1.2586296169709856</v>
      </c>
      <c r="K12" s="336">
        <f t="shared" si="3"/>
        <v>-23.108508749810209</v>
      </c>
      <c r="L12" s="336"/>
      <c r="M12" s="336"/>
      <c r="N12" s="336">
        <f t="shared" ref="N12:N20" si="8">H12/H11</f>
        <v>1.0085345123290248</v>
      </c>
      <c r="O12" s="40"/>
    </row>
    <row r="13" spans="1:29">
      <c r="A13" s="325" t="s">
        <v>5755</v>
      </c>
      <c r="B13" s="325" t="s">
        <v>4354</v>
      </c>
      <c r="C13" s="324">
        <v>149.63448449710108</v>
      </c>
      <c r="D13" s="325">
        <v>88543.44</v>
      </c>
      <c r="E13" s="330" t="s">
        <v>4216</v>
      </c>
      <c r="F13" s="327">
        <v>996.34053053670573</v>
      </c>
      <c r="G13" s="330">
        <f t="shared" si="6"/>
        <v>13131.203381766902</v>
      </c>
      <c r="H13" s="330">
        <f t="shared" si="1"/>
        <v>0.15018407854641469</v>
      </c>
      <c r="I13" s="329">
        <f t="shared" si="7"/>
        <v>0.18720538720538721</v>
      </c>
      <c r="J13" s="336">
        <f t="shared" si="2"/>
        <v>1.2465062143556782</v>
      </c>
      <c r="K13" s="336">
        <f t="shared" si="3"/>
        <v>-22.335770992292879</v>
      </c>
      <c r="L13" s="336"/>
      <c r="M13" s="336"/>
      <c r="N13" s="336">
        <f t="shared" si="8"/>
        <v>1.0097259062776305</v>
      </c>
      <c r="O13" s="40"/>
    </row>
    <row r="14" spans="1:29">
      <c r="A14" s="325" t="s">
        <v>5757</v>
      </c>
      <c r="B14" s="325" t="s">
        <v>4354</v>
      </c>
      <c r="C14" s="324">
        <v>143.43332493067808</v>
      </c>
      <c r="D14" s="325">
        <v>88543.44</v>
      </c>
      <c r="E14" s="330" t="s">
        <v>4216</v>
      </c>
      <c r="F14" s="327">
        <v>942.60333127698959</v>
      </c>
      <c r="G14" s="330">
        <f t="shared" si="6"/>
        <v>13304.597156426949</v>
      </c>
      <c r="H14" s="330">
        <f t="shared" si="1"/>
        <v>0.15216721623120313</v>
      </c>
      <c r="I14" s="329">
        <f t="shared" si="7"/>
        <v>0.18720538720538721</v>
      </c>
      <c r="J14" s="336">
        <f t="shared" si="2"/>
        <v>1.2302609710684791</v>
      </c>
      <c r="K14" s="336">
        <f t="shared" si="3"/>
        <v>-21.276433056353728</v>
      </c>
      <c r="L14" s="336"/>
      <c r="M14" s="336"/>
      <c r="N14" s="336">
        <f t="shared" si="8"/>
        <v>1.0132047132025086</v>
      </c>
      <c r="O14" s="40"/>
    </row>
    <row r="15" spans="1:29">
      <c r="A15" s="339" t="s">
        <v>5757</v>
      </c>
      <c r="B15" s="325" t="s">
        <v>4354</v>
      </c>
      <c r="C15" s="324">
        <v>144.00050415931435</v>
      </c>
      <c r="D15" s="325">
        <v>88543.44</v>
      </c>
      <c r="E15" s="330" t="s">
        <v>4216</v>
      </c>
      <c r="F15" s="327">
        <v>954.05552128315855</v>
      </c>
      <c r="G15" s="330">
        <f t="shared" si="6"/>
        <v>13196.871776798998</v>
      </c>
      <c r="H15" s="330">
        <f t="shared" si="1"/>
        <v>0.15093514051010432</v>
      </c>
      <c r="I15" s="329">
        <f t="shared" si="7"/>
        <v>0.18720538720538721</v>
      </c>
      <c r="J15" s="336">
        <f t="shared" si="2"/>
        <v>1.2403035275463554</v>
      </c>
      <c r="K15" s="336">
        <f t="shared" si="3"/>
        <v>-21.9345742239191</v>
      </c>
      <c r="L15" s="336"/>
      <c r="M15" s="336" t="s">
        <v>25</v>
      </c>
      <c r="N15" s="336">
        <f t="shared" si="8"/>
        <v>0.99190314608090879</v>
      </c>
      <c r="O15" s="40"/>
      <c r="P15" s="113"/>
      <c r="Q15" s="113"/>
      <c r="R15" s="113"/>
    </row>
    <row r="16" spans="1:29">
      <c r="A16" s="339" t="s">
        <v>5758</v>
      </c>
      <c r="B16" s="325" t="s">
        <v>4354</v>
      </c>
      <c r="C16" s="324">
        <v>144.26518779934457</v>
      </c>
      <c r="D16" s="325">
        <v>139876.42000000001</v>
      </c>
      <c r="E16" s="330" t="s">
        <v>4216</v>
      </c>
      <c r="F16" s="327">
        <v>932.03207896360277</v>
      </c>
      <c r="G16" s="330">
        <f t="shared" si="6"/>
        <v>21379.593154219961</v>
      </c>
      <c r="H16" s="330">
        <f t="shared" si="1"/>
        <v>0.15478564639080233</v>
      </c>
      <c r="I16" s="329">
        <f t="shared" si="7"/>
        <v>0.18720538720538721</v>
      </c>
      <c r="J16" s="336">
        <f t="shared" si="2"/>
        <v>1.2094492711083276</v>
      </c>
      <c r="K16" s="336">
        <f t="shared" si="3"/>
        <v>-19.877739248078619</v>
      </c>
      <c r="L16" s="336"/>
      <c r="M16" s="336"/>
      <c r="N16" s="336">
        <f t="shared" si="8"/>
        <v>1.0255109967611569</v>
      </c>
      <c r="O16" s="40"/>
      <c r="P16" s="87" t="s">
        <v>932</v>
      </c>
      <c r="Q16" s="87">
        <v>15004</v>
      </c>
      <c r="R16" s="87">
        <f>Q16/0.9912</f>
        <v>15137.207425343018</v>
      </c>
    </row>
    <row r="17" spans="1:26">
      <c r="A17" s="339" t="s">
        <v>5765</v>
      </c>
      <c r="B17" s="325" t="s">
        <v>4354</v>
      </c>
      <c r="C17" s="324">
        <v>144.31560373077892</v>
      </c>
      <c r="D17" s="325">
        <v>83941.72</v>
      </c>
      <c r="E17" s="330" t="s">
        <v>4216</v>
      </c>
      <c r="F17" s="327">
        <v>914.41332510795803</v>
      </c>
      <c r="G17" s="330">
        <f t="shared" si="6"/>
        <v>13081.961033143276</v>
      </c>
      <c r="H17" s="330">
        <f t="shared" si="1"/>
        <v>0.15782316351715525</v>
      </c>
      <c r="I17" s="329">
        <f t="shared" si="7"/>
        <v>0.18720538720538721</v>
      </c>
      <c r="J17" s="336">
        <f t="shared" si="2"/>
        <v>1.1861718079490793</v>
      </c>
      <c r="K17" s="336">
        <f t="shared" si="3"/>
        <v>-18.255180639217439</v>
      </c>
      <c r="L17" s="336"/>
      <c r="M17" s="336"/>
      <c r="N17" s="336">
        <f t="shared" si="8"/>
        <v>1.019624023268177</v>
      </c>
      <c r="O17" s="40"/>
      <c r="P17" s="87" t="s">
        <v>61</v>
      </c>
      <c r="Q17" s="87">
        <v>5661</v>
      </c>
      <c r="R17" s="87">
        <f>Q17/1.003631981</f>
        <v>5640.5137611891223</v>
      </c>
    </row>
    <row r="18" spans="1:26">
      <c r="A18" s="339" t="s">
        <v>5769</v>
      </c>
      <c r="B18" s="325" t="s">
        <v>4354</v>
      </c>
      <c r="C18" s="324">
        <v>144.37862364507183</v>
      </c>
      <c r="D18" s="325">
        <v>145906.26</v>
      </c>
      <c r="E18" s="330" t="s">
        <v>4216</v>
      </c>
      <c r="F18" s="327">
        <v>897.67550894509566</v>
      </c>
      <c r="G18" s="330">
        <f t="shared" si="6"/>
        <v>23172.969449460001</v>
      </c>
      <c r="H18" s="330">
        <f t="shared" si="1"/>
        <v>0.16083609523305201</v>
      </c>
      <c r="I18" s="329">
        <f t="shared" si="7"/>
        <v>0.18720538720538721</v>
      </c>
      <c r="J18" s="336">
        <f t="shared" si="2"/>
        <v>1.1639513315349146</v>
      </c>
      <c r="K18" s="336">
        <f t="shared" si="3"/>
        <v>-16.645754884502807</v>
      </c>
      <c r="L18" s="336"/>
      <c r="M18" s="336"/>
      <c r="N18" s="336">
        <f t="shared" si="8"/>
        <v>1.0190905545722966</v>
      </c>
      <c r="O18" s="40"/>
      <c r="P18" s="87" t="s">
        <v>6368</v>
      </c>
      <c r="Q18" s="87">
        <v>14984</v>
      </c>
      <c r="R18" s="87">
        <f>Q18*0.9912/1.003631981</f>
        <v>14798.393316643422</v>
      </c>
    </row>
    <row r="19" spans="1:26">
      <c r="A19" s="339" t="s">
        <v>5769</v>
      </c>
      <c r="B19" s="325" t="s">
        <v>4354</v>
      </c>
      <c r="C19" s="324">
        <v>145.76506175951599</v>
      </c>
      <c r="D19" s="325">
        <v>265630.32</v>
      </c>
      <c r="E19" s="330" t="s">
        <v>4216</v>
      </c>
      <c r="F19" s="327">
        <v>899.43738433066017</v>
      </c>
      <c r="G19" s="330">
        <f t="shared" si="6"/>
        <v>42509.343180398719</v>
      </c>
      <c r="H19" s="330">
        <f t="shared" si="1"/>
        <v>0.16206248961731878</v>
      </c>
      <c r="I19" s="329">
        <f t="shared" si="7"/>
        <v>0.18720538720538721</v>
      </c>
      <c r="J19" s="336">
        <f t="shared" si="2"/>
        <v>1.1551432268345305</v>
      </c>
      <c r="K19" s="336">
        <f t="shared" si="3"/>
        <v>-15.990648531755991</v>
      </c>
      <c r="L19" s="336"/>
      <c r="M19" s="336"/>
      <c r="N19" s="336">
        <f t="shared" si="8"/>
        <v>1.0076251191157664</v>
      </c>
      <c r="O19" s="40"/>
      <c r="P19" s="87" t="s">
        <v>1068</v>
      </c>
      <c r="Q19" s="87">
        <v>1155794</v>
      </c>
      <c r="R19" s="87">
        <f>Q19*1.00125</f>
        <v>1157238.7424999999</v>
      </c>
    </row>
    <row r="20" spans="1:26">
      <c r="A20" s="339" t="s">
        <v>5406</v>
      </c>
      <c r="B20" s="325" t="s">
        <v>4354</v>
      </c>
      <c r="C20" s="324">
        <v>143.69800857070834</v>
      </c>
      <c r="D20" s="325">
        <v>15471.300000000001</v>
      </c>
      <c r="E20" s="330" t="s">
        <v>4216</v>
      </c>
      <c r="F20" s="327">
        <v>870.36644046884646</v>
      </c>
      <c r="G20" s="330">
        <f t="shared" si="6"/>
        <v>2522.3169755580066</v>
      </c>
      <c r="H20" s="330">
        <f t="shared" si="1"/>
        <v>0.16510058509758432</v>
      </c>
      <c r="I20" s="329">
        <f t="shared" si="7"/>
        <v>0.18720538720538721</v>
      </c>
      <c r="J20" s="336">
        <f t="shared" si="2"/>
        <v>1.133886879290813</v>
      </c>
      <c r="K20" s="336">
        <f t="shared" si="3"/>
        <v>-14.367780982045787</v>
      </c>
      <c r="L20" s="336"/>
      <c r="M20" s="336"/>
      <c r="N20" s="336">
        <f t="shared" si="8"/>
        <v>1.0187464445809729</v>
      </c>
      <c r="O20" s="40"/>
      <c r="S20" s="314"/>
      <c r="T20" s="113"/>
      <c r="U20" s="113"/>
    </row>
    <row r="21" spans="1:26">
      <c r="A21" s="339" t="s">
        <v>5805</v>
      </c>
      <c r="B21" s="325" t="s">
        <v>4354</v>
      </c>
      <c r="C21" s="324">
        <v>182.80816738089234</v>
      </c>
      <c r="D21" s="325">
        <v>486116.18</v>
      </c>
      <c r="E21" s="330" t="s">
        <v>4216</v>
      </c>
      <c r="F21" s="327">
        <v>1038.7136335595312</v>
      </c>
      <c r="G21" s="330">
        <f t="shared" si="6"/>
        <v>84481.979712099841</v>
      </c>
      <c r="H21" s="330">
        <f t="shared" si="1"/>
        <v>0.1759947703337959</v>
      </c>
      <c r="I21" s="329">
        <f t="shared" si="7"/>
        <v>0.18720538720538721</v>
      </c>
      <c r="J21" s="336">
        <f t="shared" si="2"/>
        <v>1.0636985795107945</v>
      </c>
      <c r="K21" s="336">
        <f t="shared" si="3"/>
        <v>-8.5484050555083115</v>
      </c>
      <c r="L21" s="336"/>
      <c r="M21" s="336"/>
      <c r="N21" s="336">
        <f>H21/H20</f>
        <v>1.0659851400876166</v>
      </c>
      <c r="O21" s="40"/>
      <c r="S21" s="113"/>
    </row>
    <row r="22" spans="1:26">
      <c r="A22" s="339" t="s">
        <v>6243</v>
      </c>
      <c r="B22" s="325" t="s">
        <v>4354</v>
      </c>
      <c r="C22" s="324">
        <v>178.61104108898411</v>
      </c>
      <c r="D22" s="325">
        <v>167010.70000000001</v>
      </c>
      <c r="E22" s="330" t="s">
        <v>4216</v>
      </c>
      <c r="F22" s="327">
        <v>1017.4830351634794</v>
      </c>
      <c r="G22" s="330">
        <f t="shared" si="6"/>
        <v>28950.073074646069</v>
      </c>
      <c r="H22" s="330">
        <f t="shared" si="1"/>
        <v>0.17554203354386799</v>
      </c>
      <c r="I22" s="329">
        <f t="shared" si="7"/>
        <v>0.18720538720538721</v>
      </c>
      <c r="J22" s="336">
        <f t="shared" si="2"/>
        <v>1.0664419422861735</v>
      </c>
      <c r="K22" s="336">
        <f t="shared" si="3"/>
        <v>-8.7902446717108127</v>
      </c>
      <c r="L22" s="336"/>
      <c r="M22" s="336"/>
      <c r="N22" s="336">
        <f>H22/H21</f>
        <v>0.99742755543775963</v>
      </c>
      <c r="O22" s="40"/>
    </row>
    <row r="23" spans="1:26">
      <c r="A23" s="339" t="s">
        <v>6256</v>
      </c>
      <c r="B23" s="325" t="s">
        <v>4354</v>
      </c>
      <c r="C23" s="324">
        <v>196.42046886816232</v>
      </c>
      <c r="D23" s="325">
        <v>378927.84</v>
      </c>
      <c r="E23" s="330" t="s">
        <v>4216</v>
      </c>
      <c r="F23" s="327">
        <v>1103.8149290561382</v>
      </c>
      <c r="G23" s="330">
        <f t="shared" si="6"/>
        <v>66584.207796513496</v>
      </c>
      <c r="H23" s="330">
        <f t="shared" si="1"/>
        <v>0.17794692180519756</v>
      </c>
      <c r="I23" s="329">
        <f t="shared" si="7"/>
        <v>0.18720538720538721</v>
      </c>
      <c r="J23" s="336">
        <f t="shared" si="2"/>
        <v>1.0520293653088593</v>
      </c>
      <c r="K23" s="336">
        <f t="shared" si="3"/>
        <v>-7.5056191076552592</v>
      </c>
      <c r="L23" s="336"/>
      <c r="M23" s="336"/>
      <c r="N23" s="336">
        <f>H23/H22</f>
        <v>1.0136997858164185</v>
      </c>
      <c r="O23" s="40"/>
      <c r="S23" s="473"/>
      <c r="T23" s="473"/>
      <c r="U23" s="473"/>
      <c r="V23" s="473"/>
    </row>
    <row r="24" spans="1:26">
      <c r="A24" s="339" t="s">
        <v>6263</v>
      </c>
      <c r="B24" s="325" t="s">
        <v>4354</v>
      </c>
      <c r="C24" s="324">
        <v>201.80236954877739</v>
      </c>
      <c r="D24" s="325">
        <v>116788.48000000001</v>
      </c>
      <c r="E24" s="330" t="s">
        <v>4216</v>
      </c>
      <c r="F24" s="327">
        <v>1123.1955582973474</v>
      </c>
      <c r="G24" s="330">
        <f t="shared" si="6"/>
        <v>20720.256774290941</v>
      </c>
      <c r="H24" s="330">
        <f t="shared" si="1"/>
        <v>0.17966806230492016</v>
      </c>
      <c r="I24" s="329">
        <f t="shared" si="7"/>
        <v>0.18720538720538721</v>
      </c>
      <c r="J24" s="336">
        <f t="shared" si="2"/>
        <v>1.0419513897115182</v>
      </c>
      <c r="K24" s="336">
        <f t="shared" si="3"/>
        <v>-6.5862329054653168</v>
      </c>
      <c r="L24" s="336"/>
      <c r="M24" s="336"/>
      <c r="N24" s="336">
        <f>H24/H23</f>
        <v>1.0096722128276361</v>
      </c>
      <c r="O24" s="40"/>
      <c r="S24" s="473"/>
      <c r="T24" s="473"/>
      <c r="U24" s="473"/>
      <c r="V24" s="473"/>
      <c r="Z24" s="315"/>
    </row>
    <row r="25" spans="1:26">
      <c r="A25" s="339" t="s">
        <v>6744</v>
      </c>
      <c r="B25" s="325" t="s">
        <v>4354</v>
      </c>
      <c r="C25" s="324">
        <v>238.08923619863876</v>
      </c>
      <c r="D25" s="325">
        <v>31974.02</v>
      </c>
      <c r="E25" s="330" t="s">
        <v>4216</v>
      </c>
      <c r="F25" s="327">
        <v>1325.7231338679828</v>
      </c>
      <c r="G25" s="330">
        <f t="shared" si="6"/>
        <v>5670.3310135323054</v>
      </c>
      <c r="H25" s="330">
        <f t="shared" si="1"/>
        <v>0.17959197521429687</v>
      </c>
      <c r="I25" s="329">
        <f t="shared" si="7"/>
        <v>0.18720538720538721</v>
      </c>
      <c r="J25" s="336">
        <f t="shared" si="2"/>
        <v>1.0423928295348703</v>
      </c>
      <c r="K25" s="336">
        <f t="shared" si="3"/>
        <v>-6.6268765491975472</v>
      </c>
      <c r="L25" s="336"/>
      <c r="M25" s="336"/>
      <c r="N25" s="336">
        <f>H25/H24</f>
        <v>0.99957651298930272</v>
      </c>
      <c r="O25" s="40"/>
      <c r="S25" s="473"/>
      <c r="T25" s="473"/>
      <c r="U25" s="473"/>
      <c r="V25" s="473"/>
      <c r="Z25" s="315"/>
    </row>
    <row r="26" spans="1:26" ht="15.75">
      <c r="A26" s="340" t="s">
        <v>6251</v>
      </c>
      <c r="B26" s="330" t="s">
        <v>4216</v>
      </c>
      <c r="C26" s="327">
        <v>1061.5299198025909</v>
      </c>
      <c r="D26" s="464">
        <v>13473.143557422969</v>
      </c>
      <c r="E26" s="332" t="s">
        <v>5259</v>
      </c>
      <c r="F26" s="331">
        <v>447.43299999999999</v>
      </c>
      <c r="G26" s="453">
        <f t="shared" ref="G26:G32" si="9">C26*D26*0.99114/(F26*1.0037158)</f>
        <v>31564.390507451786</v>
      </c>
      <c r="H26" s="332">
        <f t="shared" ref="H26:H31" si="10">C26/F26</f>
        <v>2.3724891096601972</v>
      </c>
      <c r="I26" s="333">
        <f t="shared" ref="I26:I47" si="11">$R$61/$R$62</f>
        <v>2.5736568457538995</v>
      </c>
      <c r="J26" s="336">
        <f t="shared" si="2"/>
        <v>1.084791848052999</v>
      </c>
      <c r="K26" s="336">
        <f t="shared" si="3"/>
        <v>-10.376416412529721</v>
      </c>
      <c r="L26" s="336"/>
      <c r="M26" s="336"/>
      <c r="N26" s="336">
        <f>1</f>
        <v>1</v>
      </c>
      <c r="O26" s="341"/>
      <c r="S26" s="473"/>
      <c r="T26" s="473"/>
      <c r="U26" s="473"/>
      <c r="V26" s="473"/>
      <c r="Z26" s="315"/>
    </row>
    <row r="27" spans="1:26" ht="15.75">
      <c r="A27" s="340" t="s">
        <v>6253</v>
      </c>
      <c r="B27" s="330" t="s">
        <v>4216</v>
      </c>
      <c r="C27" s="327">
        <v>1079.1486736582358</v>
      </c>
      <c r="D27" s="464">
        <v>61368.698879551819</v>
      </c>
      <c r="E27" s="332" t="s">
        <v>5259</v>
      </c>
      <c r="F27" s="331">
        <v>450.66300000000001</v>
      </c>
      <c r="G27" s="453">
        <f t="shared" si="9"/>
        <v>145111.06730349615</v>
      </c>
      <c r="H27" s="332">
        <f t="shared" si="10"/>
        <v>2.3945801489322083</v>
      </c>
      <c r="I27" s="333">
        <f t="shared" si="11"/>
        <v>2.5736568457538995</v>
      </c>
      <c r="J27" s="336">
        <f t="shared" si="2"/>
        <v>1.0747841732929864</v>
      </c>
      <c r="K27" s="336">
        <f t="shared" si="3"/>
        <v>-9.5180642468765004</v>
      </c>
      <c r="L27" s="336"/>
      <c r="M27" s="336"/>
      <c r="N27" s="336">
        <f t="shared" ref="N27:N32" si="12">H27/H26</f>
        <v>1.0093113343205926</v>
      </c>
      <c r="O27" s="341"/>
      <c r="T27" s="113"/>
      <c r="Y27" s="315"/>
    </row>
    <row r="28" spans="1:26" ht="15.75">
      <c r="A28" s="340" t="s">
        <v>6254</v>
      </c>
      <c r="B28" s="330" t="s">
        <v>4216</v>
      </c>
      <c r="C28" s="327">
        <v>1144.5142504626774</v>
      </c>
      <c r="D28" s="464">
        <v>208701.47969187674</v>
      </c>
      <c r="E28" s="332" t="s">
        <v>5259</v>
      </c>
      <c r="F28" s="331">
        <v>467.66699999999997</v>
      </c>
      <c r="G28" s="453">
        <f t="shared" si="9"/>
        <v>504352.58344984357</v>
      </c>
      <c r="H28" s="332">
        <f t="shared" si="10"/>
        <v>2.4472846073438523</v>
      </c>
      <c r="I28" s="333">
        <f t="shared" si="11"/>
        <v>2.5736568457538995</v>
      </c>
      <c r="J28" s="336">
        <f t="shared" si="2"/>
        <v>1.0516377367923728</v>
      </c>
      <c r="K28" s="336">
        <f t="shared" si="3"/>
        <v>-7.4702209806462916</v>
      </c>
      <c r="L28" s="336"/>
      <c r="M28" s="336"/>
      <c r="N28" s="336">
        <f t="shared" si="12"/>
        <v>1.0220098953192884</v>
      </c>
      <c r="O28" s="341"/>
      <c r="T28" s="113"/>
      <c r="Y28" s="315"/>
    </row>
    <row r="29" spans="1:26" ht="15.75">
      <c r="A29" s="340" t="s">
        <v>6254</v>
      </c>
      <c r="B29" s="330" t="s">
        <v>4216</v>
      </c>
      <c r="C29" s="327">
        <v>1151.3855644663788</v>
      </c>
      <c r="D29" s="464">
        <v>287315.43907563022</v>
      </c>
      <c r="E29" s="332" t="s">
        <v>5259</v>
      </c>
      <c r="F29" s="331">
        <v>462.23329999999999</v>
      </c>
      <c r="G29" s="453">
        <f t="shared" si="9"/>
        <v>706712.47443523828</v>
      </c>
      <c r="H29" s="332">
        <f t="shared" si="10"/>
        <v>2.4909186864433583</v>
      </c>
      <c r="I29" s="333">
        <f t="shared" si="11"/>
        <v>2.5736568457538995</v>
      </c>
      <c r="J29" s="336">
        <f t="shared" si="2"/>
        <v>1.0332159214031504</v>
      </c>
      <c r="K29" s="336">
        <f t="shared" si="3"/>
        <v>-5.7748092876890533</v>
      </c>
      <c r="L29" s="336"/>
      <c r="M29" s="336"/>
      <c r="N29" s="336">
        <f t="shared" si="12"/>
        <v>1.0178295891571287</v>
      </c>
      <c r="O29" s="341"/>
      <c r="Y29" s="315"/>
    </row>
    <row r="30" spans="1:26" ht="18.75">
      <c r="A30" s="340" t="s">
        <v>955</v>
      </c>
      <c r="B30" s="330" t="s">
        <v>4216</v>
      </c>
      <c r="C30" s="327">
        <v>1344.3109191856879</v>
      </c>
      <c r="D30" s="464">
        <v>11351.540616246499</v>
      </c>
      <c r="E30" s="332" t="s">
        <v>5259</v>
      </c>
      <c r="F30" s="331">
        <v>538.94000000000005</v>
      </c>
      <c r="G30" s="453">
        <f t="shared" si="9"/>
        <v>27960.076704394509</v>
      </c>
      <c r="H30" s="353">
        <f t="shared" si="10"/>
        <v>2.4943610034246628</v>
      </c>
      <c r="I30" s="333">
        <f t="shared" si="11"/>
        <v>2.5736568457538995</v>
      </c>
      <c r="J30" s="336">
        <f t="shared" si="2"/>
        <v>1.0317900425080277</v>
      </c>
      <c r="K30" s="336">
        <f t="shared" si="3"/>
        <v>-5.6410573080114323</v>
      </c>
      <c r="L30" s="336"/>
      <c r="M30" s="336"/>
      <c r="N30" s="336">
        <f t="shared" si="12"/>
        <v>1.0013819467492211</v>
      </c>
      <c r="O30" s="341"/>
      <c r="V30" t="s">
        <v>25</v>
      </c>
      <c r="Y30" s="315"/>
    </row>
    <row r="31" spans="1:26" ht="18.75">
      <c r="A31" s="340" t="s">
        <v>6694</v>
      </c>
      <c r="B31" s="330" t="s">
        <v>4216</v>
      </c>
      <c r="C31" s="327">
        <v>1294.9784083898828</v>
      </c>
      <c r="D31" s="464">
        <v>113515.40616246498</v>
      </c>
      <c r="E31" s="332" t="s">
        <v>5259</v>
      </c>
      <c r="F31" s="331">
        <v>517.66700000000003</v>
      </c>
      <c r="G31" s="453">
        <f t="shared" si="9"/>
        <v>280408.45013521047</v>
      </c>
      <c r="H31" s="353">
        <f t="shared" si="10"/>
        <v>2.5015664672267746</v>
      </c>
      <c r="I31" s="333">
        <f t="shared" si="11"/>
        <v>2.5736568457538995</v>
      </c>
      <c r="J31" s="336">
        <f t="shared" si="2"/>
        <v>1.0288180943707022</v>
      </c>
      <c r="K31" s="336">
        <f t="shared" si="3"/>
        <v>-5.3610874350270237</v>
      </c>
      <c r="L31" s="336"/>
      <c r="M31" s="336"/>
      <c r="N31" s="336">
        <f t="shared" si="12"/>
        <v>1.0028887012714756</v>
      </c>
      <c r="O31" s="341"/>
      <c r="U31" s="316"/>
      <c r="V31" s="316">
        <f>R16/1.0127</f>
        <v>14947.375753276408</v>
      </c>
      <c r="Y31" s="315"/>
    </row>
    <row r="32" spans="1:26" ht="18.75">
      <c r="A32" s="340" t="s">
        <v>6699</v>
      </c>
      <c r="B32" s="330" t="s">
        <v>4216</v>
      </c>
      <c r="C32" s="327">
        <v>1300.7749784083899</v>
      </c>
      <c r="D32" s="464">
        <v>143589.49677871147</v>
      </c>
      <c r="E32" s="332" t="s">
        <v>5259</v>
      </c>
      <c r="F32" s="331">
        <v>512.29600000000005</v>
      </c>
      <c r="G32" s="453">
        <f t="shared" si="9"/>
        <v>360021.24195909058</v>
      </c>
      <c r="H32" s="353">
        <f t="shared" ref="H32:H34" si="13">C32/F32</f>
        <v>2.5391082077712683</v>
      </c>
      <c r="I32" s="333">
        <f t="shared" si="11"/>
        <v>2.5736568457538995</v>
      </c>
      <c r="J32" s="336">
        <f t="shared" si="2"/>
        <v>1.0136066032463251</v>
      </c>
      <c r="K32" s="336">
        <f t="shared" si="3"/>
        <v>-3.9023948899648775</v>
      </c>
      <c r="M32" s="336"/>
      <c r="N32" s="336">
        <f t="shared" si="12"/>
        <v>1.0150072928448359</v>
      </c>
      <c r="O32" s="341"/>
      <c r="U32" s="316"/>
      <c r="V32" s="316">
        <f>R17*1.0127</f>
        <v>5712.1482859562238</v>
      </c>
      <c r="Y32" s="315"/>
    </row>
    <row r="33" spans="1:25" ht="18.75">
      <c r="A33" s="340" t="s">
        <v>6912</v>
      </c>
      <c r="B33" s="330" t="s">
        <v>4216</v>
      </c>
      <c r="C33" s="327">
        <v>1369</v>
      </c>
      <c r="D33" s="464">
        <v>59899</v>
      </c>
      <c r="E33" s="332" t="s">
        <v>5259</v>
      </c>
      <c r="F33" s="331">
        <v>531.25</v>
      </c>
      <c r="G33" s="453">
        <f t="shared" ref="G33:G35" si="14">C33*D33*0.9912/(F33*1.003631981)</f>
        <v>152444.19056984287</v>
      </c>
      <c r="H33" s="353">
        <f t="shared" si="13"/>
        <v>2.5769411764705881</v>
      </c>
      <c r="I33" s="333">
        <f t="shared" si="11"/>
        <v>2.5736568457538995</v>
      </c>
      <c r="J33" s="336">
        <f t="shared" si="2"/>
        <v>0.99872549255424337</v>
      </c>
      <c r="K33" s="336">
        <f t="shared" si="3"/>
        <v>-2.4323866112101467</v>
      </c>
      <c r="L33" s="336"/>
      <c r="M33" s="336"/>
      <c r="N33" s="336">
        <f t="shared" ref="N33:N35" si="15">H33/H32</f>
        <v>1.0149001009817253</v>
      </c>
      <c r="O33" s="341"/>
      <c r="U33" s="316"/>
      <c r="V33" s="316"/>
      <c r="Y33" s="315"/>
    </row>
    <row r="34" spans="1:25" ht="18.75">
      <c r="A34" s="340" t="s">
        <v>6914</v>
      </c>
      <c r="B34" s="330" t="s">
        <v>4216</v>
      </c>
      <c r="C34" s="327">
        <v>1329</v>
      </c>
      <c r="D34" s="464">
        <v>50000</v>
      </c>
      <c r="E34" s="332" t="s">
        <v>5259</v>
      </c>
      <c r="F34" s="331">
        <v>511.48</v>
      </c>
      <c r="G34" s="453">
        <f t="shared" si="14"/>
        <v>128307.82123007737</v>
      </c>
      <c r="H34" s="353">
        <f t="shared" si="13"/>
        <v>2.5983420661609444</v>
      </c>
      <c r="I34" s="333">
        <f t="shared" si="11"/>
        <v>2.5736568457538995</v>
      </c>
      <c r="J34" s="336">
        <f t="shared" ref="J34" si="16">I34/H34</f>
        <v>0.99049962638540612</v>
      </c>
      <c r="K34" s="336">
        <f t="shared" ref="K34" si="17">(1/J34-1.0256)*100</f>
        <v>-1.6008503585949629</v>
      </c>
      <c r="L34" s="336"/>
      <c r="M34" s="336"/>
      <c r="N34" s="336">
        <f t="shared" si="15"/>
        <v>1.0083047645346981</v>
      </c>
      <c r="O34" s="341"/>
      <c r="Q34" s="180">
        <v>47468</v>
      </c>
      <c r="R34" s="180">
        <v>125825</v>
      </c>
      <c r="U34" s="316">
        <f>Q19/1.00125</f>
        <v>1154351.0611735331</v>
      </c>
      <c r="V34" s="316">
        <f>Q19*1.0025</f>
        <v>1158683.4849999999</v>
      </c>
      <c r="Y34" s="315"/>
    </row>
    <row r="35" spans="1:25" ht="18.75">
      <c r="A35" s="340" t="s">
        <v>6914</v>
      </c>
      <c r="B35" s="330" t="s">
        <v>4216</v>
      </c>
      <c r="C35" s="327">
        <v>1322</v>
      </c>
      <c r="D35" s="464">
        <v>685452.77049999998</v>
      </c>
      <c r="E35" s="332" t="s">
        <v>5259</v>
      </c>
      <c r="F35" s="331">
        <v>508</v>
      </c>
      <c r="G35" s="453">
        <f t="shared" si="14"/>
        <v>1761700.5121141046</v>
      </c>
      <c r="H35" s="353">
        <f t="shared" ref="H35" si="18">C35/F35</f>
        <v>2.6023622047244093</v>
      </c>
      <c r="I35" s="333">
        <f t="shared" si="11"/>
        <v>2.5736568457538995</v>
      </c>
      <c r="J35" s="336">
        <f>I35/H35</f>
        <v>0.98896949897351061</v>
      </c>
      <c r="K35" s="336">
        <f t="shared" ref="K35" si="19">(1/J35-1.0256)*100</f>
        <v>-1.4446469948832252</v>
      </c>
      <c r="L35" s="336"/>
      <c r="M35" s="336"/>
      <c r="N35" s="336">
        <f t="shared" si="15"/>
        <v>1.0015471937339662</v>
      </c>
      <c r="O35" s="341"/>
      <c r="P35" t="s">
        <v>25</v>
      </c>
      <c r="Q35" s="180">
        <f>Q34*R35/R34</f>
        <v>2319.3583469103914</v>
      </c>
      <c r="R35" s="180">
        <v>6148</v>
      </c>
      <c r="T35" t="s">
        <v>25</v>
      </c>
      <c r="U35" s="315" t="s">
        <v>25</v>
      </c>
      <c r="W35" s="315"/>
      <c r="Y35" s="315"/>
    </row>
    <row r="36" spans="1:25" ht="18.75">
      <c r="A36" s="340" t="s">
        <v>6966</v>
      </c>
      <c r="B36" s="330" t="s">
        <v>4216</v>
      </c>
      <c r="C36" s="327">
        <v>1485.5</v>
      </c>
      <c r="D36" s="464">
        <v>4000</v>
      </c>
      <c r="E36" s="332" t="s">
        <v>5259</v>
      </c>
      <c r="F36" s="331">
        <v>572</v>
      </c>
      <c r="G36" s="453">
        <f t="shared" ref="G36:G37" si="20">C36*D36*0.9912/(F36*1.003631981)</f>
        <v>10259.434432566673</v>
      </c>
      <c r="H36" s="353">
        <f>C36/F36</f>
        <v>2.5970279720279721</v>
      </c>
      <c r="I36" s="333">
        <f t="shared" si="11"/>
        <v>2.5736568457538995</v>
      </c>
      <c r="J36" s="336">
        <f t="shared" ref="J36" si="21">I36/H36</f>
        <v>0.99100081842560117</v>
      </c>
      <c r="K36" s="336">
        <f t="shared" ref="K36" si="22">(1/J36-1.0256)*100</f>
        <v>-1.6519097737279553</v>
      </c>
      <c r="L36" s="336"/>
      <c r="M36" s="336"/>
      <c r="N36" s="336">
        <f t="shared" ref="N36" si="23">H36/H35</f>
        <v>0.9979502343345007</v>
      </c>
      <c r="O36" s="341"/>
      <c r="P36" s="471"/>
      <c r="Q36" s="180">
        <f>Q34-Q35</f>
        <v>45148.641653089609</v>
      </c>
      <c r="R36" s="180">
        <f>R34-R35</f>
        <v>119677</v>
      </c>
    </row>
    <row r="37" spans="1:25" ht="18.75">
      <c r="A37" s="340" t="s">
        <v>6977</v>
      </c>
      <c r="B37" s="330" t="s">
        <v>4216</v>
      </c>
      <c r="C37" s="327">
        <v>1400</v>
      </c>
      <c r="D37" s="464">
        <v>128751.44190000001</v>
      </c>
      <c r="E37" s="332" t="s">
        <v>5259</v>
      </c>
      <c r="F37" s="331">
        <v>535.78800000000001</v>
      </c>
      <c r="G37" s="453">
        <f t="shared" si="20"/>
        <v>332256.85981073335</v>
      </c>
      <c r="H37" s="353">
        <f>C37/F37</f>
        <v>2.6129737881400854</v>
      </c>
      <c r="I37" s="333">
        <f t="shared" si="11"/>
        <v>2.5736568457538995</v>
      </c>
      <c r="J37" s="336">
        <f>I37/H37</f>
        <v>0.98495318148056443</v>
      </c>
      <c r="K37" s="336">
        <f>(1/J37-1.0256)*100</f>
        <v>-1.0323315988667314</v>
      </c>
      <c r="L37" s="336"/>
      <c r="M37" s="336"/>
      <c r="N37" s="336">
        <f>H37/H36</f>
        <v>1.0061400247836614</v>
      </c>
      <c r="O37" s="341"/>
      <c r="P37" s="471"/>
      <c r="Q37" s="463"/>
      <c r="T37" t="s">
        <v>25</v>
      </c>
    </row>
    <row r="38" spans="1:25" ht="18.75">
      <c r="A38" s="340" t="s">
        <v>6984</v>
      </c>
      <c r="B38" s="330" t="s">
        <v>4216</v>
      </c>
      <c r="C38" s="327">
        <v>1448</v>
      </c>
      <c r="D38" s="464">
        <v>20000</v>
      </c>
      <c r="E38" s="332" t="s">
        <v>5259</v>
      </c>
      <c r="F38" s="331">
        <v>550.6</v>
      </c>
      <c r="G38" s="453">
        <f t="shared" ref="G38:G49" si="24">C38*D38*0.9912/(F38*1.003631981)</f>
        <v>51945.646060482868</v>
      </c>
      <c r="H38" s="353">
        <f t="shared" ref="H38:H47" si="25">C38/F38</f>
        <v>2.6298583363603343</v>
      </c>
      <c r="I38" s="333">
        <f t="shared" si="11"/>
        <v>2.5736568457538995</v>
      </c>
      <c r="J38" s="336">
        <f t="shared" ref="J38:J47" si="26">I38/H38</f>
        <v>0.9786294608232714</v>
      </c>
      <c r="K38" s="336">
        <f t="shared" ref="K38:K47" si="27">(1/J38-1.0256)*100</f>
        <v>-0.37627878249746338</v>
      </c>
      <c r="L38" s="336"/>
      <c r="M38" s="336"/>
      <c r="N38" s="336">
        <f t="shared" ref="N38:N46" si="28">H38/H37</f>
        <v>1.006461813087022</v>
      </c>
      <c r="O38" s="341"/>
    </row>
    <row r="39" spans="1:25" ht="18.75">
      <c r="A39" s="340" t="s">
        <v>6984</v>
      </c>
      <c r="B39" s="330" t="s">
        <v>4216</v>
      </c>
      <c r="C39" s="327">
        <v>1449</v>
      </c>
      <c r="D39" s="464">
        <v>20000</v>
      </c>
      <c r="E39" s="332" t="s">
        <v>5259</v>
      </c>
      <c r="F39" s="331">
        <v>550.6</v>
      </c>
      <c r="G39" s="453">
        <f t="shared" si="24"/>
        <v>51981.520125441763</v>
      </c>
      <c r="H39" s="353">
        <f t="shared" si="25"/>
        <v>2.6316745368688701</v>
      </c>
      <c r="I39" s="333">
        <f t="shared" si="11"/>
        <v>2.5736568457538995</v>
      </c>
      <c r="J39" s="336">
        <f t="shared" si="26"/>
        <v>0.97795407817259983</v>
      </c>
      <c r="K39" s="336">
        <f t="shared" si="27"/>
        <v>-0.30570991425333816</v>
      </c>
      <c r="L39" s="336"/>
      <c r="M39" s="336"/>
      <c r="N39" s="336">
        <f t="shared" si="28"/>
        <v>1.0006906077348066</v>
      </c>
      <c r="O39" s="341"/>
      <c r="P39" s="468"/>
    </row>
    <row r="40" spans="1:25" ht="18.75">
      <c r="A40" s="340" t="s">
        <v>6984</v>
      </c>
      <c r="B40" s="330" t="s">
        <v>4216</v>
      </c>
      <c r="C40" s="327">
        <v>1450</v>
      </c>
      <c r="D40" s="464">
        <v>20000</v>
      </c>
      <c r="E40" s="332" t="s">
        <v>5259</v>
      </c>
      <c r="F40" s="331">
        <v>550.6</v>
      </c>
      <c r="G40" s="453">
        <f t="shared" si="24"/>
        <v>52017.394190400657</v>
      </c>
      <c r="H40" s="353">
        <f t="shared" si="25"/>
        <v>2.6334907373774064</v>
      </c>
      <c r="I40" s="333">
        <f t="shared" si="11"/>
        <v>2.5736568457538995</v>
      </c>
      <c r="J40" s="336">
        <f t="shared" si="26"/>
        <v>0.9772796270842049</v>
      </c>
      <c r="K40" s="336">
        <f t="shared" si="27"/>
        <v>-0.23514104600919072</v>
      </c>
      <c r="L40" s="336"/>
      <c r="M40" s="336"/>
      <c r="N40" s="336">
        <f t="shared" si="28"/>
        <v>1.0006901311249137</v>
      </c>
      <c r="O40" s="341"/>
      <c r="P40" s="472"/>
      <c r="V40" t="s">
        <v>25</v>
      </c>
    </row>
    <row r="41" spans="1:25" ht="18.75" customHeight="1">
      <c r="A41" s="340" t="s">
        <v>6984</v>
      </c>
      <c r="B41" s="330" t="s">
        <v>4216</v>
      </c>
      <c r="C41" s="327">
        <v>1451</v>
      </c>
      <c r="D41" s="464">
        <v>20000</v>
      </c>
      <c r="E41" s="332" t="s">
        <v>5259</v>
      </c>
      <c r="F41" s="331">
        <v>550.6</v>
      </c>
      <c r="G41" s="453">
        <f t="shared" si="24"/>
        <v>52053.268255359559</v>
      </c>
      <c r="H41" s="353">
        <f t="shared" si="25"/>
        <v>2.6353069378859426</v>
      </c>
      <c r="I41" s="333">
        <f t="shared" si="11"/>
        <v>2.5736568457538995</v>
      </c>
      <c r="J41" s="336">
        <f t="shared" si="26"/>
        <v>0.97660610563204486</v>
      </c>
      <c r="K41" s="336">
        <f t="shared" si="27"/>
        <v>-0.1645721777650655</v>
      </c>
      <c r="L41" s="336"/>
      <c r="M41" s="336"/>
      <c r="N41" s="336">
        <f t="shared" si="28"/>
        <v>1.0006896551724138</v>
      </c>
      <c r="O41" s="341"/>
      <c r="P41" s="468"/>
    </row>
    <row r="42" spans="1:25" ht="21.75" customHeight="1">
      <c r="A42" s="340" t="s">
        <v>6984</v>
      </c>
      <c r="B42" s="330" t="s">
        <v>4216</v>
      </c>
      <c r="C42" s="327">
        <v>1452</v>
      </c>
      <c r="D42" s="464">
        <v>20000</v>
      </c>
      <c r="E42" s="332" t="s">
        <v>5259</v>
      </c>
      <c r="F42" s="331">
        <v>550.6</v>
      </c>
      <c r="G42" s="453">
        <f t="shared" si="24"/>
        <v>52089.142320318453</v>
      </c>
      <c r="H42" s="353">
        <f t="shared" si="25"/>
        <v>2.6371231383944784</v>
      </c>
      <c r="I42" s="333">
        <f t="shared" si="11"/>
        <v>2.5736568457538995</v>
      </c>
      <c r="J42" s="336">
        <f t="shared" si="26"/>
        <v>0.9759335118953838</v>
      </c>
      <c r="K42" s="336">
        <f t="shared" si="27"/>
        <v>-9.400330952094027E-2</v>
      </c>
      <c r="L42" s="336"/>
      <c r="M42" s="336"/>
      <c r="N42" s="336">
        <f t="shared" si="28"/>
        <v>1.0006891798759474</v>
      </c>
      <c r="O42" s="341"/>
      <c r="P42" s="468"/>
      <c r="Q42" s="94" t="s">
        <v>25</v>
      </c>
      <c r="T42" t="s">
        <v>25</v>
      </c>
      <c r="W42" t="s">
        <v>25</v>
      </c>
    </row>
    <row r="43" spans="1:25" ht="18.75">
      <c r="A43" s="340" t="s">
        <v>6984</v>
      </c>
      <c r="B43" s="330" t="s">
        <v>4216</v>
      </c>
      <c r="C43" s="327">
        <v>1453</v>
      </c>
      <c r="D43" s="464">
        <v>20000</v>
      </c>
      <c r="E43" s="332" t="s">
        <v>5259</v>
      </c>
      <c r="F43" s="331">
        <v>550.6</v>
      </c>
      <c r="G43" s="453">
        <f t="shared" si="24"/>
        <v>52125.016385277348</v>
      </c>
      <c r="H43" s="353">
        <f t="shared" si="25"/>
        <v>2.6389393389030147</v>
      </c>
      <c r="I43" s="333">
        <f t="shared" si="11"/>
        <v>2.5736568457538995</v>
      </c>
      <c r="J43" s="336">
        <f t="shared" si="26"/>
        <v>0.97526184395877302</v>
      </c>
      <c r="K43" s="336">
        <f t="shared" si="27"/>
        <v>-2.3434441276815043E-2</v>
      </c>
      <c r="L43" s="336"/>
      <c r="M43" s="336"/>
      <c r="N43" s="336">
        <f t="shared" si="28"/>
        <v>1.0006887052341598</v>
      </c>
      <c r="O43" s="341"/>
      <c r="P43" s="40" t="s">
        <v>25</v>
      </c>
      <c r="Q43" s="94" t="s">
        <v>25</v>
      </c>
      <c r="R43" t="s">
        <v>25</v>
      </c>
      <c r="V43" t="s">
        <v>25</v>
      </c>
    </row>
    <row r="44" spans="1:25" ht="18.75" customHeight="1">
      <c r="A44" s="340" t="s">
        <v>6984</v>
      </c>
      <c r="B44" s="330" t="s">
        <v>4216</v>
      </c>
      <c r="C44" s="327">
        <v>1466</v>
      </c>
      <c r="D44" s="464">
        <v>20000</v>
      </c>
      <c r="E44" s="332" t="s">
        <v>5259</v>
      </c>
      <c r="F44" s="331">
        <v>553.5</v>
      </c>
      <c r="G44" s="453">
        <f t="shared" si="24"/>
        <v>52315.832708033427</v>
      </c>
      <c r="H44" s="353">
        <f t="shared" si="25"/>
        <v>2.6485998193315266</v>
      </c>
      <c r="I44" s="333">
        <f t="shared" si="11"/>
        <v>2.5736568457538995</v>
      </c>
      <c r="J44" s="336">
        <f t="shared" si="26"/>
        <v>0.97170468221335837</v>
      </c>
      <c r="K44" s="336">
        <f t="shared" si="27"/>
        <v>0.35192564001957916</v>
      </c>
      <c r="L44" s="336"/>
      <c r="M44" s="336"/>
      <c r="N44" s="336">
        <f t="shared" si="28"/>
        <v>1.0036607436503362</v>
      </c>
      <c r="O44" s="341"/>
      <c r="P44" s="40"/>
      <c r="R44" t="s">
        <v>25</v>
      </c>
      <c r="X44" s="413"/>
    </row>
    <row r="45" spans="1:25" ht="20.25" customHeight="1">
      <c r="A45" s="340" t="s">
        <v>6984</v>
      </c>
      <c r="B45" s="330" t="s">
        <v>4216</v>
      </c>
      <c r="C45" s="327">
        <v>1475</v>
      </c>
      <c r="D45" s="464">
        <v>20000</v>
      </c>
      <c r="E45" s="332" t="s">
        <v>5259</v>
      </c>
      <c r="F45" s="331">
        <v>556</v>
      </c>
      <c r="G45" s="453">
        <f t="shared" si="24"/>
        <v>52400.330477327014</v>
      </c>
      <c r="H45" s="353">
        <f t="shared" si="25"/>
        <v>2.6528776978417268</v>
      </c>
      <c r="I45" s="333">
        <f t="shared" si="11"/>
        <v>2.5736568457538995</v>
      </c>
      <c r="J45" s="336">
        <f t="shared" si="26"/>
        <v>0.97013776694180887</v>
      </c>
      <c r="K45" s="336">
        <f t="shared" si="27"/>
        <v>0.51814354576944499</v>
      </c>
      <c r="L45" s="336"/>
      <c r="M45" s="336"/>
      <c r="N45" s="336">
        <f t="shared" si="28"/>
        <v>1.0016151471728485</v>
      </c>
      <c r="O45" s="341"/>
      <c r="P45" s="40" t="s">
        <v>25</v>
      </c>
      <c r="Q45" t="s">
        <v>25</v>
      </c>
      <c r="T45" s="405"/>
      <c r="X45" s="413"/>
    </row>
    <row r="46" spans="1:25" ht="18.75">
      <c r="A46" s="340" t="s">
        <v>6984</v>
      </c>
      <c r="B46" s="330" t="s">
        <v>4216</v>
      </c>
      <c r="C46" s="327">
        <v>1476</v>
      </c>
      <c r="D46" s="464">
        <v>20000</v>
      </c>
      <c r="E46" s="332" t="s">
        <v>5259</v>
      </c>
      <c r="F46" s="331">
        <v>556</v>
      </c>
      <c r="G46" s="453">
        <f t="shared" si="24"/>
        <v>52435.856125108257</v>
      </c>
      <c r="H46" s="353">
        <f t="shared" si="25"/>
        <v>2.6546762589928057</v>
      </c>
      <c r="I46" s="333">
        <f t="shared" si="11"/>
        <v>2.5736568457538995</v>
      </c>
      <c r="J46" s="336">
        <f t="shared" si="26"/>
        <v>0.96948049203195674</v>
      </c>
      <c r="K46" s="336">
        <f t="shared" si="27"/>
        <v>0.58802703291911396</v>
      </c>
      <c r="L46" s="336"/>
      <c r="M46" s="336"/>
      <c r="N46" s="336">
        <f t="shared" si="28"/>
        <v>1.0006779661016949</v>
      </c>
      <c r="O46" s="341"/>
      <c r="P46" s="40"/>
      <c r="Q46" s="94" t="s">
        <v>25</v>
      </c>
      <c r="T46" s="405"/>
    </row>
    <row r="47" spans="1:25" ht="18.75">
      <c r="A47" s="340" t="s">
        <v>6984</v>
      </c>
      <c r="B47" s="330" t="s">
        <v>4216</v>
      </c>
      <c r="C47" s="327">
        <v>1477</v>
      </c>
      <c r="D47" s="464">
        <v>20000</v>
      </c>
      <c r="E47" s="332" t="s">
        <v>5259</v>
      </c>
      <c r="F47" s="331">
        <v>555.71</v>
      </c>
      <c r="G47" s="453">
        <f t="shared" si="24"/>
        <v>52498.76422185413</v>
      </c>
      <c r="H47" s="353">
        <f t="shared" si="25"/>
        <v>2.6578611146101383</v>
      </c>
      <c r="I47" s="333">
        <f t="shared" si="11"/>
        <v>2.5736568457538995</v>
      </c>
      <c r="J47" s="336">
        <f t="shared" si="26"/>
        <v>0.96831878520913983</v>
      </c>
      <c r="K47" s="336">
        <f t="shared" si="27"/>
        <v>0.7117752949528322</v>
      </c>
      <c r="L47" s="336"/>
      <c r="M47" s="336"/>
      <c r="N47" s="336">
        <f>H47/H46</f>
        <v>1.0011997152596457</v>
      </c>
      <c r="O47" s="40"/>
      <c r="Q47" s="94" t="s">
        <v>25</v>
      </c>
      <c r="S47" t="s">
        <v>25</v>
      </c>
      <c r="T47" t="s">
        <v>25</v>
      </c>
    </row>
    <row r="48" spans="1:25" ht="18.75">
      <c r="A48" s="340" t="s">
        <v>6984</v>
      </c>
      <c r="B48" s="330" t="s">
        <v>4216</v>
      </c>
      <c r="C48" s="327">
        <v>1478</v>
      </c>
      <c r="D48" s="464">
        <v>19588</v>
      </c>
      <c r="E48" s="332" t="s">
        <v>5259</v>
      </c>
      <c r="F48" s="331">
        <v>555</v>
      </c>
      <c r="G48" s="453">
        <f t="shared" si="24"/>
        <v>51517.923263170327</v>
      </c>
      <c r="H48" s="353">
        <f t="shared" ref="H48:H49" si="29">C48/F48</f>
        <v>2.663063063063063</v>
      </c>
      <c r="I48" s="333">
        <f t="shared" ref="I48:I49" si="30">$R$61/$R$62</f>
        <v>2.5736568457538995</v>
      </c>
      <c r="J48" s="336">
        <f t="shared" ref="J48" si="31">I48/H48</f>
        <v>0.96642729999554422</v>
      </c>
      <c r="K48" s="336">
        <f t="shared" ref="K48:K49" si="32">(1/J48-1.0256)*100</f>
        <v>0.91389814056479501</v>
      </c>
      <c r="L48" s="336"/>
      <c r="M48" s="336"/>
      <c r="N48" s="336">
        <f t="shared" ref="N48" si="33">H48/H47</f>
        <v>1.0019571934832598</v>
      </c>
      <c r="O48" s="40"/>
    </row>
    <row r="49" spans="1:23" ht="18.75">
      <c r="A49" s="340" t="s">
        <v>6986</v>
      </c>
      <c r="B49" s="330" t="s">
        <v>4216</v>
      </c>
      <c r="C49" s="327">
        <v>1513.7</v>
      </c>
      <c r="D49" s="464">
        <v>45148.641649999998</v>
      </c>
      <c r="E49" s="332" t="s">
        <v>5259</v>
      </c>
      <c r="F49" s="331">
        <v>563.97500000000002</v>
      </c>
      <c r="G49" s="453">
        <f t="shared" si="24"/>
        <v>119677.2078330618</v>
      </c>
      <c r="H49" s="353">
        <f t="shared" si="29"/>
        <v>2.6839842191586505</v>
      </c>
      <c r="I49" s="333">
        <f t="shared" si="30"/>
        <v>2.5736568457538995</v>
      </c>
      <c r="J49" s="336">
        <f>I49/H49</f>
        <v>0.95889417954948508</v>
      </c>
      <c r="K49" s="336">
        <f t="shared" si="32"/>
        <v>1.7267942393630387</v>
      </c>
      <c r="L49" s="336"/>
      <c r="M49" s="336"/>
      <c r="N49" s="336">
        <f>H49/H48</f>
        <v>1.0078560498193849</v>
      </c>
      <c r="O49" s="40"/>
      <c r="P49" s="403" t="s">
        <v>25</v>
      </c>
    </row>
    <row r="50" spans="1:23" ht="18.75" hidden="1">
      <c r="A50" s="340" t="s">
        <v>25</v>
      </c>
      <c r="B50" s="330"/>
      <c r="C50" s="327" t="s">
        <v>25</v>
      </c>
      <c r="D50" s="464"/>
      <c r="E50" s="332"/>
      <c r="F50" s="331"/>
      <c r="G50" s="453"/>
      <c r="H50" s="353" t="e">
        <f t="shared" ref="H50" si="34">C50/F50</f>
        <v>#VALUE!</v>
      </c>
      <c r="I50" s="333">
        <f>$R$61/$R$62</f>
        <v>2.5736568457538995</v>
      </c>
      <c r="J50" s="336" t="e">
        <f t="shared" ref="J50" si="35">I50/H50</f>
        <v>#VALUE!</v>
      </c>
      <c r="K50" s="336" t="e">
        <f t="shared" ref="K50" si="36">(1/J50-1.0256)*100</f>
        <v>#VALUE!</v>
      </c>
      <c r="L50" s="336"/>
      <c r="M50" s="336"/>
      <c r="N50" s="336" t="e">
        <f>H50/#REF!</f>
        <v>#VALUE!</v>
      </c>
      <c r="O50" s="40"/>
      <c r="P50" s="403"/>
    </row>
    <row r="51" spans="1:23" ht="18.75" hidden="1">
      <c r="A51" s="340"/>
      <c r="B51" s="330"/>
      <c r="C51" s="327"/>
      <c r="D51" s="464"/>
      <c r="E51" s="332"/>
      <c r="F51" s="331"/>
      <c r="G51" s="453"/>
      <c r="H51" s="353"/>
      <c r="I51" s="333"/>
      <c r="J51" s="336"/>
      <c r="K51" s="336"/>
      <c r="L51" s="336"/>
      <c r="M51" s="336"/>
      <c r="N51" s="336"/>
      <c r="O51" s="40"/>
      <c r="P51" s="403"/>
      <c r="S51" t="s">
        <v>25</v>
      </c>
    </row>
    <row r="52" spans="1:23" ht="36.75" hidden="1" customHeight="1">
      <c r="A52" s="427" t="s">
        <v>6956</v>
      </c>
      <c r="B52" s="332"/>
      <c r="C52" s="331">
        <v>591.5</v>
      </c>
      <c r="D52" s="453">
        <v>387139</v>
      </c>
      <c r="E52" s="330"/>
      <c r="F52" s="327">
        <v>1551.86</v>
      </c>
      <c r="G52" s="464">
        <f t="shared" ref="G52" si="37">C52*D52*0.9912/(F52*1.003631981)</f>
        <v>145732.33900016849</v>
      </c>
      <c r="H52" s="428">
        <f t="shared" ref="H52" si="38">C52/F52</f>
        <v>0.38115551660587943</v>
      </c>
      <c r="I52" s="329">
        <f>$R$62/$R$61</f>
        <v>0.38855218855218854</v>
      </c>
      <c r="J52" s="336">
        <f>I52/H52</f>
        <v>1.0194059160213005</v>
      </c>
      <c r="K52" s="336">
        <f>(1/J52-1.0256)*100</f>
        <v>-4.463649539041425</v>
      </c>
      <c r="L52" s="336"/>
      <c r="M52" s="336"/>
      <c r="N52" s="469">
        <v>1</v>
      </c>
      <c r="O52" s="341"/>
      <c r="S52" t="s">
        <v>25</v>
      </c>
      <c r="W52" t="s">
        <v>25</v>
      </c>
    </row>
    <row r="53" spans="1:23" ht="25.5" hidden="1" customHeight="1">
      <c r="A53" s="325" t="s">
        <v>5757</v>
      </c>
      <c r="B53" s="325" t="s">
        <v>4354</v>
      </c>
      <c r="C53" s="324">
        <v>146.50869674817241</v>
      </c>
      <c r="D53" s="325">
        <v>708506.20000000007</v>
      </c>
      <c r="E53" s="332" t="s">
        <v>6745</v>
      </c>
      <c r="F53" s="331">
        <v>394</v>
      </c>
      <c r="G53" s="332">
        <f t="shared" ref="G53:G58" si="39">C53*D53*0.99114/(F53*1.0037158)</f>
        <v>260156.73964975364</v>
      </c>
      <c r="H53" s="332">
        <f t="shared" ref="H53:H58" si="40">C53/F53</f>
        <v>0.37184948413241731</v>
      </c>
      <c r="I53" s="332">
        <f>$R$65/$R$62</f>
        <v>0.48180242634315423</v>
      </c>
      <c r="J53" s="32">
        <f t="shared" ref="J53:J58" si="41">I53/H53</f>
        <v>1.2956920660177176</v>
      </c>
      <c r="K53" s="32">
        <f t="shared" ref="K53:K58" si="42">(1/J53-1.0256)*100</f>
        <v>-25.381168221437132</v>
      </c>
      <c r="L53" s="336"/>
      <c r="M53" s="32"/>
      <c r="N53" s="336">
        <v>1</v>
      </c>
      <c r="P53" s="422"/>
    </row>
    <row r="54" spans="1:23" ht="21" hidden="1">
      <c r="A54" s="325" t="s">
        <v>5758</v>
      </c>
      <c r="B54" s="325" t="s">
        <v>4354</v>
      </c>
      <c r="C54" s="324">
        <v>146.35744895386941</v>
      </c>
      <c r="D54" s="325">
        <v>27927.68</v>
      </c>
      <c r="E54" s="332" t="s">
        <v>6745</v>
      </c>
      <c r="F54" s="331">
        <v>389</v>
      </c>
      <c r="G54" s="332">
        <f t="shared" si="39"/>
        <v>10375.865470549825</v>
      </c>
      <c r="H54" s="332">
        <f t="shared" si="40"/>
        <v>0.37624022867318613</v>
      </c>
      <c r="I54" s="332">
        <f>$R$65/$R$62</f>
        <v>0.48180242634315423</v>
      </c>
      <c r="J54" s="32">
        <f t="shared" si="41"/>
        <v>1.2805712670392371</v>
      </c>
      <c r="K54" s="342">
        <f t="shared" si="42"/>
        <v>-24.469851818550946</v>
      </c>
      <c r="L54" s="32" t="s">
        <v>25</v>
      </c>
      <c r="M54" s="32" t="s">
        <v>25</v>
      </c>
      <c r="N54" s="32">
        <f>H54/H53</f>
        <v>1.0118078543285145</v>
      </c>
      <c r="O54" s="403"/>
      <c r="P54" s="422" t="s">
        <v>25</v>
      </c>
    </row>
    <row r="55" spans="1:23" ht="21" hidden="1">
      <c r="A55" s="343" t="s">
        <v>6399</v>
      </c>
      <c r="B55" s="343" t="s">
        <v>5834</v>
      </c>
      <c r="C55" s="334">
        <v>3112</v>
      </c>
      <c r="D55" s="343">
        <v>227</v>
      </c>
      <c r="E55" s="330" t="s">
        <v>4216</v>
      </c>
      <c r="F55" s="330">
        <v>1612.1159</v>
      </c>
      <c r="G55" s="330">
        <f t="shared" si="39"/>
        <v>432.70650792078322</v>
      </c>
      <c r="H55" s="330">
        <f t="shared" si="40"/>
        <v>1.9303823006770171</v>
      </c>
      <c r="I55" s="330">
        <f>$R$60/$R$61</f>
        <v>2.1319865319865321</v>
      </c>
      <c r="J55" s="32">
        <f t="shared" si="41"/>
        <v>1.1044374636251115</v>
      </c>
      <c r="K55" s="342">
        <f t="shared" si="42"/>
        <v>-12.016168145755845</v>
      </c>
      <c r="L55" s="32" t="s">
        <v>25</v>
      </c>
      <c r="M55" s="32" t="s">
        <v>25</v>
      </c>
      <c r="N55" s="32">
        <v>1</v>
      </c>
      <c r="O55" s="403"/>
      <c r="P55" s="432"/>
    </row>
    <row r="56" spans="1:23" ht="42.75" hidden="1" customHeight="1">
      <c r="A56" s="343" t="s">
        <v>6399</v>
      </c>
      <c r="B56" s="343" t="s">
        <v>5834</v>
      </c>
      <c r="C56" s="334">
        <v>3178</v>
      </c>
      <c r="D56" s="343">
        <v>7791</v>
      </c>
      <c r="E56" s="332" t="s">
        <v>5259</v>
      </c>
      <c r="F56" s="332">
        <v>645.41999999999996</v>
      </c>
      <c r="G56" s="332">
        <f t="shared" si="39"/>
        <v>37881.652960140629</v>
      </c>
      <c r="H56" s="332">
        <f t="shared" si="40"/>
        <v>4.9239255058721456</v>
      </c>
      <c r="I56" s="332">
        <f>$R$60/$R$62</f>
        <v>5.4870017331022529</v>
      </c>
      <c r="J56" s="32">
        <f t="shared" si="41"/>
        <v>1.1143551474445739</v>
      </c>
      <c r="K56" s="342">
        <f t="shared" si="42"/>
        <v>-12.822001993422994</v>
      </c>
      <c r="L56" s="32" t="s">
        <v>25</v>
      </c>
      <c r="M56" s="32" t="s">
        <v>25</v>
      </c>
      <c r="N56" s="32">
        <v>1</v>
      </c>
      <c r="O56" s="403"/>
      <c r="P56" s="432" t="s">
        <v>25</v>
      </c>
    </row>
    <row r="57" spans="1:23" ht="33" hidden="1" customHeight="1">
      <c r="A57" s="330" t="s">
        <v>6830</v>
      </c>
      <c r="B57" s="330" t="s">
        <v>4216</v>
      </c>
      <c r="C57" s="327">
        <v>1303.7877853177051</v>
      </c>
      <c r="D57" s="330">
        <v>1.1351540616246498</v>
      </c>
      <c r="E57" s="374" t="s">
        <v>4651</v>
      </c>
      <c r="F57" s="374">
        <v>666</v>
      </c>
      <c r="G57" s="374">
        <f t="shared" si="39"/>
        <v>2.1943794581427665</v>
      </c>
      <c r="H57" s="374">
        <f t="shared" si="40"/>
        <v>1.9576393172938515</v>
      </c>
      <c r="I57" s="374">
        <f>$R$61/$R$66</f>
        <v>1.7348130841121496</v>
      </c>
      <c r="J57" s="32">
        <f t="shared" si="41"/>
        <v>0.88617605336527139</v>
      </c>
      <c r="K57" s="342">
        <f t="shared" si="42"/>
        <v>10.284394316736488</v>
      </c>
      <c r="L57" s="32" t="s">
        <v>25</v>
      </c>
      <c r="M57" s="32" t="s">
        <v>25</v>
      </c>
      <c r="N57" s="32">
        <v>1</v>
      </c>
      <c r="O57" s="422"/>
      <c r="P57" s="432" t="s">
        <v>25</v>
      </c>
    </row>
    <row r="58" spans="1:23" ht="20.25" hidden="1" customHeight="1">
      <c r="A58" s="330" t="s">
        <v>6701</v>
      </c>
      <c r="B58" s="330" t="s">
        <v>4216</v>
      </c>
      <c r="C58" s="327">
        <v>1355.3226403454657</v>
      </c>
      <c r="D58" s="330">
        <v>1.1351540616246498</v>
      </c>
      <c r="E58" s="344" t="s">
        <v>5788</v>
      </c>
      <c r="F58" s="344">
        <v>1353</v>
      </c>
      <c r="G58" s="344">
        <f t="shared" si="39"/>
        <v>1.1228556972348047</v>
      </c>
      <c r="H58" s="344">
        <f t="shared" si="40"/>
        <v>1.0017166595310167</v>
      </c>
      <c r="I58" s="344">
        <f>$R$61/$R$63</f>
        <v>0.92523364485981308</v>
      </c>
      <c r="J58" s="32">
        <f t="shared" si="41"/>
        <v>0.92364805562182484</v>
      </c>
      <c r="K58" s="32">
        <f t="shared" si="42"/>
        <v>5.7063460301199909</v>
      </c>
      <c r="L58" s="32"/>
      <c r="M58" s="32"/>
      <c r="N58" s="32">
        <v>1</v>
      </c>
      <c r="O58" s="422"/>
      <c r="P58" s="432"/>
    </row>
    <row r="59" spans="1:23" hidden="1">
      <c r="A59" s="430"/>
      <c r="B59" s="120"/>
      <c r="C59" s="56"/>
      <c r="D59" s="120"/>
      <c r="E59" s="120"/>
      <c r="F59" s="56"/>
      <c r="G59" s="120"/>
      <c r="H59" s="431"/>
      <c r="I59" s="431"/>
      <c r="J59" s="120"/>
      <c r="K59" s="120"/>
      <c r="L59" s="120"/>
      <c r="M59" s="120"/>
      <c r="N59" s="120"/>
      <c r="O59" s="432"/>
      <c r="P59" s="432"/>
    </row>
    <row r="60" spans="1:23" ht="21">
      <c r="A60" s="433" t="s">
        <v>5403</v>
      </c>
      <c r="B60" s="67"/>
      <c r="C60" s="167"/>
      <c r="D60" s="67"/>
      <c r="E60" s="67"/>
      <c r="F60" s="167"/>
      <c r="G60" s="67"/>
      <c r="H60" s="54"/>
      <c r="I60" s="54"/>
      <c r="J60" s="67"/>
      <c r="K60" s="67"/>
      <c r="L60" s="67"/>
      <c r="M60" s="67"/>
      <c r="N60" s="67"/>
      <c r="O60" s="432"/>
      <c r="P60" s="432"/>
      <c r="Q60" s="474" t="s">
        <v>5834</v>
      </c>
      <c r="R60" s="292">
        <v>3166</v>
      </c>
    </row>
    <row r="61" spans="1:23" ht="21">
      <c r="A61" s="480" t="s">
        <v>6977</v>
      </c>
      <c r="B61" s="271" t="s">
        <v>4216</v>
      </c>
      <c r="C61" s="272">
        <v>1451</v>
      </c>
      <c r="D61" s="271">
        <v>20000</v>
      </c>
      <c r="E61" s="283" t="s">
        <v>5259</v>
      </c>
      <c r="F61" s="425">
        <v>550.75699999999995</v>
      </c>
      <c r="G61" s="283">
        <f t="shared" ref="G61" si="43">C61*D61*0.9912/(F61*1.003631981)</f>
        <v>52038.429836390591</v>
      </c>
      <c r="H61" s="424">
        <f t="shared" ref="H61" si="44">C61/F61</f>
        <v>2.6345557115025322</v>
      </c>
      <c r="I61" s="424">
        <f t="shared" ref="I61:I80" si="45">$R$61/$R$62</f>
        <v>2.5736568457538995</v>
      </c>
      <c r="J61" s="283">
        <f>I61/H61</f>
        <v>0.97688457849543786</v>
      </c>
      <c r="K61" s="283">
        <f>(1/J61-1.0256)*100</f>
        <v>-0.19376124330230393</v>
      </c>
      <c r="L61" s="283"/>
      <c r="M61" s="283"/>
      <c r="N61" s="283">
        <v>1</v>
      </c>
      <c r="O61" s="432"/>
      <c r="P61" s="432"/>
      <c r="Q61" s="475" t="s">
        <v>4216</v>
      </c>
      <c r="R61" s="476">
        <v>1485</v>
      </c>
    </row>
    <row r="62" spans="1:23" ht="24" customHeight="1">
      <c r="A62" s="480" t="s">
        <v>6984</v>
      </c>
      <c r="B62" s="271" t="s">
        <v>4216</v>
      </c>
      <c r="C62" s="272">
        <v>1452</v>
      </c>
      <c r="D62" s="271">
        <v>20000</v>
      </c>
      <c r="E62" s="283" t="s">
        <v>5259</v>
      </c>
      <c r="F62" s="425">
        <v>550.75699999999995</v>
      </c>
      <c r="G62" s="283">
        <f t="shared" ref="G62" si="46">C62*D62*0.9912/(F62*1.003631981)</f>
        <v>52074.293675009743</v>
      </c>
      <c r="H62" s="424">
        <f t="shared" ref="H62" si="47">C62/F62</f>
        <v>2.6363713942809626</v>
      </c>
      <c r="I62" s="424">
        <f t="shared" si="45"/>
        <v>2.5736568457538995</v>
      </c>
      <c r="J62" s="283">
        <f t="shared" ref="J62" si="48">I62/H62</f>
        <v>0.97621179297305805</v>
      </c>
      <c r="K62" s="283">
        <f t="shared" ref="K62" si="49">(1/J62-1.0256)*100</f>
        <v>-0.12321249157472014</v>
      </c>
      <c r="L62" s="283"/>
      <c r="M62" s="283"/>
      <c r="N62" s="283">
        <f>H62/H61</f>
        <v>1.0006891798759476</v>
      </c>
      <c r="O62" s="432"/>
      <c r="P62" s="432"/>
      <c r="Q62" s="475" t="s">
        <v>5259</v>
      </c>
      <c r="R62" s="477">
        <v>577</v>
      </c>
    </row>
    <row r="63" spans="1:23" ht="21">
      <c r="A63" s="480" t="s">
        <v>6984</v>
      </c>
      <c r="B63" s="271" t="s">
        <v>4216</v>
      </c>
      <c r="C63" s="272">
        <v>1453</v>
      </c>
      <c r="D63" s="271">
        <v>20000</v>
      </c>
      <c r="E63" s="283" t="s">
        <v>5259</v>
      </c>
      <c r="F63" s="425">
        <v>550.75699999999995</v>
      </c>
      <c r="G63" s="283">
        <f t="shared" ref="G63:G80" si="50">C63*D63*0.9912/(F63*1.003631981)</f>
        <v>52110.157513628903</v>
      </c>
      <c r="H63" s="424">
        <f t="shared" ref="H63:H80" si="51">C63/F63</f>
        <v>2.6381870770593929</v>
      </c>
      <c r="I63" s="424">
        <f t="shared" si="45"/>
        <v>2.5736568457538995</v>
      </c>
      <c r="J63" s="283">
        <f t="shared" ref="J63:J80" si="52">I63/H63</f>
        <v>0.97553993351471469</v>
      </c>
      <c r="K63" s="283">
        <f t="shared" ref="K63:K80" si="53">(1/J63-1.0256)*100</f>
        <v>-5.2663739847180757E-2</v>
      </c>
      <c r="L63" s="283"/>
      <c r="M63" s="283"/>
      <c r="N63" s="283">
        <f t="shared" ref="N63:N80" si="54">H63/H62</f>
        <v>1.0006887052341598</v>
      </c>
      <c r="O63" s="432"/>
      <c r="P63" s="432"/>
      <c r="Q63" s="475" t="s">
        <v>5788</v>
      </c>
      <c r="R63" s="311">
        <v>1605</v>
      </c>
    </row>
    <row r="64" spans="1:23" ht="21">
      <c r="A64" s="480" t="s">
        <v>6984</v>
      </c>
      <c r="B64" s="271" t="s">
        <v>4216</v>
      </c>
      <c r="C64" s="272">
        <v>1454</v>
      </c>
      <c r="D64" s="271">
        <v>20000</v>
      </c>
      <c r="E64" s="283" t="s">
        <v>5259</v>
      </c>
      <c r="F64" s="425">
        <v>550.75699999999995</v>
      </c>
      <c r="G64" s="283">
        <f t="shared" si="50"/>
        <v>52146.021352248055</v>
      </c>
      <c r="H64" s="424">
        <f t="shared" si="51"/>
        <v>2.6400027598378233</v>
      </c>
      <c r="I64" s="424">
        <f t="shared" si="45"/>
        <v>2.5736568457538995</v>
      </c>
      <c r="J64" s="283">
        <f t="shared" si="52"/>
        <v>0.97486899820968387</v>
      </c>
      <c r="K64" s="283">
        <f t="shared" si="53"/>
        <v>1.7885011880403034E-2</v>
      </c>
      <c r="L64" s="283"/>
      <c r="M64" s="283"/>
      <c r="N64" s="283">
        <f t="shared" si="54"/>
        <v>1.0006882312456986</v>
      </c>
      <c r="O64" s="432"/>
      <c r="P64" s="432"/>
      <c r="Q64" s="475" t="s">
        <v>4358</v>
      </c>
      <c r="R64" s="275">
        <v>14690</v>
      </c>
      <c r="S64" s="94"/>
    </row>
    <row r="65" spans="1:20" ht="21">
      <c r="A65" s="480" t="s">
        <v>6984</v>
      </c>
      <c r="B65" s="271" t="s">
        <v>4216</v>
      </c>
      <c r="C65" s="272">
        <v>1455</v>
      </c>
      <c r="D65" s="271">
        <v>20000</v>
      </c>
      <c r="E65" s="283" t="s">
        <v>5259</v>
      </c>
      <c r="F65" s="425">
        <v>550.75699999999995</v>
      </c>
      <c r="G65" s="283">
        <f t="shared" si="50"/>
        <v>52181.885190867208</v>
      </c>
      <c r="H65" s="424">
        <f t="shared" si="51"/>
        <v>2.6418184426162541</v>
      </c>
      <c r="I65" s="424">
        <f t="shared" si="45"/>
        <v>2.5736568457538995</v>
      </c>
      <c r="J65" s="283">
        <f t="shared" si="52"/>
        <v>0.97419898515249492</v>
      </c>
      <c r="K65" s="283">
        <f t="shared" si="53"/>
        <v>8.8433763607986826E-2</v>
      </c>
      <c r="L65" s="283"/>
      <c r="M65" s="283"/>
      <c r="N65" s="283">
        <f t="shared" si="54"/>
        <v>1.0006877579092162</v>
      </c>
      <c r="O65" s="432"/>
      <c r="P65" s="432"/>
      <c r="Q65" s="475" t="s">
        <v>4354</v>
      </c>
      <c r="R65" s="284">
        <v>278</v>
      </c>
      <c r="S65" s="94"/>
    </row>
    <row r="66" spans="1:20" ht="21">
      <c r="A66" s="480" t="s">
        <v>6984</v>
      </c>
      <c r="B66" s="271" t="s">
        <v>4216</v>
      </c>
      <c r="C66" s="272">
        <v>1456</v>
      </c>
      <c r="D66" s="271">
        <v>20000</v>
      </c>
      <c r="E66" s="283" t="s">
        <v>5259</v>
      </c>
      <c r="F66" s="425">
        <v>550.75699999999995</v>
      </c>
      <c r="G66" s="283">
        <f t="shared" si="50"/>
        <v>52217.74902948636</v>
      </c>
      <c r="H66" s="424">
        <f t="shared" si="51"/>
        <v>2.6436341253946845</v>
      </c>
      <c r="I66" s="424">
        <f t="shared" si="45"/>
        <v>2.5736568457538995</v>
      </c>
      <c r="J66" s="283">
        <f t="shared" si="52"/>
        <v>0.97352989244291221</v>
      </c>
      <c r="K66" s="283">
        <f t="shared" si="53"/>
        <v>0.15898251533554841</v>
      </c>
      <c r="L66" s="283"/>
      <c r="M66" s="283"/>
      <c r="N66" s="283">
        <f t="shared" si="54"/>
        <v>1.0006872852233677</v>
      </c>
      <c r="O66" s="432"/>
      <c r="P66" s="432" t="s">
        <v>25</v>
      </c>
      <c r="Q66" s="475" t="s">
        <v>4651</v>
      </c>
      <c r="R66" s="375">
        <v>856</v>
      </c>
      <c r="S66" s="94"/>
    </row>
    <row r="67" spans="1:20" ht="21">
      <c r="A67" s="480" t="s">
        <v>6984</v>
      </c>
      <c r="B67" s="271" t="s">
        <v>4216</v>
      </c>
      <c r="C67" s="272">
        <v>1457</v>
      </c>
      <c r="D67" s="271">
        <v>20000</v>
      </c>
      <c r="E67" s="283" t="s">
        <v>5259</v>
      </c>
      <c r="F67" s="425">
        <v>550.75699999999995</v>
      </c>
      <c r="G67" s="283">
        <f t="shared" si="50"/>
        <v>52253.612868105512</v>
      </c>
      <c r="H67" s="424">
        <f t="shared" si="51"/>
        <v>2.6454498081731148</v>
      </c>
      <c r="I67" s="424">
        <f t="shared" si="45"/>
        <v>2.5736568457538995</v>
      </c>
      <c r="J67" s="283">
        <f t="shared" si="52"/>
        <v>0.97286171818591649</v>
      </c>
      <c r="K67" s="283">
        <f t="shared" si="53"/>
        <v>0.22953126706311</v>
      </c>
      <c r="L67" s="283"/>
      <c r="M67" s="283"/>
      <c r="N67" s="283">
        <f t="shared" si="54"/>
        <v>1.0006868131868132</v>
      </c>
      <c r="O67" s="432"/>
      <c r="P67" s="22"/>
      <c r="Q67" s="474" t="s">
        <v>1068</v>
      </c>
      <c r="R67" s="312">
        <v>15900000</v>
      </c>
      <c r="S67" s="94"/>
    </row>
    <row r="68" spans="1:20">
      <c r="A68" s="480" t="s">
        <v>6984</v>
      </c>
      <c r="B68" s="271" t="s">
        <v>4216</v>
      </c>
      <c r="C68" s="272">
        <v>1458</v>
      </c>
      <c r="D68" s="271">
        <v>20000</v>
      </c>
      <c r="E68" s="283" t="s">
        <v>5259</v>
      </c>
      <c r="F68" s="425">
        <v>550.75699999999995</v>
      </c>
      <c r="G68" s="283">
        <f t="shared" si="50"/>
        <v>52289.476706724665</v>
      </c>
      <c r="H68" s="424">
        <f t="shared" si="51"/>
        <v>2.6472654909515452</v>
      </c>
      <c r="I68" s="424">
        <f t="shared" si="45"/>
        <v>2.5736568457538995</v>
      </c>
      <c r="J68" s="283">
        <f t="shared" si="52"/>
        <v>0.97219446049168745</v>
      </c>
      <c r="K68" s="283">
        <f t="shared" si="53"/>
        <v>0.30008001879067159</v>
      </c>
      <c r="L68" s="283"/>
      <c r="M68" s="283"/>
      <c r="N68" s="283">
        <f t="shared" si="54"/>
        <v>1.0006863417982155</v>
      </c>
      <c r="O68" s="432"/>
      <c r="Q68" s="94"/>
      <c r="R68" s="94"/>
      <c r="S68" s="94"/>
      <c r="T68" s="94"/>
    </row>
    <row r="69" spans="1:20">
      <c r="A69" s="480" t="s">
        <v>6984</v>
      </c>
      <c r="B69" s="271" t="s">
        <v>4216</v>
      </c>
      <c r="C69" s="272">
        <v>1471</v>
      </c>
      <c r="D69" s="271">
        <v>20000</v>
      </c>
      <c r="E69" s="283" t="s">
        <v>5259</v>
      </c>
      <c r="F69" s="425">
        <v>555.63400000000001</v>
      </c>
      <c r="G69" s="283">
        <f t="shared" si="50"/>
        <v>52292.650746225649</v>
      </c>
      <c r="H69" s="424">
        <f t="shared" si="51"/>
        <v>2.6474261834229007</v>
      </c>
      <c r="I69" s="424">
        <f t="shared" si="45"/>
        <v>2.5736568457538995</v>
      </c>
      <c r="J69" s="283">
        <f t="shared" si="52"/>
        <v>0.97213545060069495</v>
      </c>
      <c r="K69" s="283">
        <f t="shared" si="53"/>
        <v>0.30632375993357996</v>
      </c>
      <c r="L69" s="283"/>
      <c r="M69" s="283"/>
      <c r="N69" s="283">
        <f t="shared" si="54"/>
        <v>1.0000607013055187</v>
      </c>
      <c r="O69" s="432"/>
      <c r="Q69" s="94"/>
      <c r="R69" s="94" t="s">
        <v>25</v>
      </c>
      <c r="S69" s="94"/>
      <c r="T69" s="94"/>
    </row>
    <row r="70" spans="1:20">
      <c r="A70" s="480" t="s">
        <v>6984</v>
      </c>
      <c r="B70" s="271" t="s">
        <v>4216</v>
      </c>
      <c r="C70" s="272">
        <v>1459</v>
      </c>
      <c r="D70" s="271">
        <v>20000</v>
      </c>
      <c r="E70" s="283" t="s">
        <v>5259</v>
      </c>
      <c r="F70" s="425">
        <v>550.75699999999995</v>
      </c>
      <c r="G70" s="283">
        <f t="shared" si="50"/>
        <v>52325.340545343817</v>
      </c>
      <c r="H70" s="424">
        <f t="shared" si="51"/>
        <v>2.6490811737299755</v>
      </c>
      <c r="I70" s="424">
        <f t="shared" si="45"/>
        <v>2.5736568457538995</v>
      </c>
      <c r="J70" s="283">
        <f t="shared" si="52"/>
        <v>0.97152811747558621</v>
      </c>
      <c r="K70" s="283">
        <f t="shared" si="53"/>
        <v>0.37062877051823317</v>
      </c>
      <c r="L70" s="283"/>
      <c r="M70" s="283"/>
      <c r="N70" s="283">
        <f t="shared" si="54"/>
        <v>1.0006251318044059</v>
      </c>
      <c r="O70" s="432"/>
      <c r="Q70" s="94"/>
      <c r="R70" s="94"/>
      <c r="S70" s="94"/>
      <c r="T70" s="94"/>
    </row>
    <row r="71" spans="1:20">
      <c r="A71" s="480" t="s">
        <v>6984</v>
      </c>
      <c r="B71" s="271" t="s">
        <v>4216</v>
      </c>
      <c r="C71" s="272">
        <v>1472</v>
      </c>
      <c r="D71" s="271">
        <v>20000</v>
      </c>
      <c r="E71" s="283" t="s">
        <v>5259</v>
      </c>
      <c r="F71" s="425">
        <v>555.63400000000001</v>
      </c>
      <c r="G71" s="283">
        <f t="shared" si="50"/>
        <v>52328.199794999426</v>
      </c>
      <c r="H71" s="424">
        <f t="shared" si="51"/>
        <v>2.6492259292987828</v>
      </c>
      <c r="I71" s="424">
        <f t="shared" si="45"/>
        <v>2.5736568457538995</v>
      </c>
      <c r="J71" s="283">
        <f t="shared" si="52"/>
        <v>0.97147503249566736</v>
      </c>
      <c r="K71" s="283">
        <f t="shared" si="53"/>
        <v>0.37625327982475643</v>
      </c>
      <c r="L71" s="283"/>
      <c r="M71" s="283"/>
      <c r="N71" s="283">
        <f t="shared" si="54"/>
        <v>1.0000546436893829</v>
      </c>
      <c r="Q71" s="94"/>
      <c r="R71" s="94"/>
      <c r="S71" s="94"/>
      <c r="T71" s="94"/>
    </row>
    <row r="72" spans="1:20" ht="27.75" customHeight="1">
      <c r="A72" s="480" t="s">
        <v>6984</v>
      </c>
      <c r="B72" s="271" t="s">
        <v>4216</v>
      </c>
      <c r="C72" s="272">
        <v>1460</v>
      </c>
      <c r="D72" s="271">
        <v>20000</v>
      </c>
      <c r="E72" s="283" t="s">
        <v>5259</v>
      </c>
      <c r="F72" s="425">
        <v>550.75699999999995</v>
      </c>
      <c r="G72" s="283">
        <f t="shared" si="50"/>
        <v>52361.20438396297</v>
      </c>
      <c r="H72" s="424">
        <f t="shared" si="51"/>
        <v>2.6508968565084059</v>
      </c>
      <c r="I72" s="424">
        <f t="shared" si="45"/>
        <v>2.5736568457538995</v>
      </c>
      <c r="J72" s="283">
        <f t="shared" si="52"/>
        <v>0.97086268725813718</v>
      </c>
      <c r="K72" s="283">
        <f t="shared" si="53"/>
        <v>0.44117752224579476</v>
      </c>
      <c r="L72" s="283"/>
      <c r="M72" s="283"/>
      <c r="N72" s="283">
        <f t="shared" si="54"/>
        <v>1.0006307228051574</v>
      </c>
      <c r="P72" t="s">
        <v>25</v>
      </c>
      <c r="Q72" s="94"/>
      <c r="R72" s="94"/>
      <c r="S72" s="94"/>
      <c r="T72" s="94"/>
    </row>
    <row r="73" spans="1:20">
      <c r="A73" s="480" t="s">
        <v>6984</v>
      </c>
      <c r="B73" s="271" t="s">
        <v>4216</v>
      </c>
      <c r="C73" s="272">
        <v>1473</v>
      </c>
      <c r="D73" s="271">
        <v>20000</v>
      </c>
      <c r="E73" s="283" t="s">
        <v>5259</v>
      </c>
      <c r="F73" s="425">
        <v>555.63400000000001</v>
      </c>
      <c r="G73" s="283">
        <f t="shared" si="50"/>
        <v>52363.748843773203</v>
      </c>
      <c r="H73" s="424">
        <f t="shared" si="51"/>
        <v>2.6510256751746653</v>
      </c>
      <c r="I73" s="424">
        <f t="shared" si="45"/>
        <v>2.5736568457538995</v>
      </c>
      <c r="J73" s="283">
        <f t="shared" si="52"/>
        <v>0.9708155110886777</v>
      </c>
      <c r="K73" s="283">
        <f t="shared" si="53"/>
        <v>0.44618279971593289</v>
      </c>
      <c r="L73" s="283"/>
      <c r="M73" s="283"/>
      <c r="N73" s="283">
        <f t="shared" si="54"/>
        <v>1.0000485943713513</v>
      </c>
      <c r="Q73" s="94"/>
      <c r="R73" s="94"/>
      <c r="S73" s="94"/>
      <c r="T73" s="94"/>
    </row>
    <row r="74" spans="1:20">
      <c r="A74" s="480" t="s">
        <v>6984</v>
      </c>
      <c r="B74" s="271" t="s">
        <v>4216</v>
      </c>
      <c r="C74" s="272">
        <v>1461</v>
      </c>
      <c r="D74" s="271">
        <v>20000</v>
      </c>
      <c r="E74" s="283" t="s">
        <v>5259</v>
      </c>
      <c r="F74" s="425">
        <v>550.75699999999995</v>
      </c>
      <c r="G74" s="283">
        <f t="shared" si="50"/>
        <v>52397.068222582122</v>
      </c>
      <c r="H74" s="424">
        <f t="shared" si="51"/>
        <v>2.6527125392868363</v>
      </c>
      <c r="I74" s="424">
        <f t="shared" si="45"/>
        <v>2.5736568457538995</v>
      </c>
      <c r="J74" s="283">
        <f t="shared" si="52"/>
        <v>0.97019816796501057</v>
      </c>
      <c r="K74" s="283">
        <f t="shared" si="53"/>
        <v>0.51172627397335635</v>
      </c>
      <c r="L74" s="283"/>
      <c r="M74" s="283"/>
      <c r="N74" s="283">
        <f t="shared" si="54"/>
        <v>1.0006363062145975</v>
      </c>
      <c r="P74" t="s">
        <v>6863</v>
      </c>
      <c r="Q74" s="94"/>
      <c r="R74" s="94"/>
      <c r="S74" s="94"/>
      <c r="T74" s="94"/>
    </row>
    <row r="75" spans="1:20" ht="27.75" customHeight="1">
      <c r="A75" s="480" t="s">
        <v>6984</v>
      </c>
      <c r="B75" s="271" t="s">
        <v>4216</v>
      </c>
      <c r="C75" s="272">
        <v>1462</v>
      </c>
      <c r="D75" s="271">
        <v>20000</v>
      </c>
      <c r="E75" s="283" t="s">
        <v>5259</v>
      </c>
      <c r="F75" s="425">
        <v>550.75699999999995</v>
      </c>
      <c r="G75" s="283">
        <f t="shared" si="50"/>
        <v>52432.932061201274</v>
      </c>
      <c r="H75" s="424">
        <f t="shared" si="51"/>
        <v>2.6545282220652666</v>
      </c>
      <c r="I75" s="424">
        <f t="shared" si="45"/>
        <v>2.5736568457538995</v>
      </c>
      <c r="J75" s="283">
        <f t="shared" si="52"/>
        <v>0.96953455772700436</v>
      </c>
      <c r="K75" s="283">
        <f t="shared" si="53"/>
        <v>0.58227502570091794</v>
      </c>
      <c r="L75" s="283"/>
      <c r="M75" s="283"/>
      <c r="N75" s="283">
        <f t="shared" si="54"/>
        <v>1.000684462696783</v>
      </c>
      <c r="P75" t="s">
        <v>25</v>
      </c>
      <c r="Q75" s="94" t="s">
        <v>25</v>
      </c>
      <c r="R75" s="94"/>
      <c r="S75" s="94"/>
      <c r="T75" s="94"/>
    </row>
    <row r="76" spans="1:20">
      <c r="A76" s="480" t="s">
        <v>6984</v>
      </c>
      <c r="B76" s="271" t="s">
        <v>4216</v>
      </c>
      <c r="C76" s="272">
        <v>1474</v>
      </c>
      <c r="D76" s="271">
        <v>20000</v>
      </c>
      <c r="E76" s="283" t="s">
        <v>5259</v>
      </c>
      <c r="F76" s="425">
        <v>555.63400000000001</v>
      </c>
      <c r="G76" s="283">
        <f t="shared" si="50"/>
        <v>52399.29789254698</v>
      </c>
      <c r="H76" s="424">
        <f t="shared" si="51"/>
        <v>2.6528254210505477</v>
      </c>
      <c r="I76" s="424">
        <f t="shared" si="45"/>
        <v>2.5736568457538995</v>
      </c>
      <c r="J76" s="283">
        <f t="shared" si="52"/>
        <v>0.97015688455469618</v>
      </c>
      <c r="K76" s="283">
        <f t="shared" si="53"/>
        <v>0.51611231960713155</v>
      </c>
      <c r="L76" s="283"/>
      <c r="M76" s="283"/>
      <c r="N76" s="283">
        <f>H76/H75</f>
        <v>0.99935852970009331</v>
      </c>
      <c r="Q76" s="94" t="s">
        <v>25</v>
      </c>
      <c r="R76" s="94"/>
      <c r="S76" s="94"/>
      <c r="T76" s="94"/>
    </row>
    <row r="77" spans="1:20">
      <c r="A77" s="480" t="s">
        <v>6984</v>
      </c>
      <c r="B77" s="271" t="s">
        <v>4216</v>
      </c>
      <c r="C77" s="272">
        <v>1463</v>
      </c>
      <c r="D77" s="271">
        <v>20000</v>
      </c>
      <c r="E77" s="283" t="s">
        <v>5259</v>
      </c>
      <c r="F77" s="425">
        <v>550.75699999999995</v>
      </c>
      <c r="G77" s="283">
        <f t="shared" si="50"/>
        <v>52468.795899820427</v>
      </c>
      <c r="H77" s="424">
        <f t="shared" si="51"/>
        <v>2.656343904843697</v>
      </c>
      <c r="I77" s="424">
        <f t="shared" si="45"/>
        <v>2.5736568457538995</v>
      </c>
      <c r="J77" s="283">
        <f t="shared" si="52"/>
        <v>0.96887185468002768</v>
      </c>
      <c r="K77" s="283">
        <f t="shared" si="53"/>
        <v>0.65282377742847952</v>
      </c>
      <c r="L77" s="283"/>
      <c r="M77" s="283"/>
      <c r="N77" s="283">
        <f t="shared" si="54"/>
        <v>1.0013263156200289</v>
      </c>
      <c r="P77" t="s">
        <v>25</v>
      </c>
      <c r="Q77" s="94" t="s">
        <v>25</v>
      </c>
      <c r="R77" s="94" t="s">
        <v>25</v>
      </c>
      <c r="S77" s="94"/>
      <c r="T77" s="94"/>
    </row>
    <row r="78" spans="1:20">
      <c r="A78" s="480" t="s">
        <v>6984</v>
      </c>
      <c r="B78" s="271" t="s">
        <v>4216</v>
      </c>
      <c r="C78" s="272">
        <v>1475</v>
      </c>
      <c r="D78" s="271">
        <v>20000</v>
      </c>
      <c r="E78" s="283" t="s">
        <v>5259</v>
      </c>
      <c r="F78" s="425">
        <v>555.63400000000001</v>
      </c>
      <c r="G78" s="283">
        <f t="shared" si="50"/>
        <v>52434.846941320757</v>
      </c>
      <c r="H78" s="424">
        <f t="shared" si="51"/>
        <v>2.6546251669264298</v>
      </c>
      <c r="I78" s="424">
        <f t="shared" si="45"/>
        <v>2.5736568457538995</v>
      </c>
      <c r="J78" s="283">
        <f t="shared" si="52"/>
        <v>0.96949915107364226</v>
      </c>
      <c r="K78" s="283">
        <f t="shared" si="53"/>
        <v>0.58604183949830801</v>
      </c>
      <c r="L78" s="283"/>
      <c r="M78" s="283"/>
      <c r="N78" s="283">
        <f t="shared" si="54"/>
        <v>0.99935296859938461</v>
      </c>
      <c r="Q78" s="94" t="s">
        <v>25</v>
      </c>
      <c r="R78" s="94" t="s">
        <v>25</v>
      </c>
      <c r="S78" s="94"/>
      <c r="T78" s="94"/>
    </row>
    <row r="79" spans="1:20">
      <c r="A79" s="480" t="s">
        <v>6984</v>
      </c>
      <c r="B79" s="271" t="s">
        <v>4216</v>
      </c>
      <c r="C79" s="272">
        <v>1464</v>
      </c>
      <c r="D79" s="271">
        <v>20000</v>
      </c>
      <c r="E79" s="283" t="s">
        <v>5259</v>
      </c>
      <c r="F79" s="425">
        <v>550.75699999999995</v>
      </c>
      <c r="G79" s="283">
        <f t="shared" si="50"/>
        <v>52504.659738439579</v>
      </c>
      <c r="H79" s="424">
        <f t="shared" si="51"/>
        <v>2.6581595876221278</v>
      </c>
      <c r="I79" s="424">
        <f t="shared" si="45"/>
        <v>2.5736568457538995</v>
      </c>
      <c r="J79" s="283">
        <f t="shared" si="52"/>
        <v>0.96821005696508211</v>
      </c>
      <c r="K79" s="283">
        <f t="shared" si="53"/>
        <v>0.72337252915606332</v>
      </c>
      <c r="L79" s="283"/>
      <c r="M79" s="283"/>
      <c r="N79" s="283">
        <f t="shared" si="54"/>
        <v>1.0013314198703955</v>
      </c>
      <c r="Q79" s="94" t="s">
        <v>25</v>
      </c>
      <c r="R79" s="94" t="s">
        <v>25</v>
      </c>
      <c r="S79" s="94"/>
      <c r="T79" s="94"/>
    </row>
    <row r="80" spans="1:20">
      <c r="A80" s="480" t="s">
        <v>6984</v>
      </c>
      <c r="B80" s="271" t="s">
        <v>4216</v>
      </c>
      <c r="C80" s="272">
        <v>1465</v>
      </c>
      <c r="D80" s="271">
        <v>20000</v>
      </c>
      <c r="E80" s="283" t="s">
        <v>5259</v>
      </c>
      <c r="F80" s="425">
        <v>550.75699999999995</v>
      </c>
      <c r="G80" s="283">
        <f t="shared" si="50"/>
        <v>52540.523577058731</v>
      </c>
      <c r="H80" s="424">
        <f t="shared" si="51"/>
        <v>2.6599752704005581</v>
      </c>
      <c r="I80" s="424">
        <f t="shared" si="45"/>
        <v>2.5736568457538995</v>
      </c>
      <c r="J80" s="283">
        <f t="shared" si="52"/>
        <v>0.96754916272824587</v>
      </c>
      <c r="K80" s="283">
        <f t="shared" si="53"/>
        <v>0.7939212808836249</v>
      </c>
      <c r="L80" s="283"/>
      <c r="M80" s="283"/>
      <c r="N80" s="283">
        <f t="shared" si="54"/>
        <v>1.0006830601092895</v>
      </c>
      <c r="P80" t="s">
        <v>25</v>
      </c>
      <c r="Q80" s="94" t="s">
        <v>25</v>
      </c>
      <c r="R80" s="94" t="s">
        <v>25</v>
      </c>
      <c r="S80" s="94"/>
      <c r="T80" s="94"/>
    </row>
    <row r="81" spans="1:26">
      <c r="A81" s="433"/>
      <c r="B81" s="67"/>
      <c r="C81" s="167"/>
      <c r="D81" s="67"/>
      <c r="E81" s="67"/>
      <c r="F81" s="167"/>
      <c r="G81" s="67"/>
      <c r="H81" s="54"/>
      <c r="I81" s="54"/>
      <c r="J81" s="67"/>
      <c r="K81" s="67"/>
      <c r="L81" s="67"/>
      <c r="M81" s="67"/>
      <c r="N81" s="283">
        <f>H81/H78</f>
        <v>0</v>
      </c>
      <c r="Q81" s="94"/>
      <c r="R81" s="94" t="s">
        <v>25</v>
      </c>
      <c r="S81" s="94"/>
      <c r="T81" s="94"/>
    </row>
    <row r="82" spans="1:26">
      <c r="A82" s="433"/>
      <c r="B82" s="67"/>
      <c r="C82" s="167"/>
      <c r="D82" s="67"/>
      <c r="E82" s="67"/>
      <c r="F82" s="167"/>
      <c r="G82" s="67"/>
      <c r="H82" s="54"/>
      <c r="I82" s="54"/>
      <c r="J82" s="67"/>
      <c r="K82" s="67"/>
      <c r="L82" s="67"/>
      <c r="M82" s="67"/>
      <c r="N82" s="67"/>
      <c r="P82" t="s">
        <v>25</v>
      </c>
      <c r="Q82" s="94"/>
      <c r="R82" s="94" t="s">
        <v>25</v>
      </c>
      <c r="S82" s="94"/>
      <c r="T82" s="94"/>
    </row>
    <row r="83" spans="1:26">
      <c r="A83" s="433"/>
      <c r="B83" s="67"/>
      <c r="C83" s="167"/>
      <c r="D83" s="67"/>
      <c r="E83" s="67"/>
      <c r="F83" s="167"/>
      <c r="G83" s="67"/>
      <c r="H83" s="54"/>
      <c r="I83" s="54"/>
      <c r="J83" s="67"/>
      <c r="K83" s="67"/>
      <c r="L83" s="67"/>
      <c r="M83" s="67"/>
      <c r="N83" s="67"/>
      <c r="P83" t="s">
        <v>25</v>
      </c>
      <c r="Q83" s="94"/>
      <c r="R83" s="94" t="s">
        <v>25</v>
      </c>
      <c r="S83" s="94"/>
      <c r="T83" s="94"/>
    </row>
    <row r="84" spans="1:26">
      <c r="A84" s="432"/>
      <c r="B84" s="432"/>
      <c r="C84" s="432"/>
      <c r="D84" s="432"/>
      <c r="E84" s="432"/>
      <c r="F84" s="432" t="s">
        <v>25</v>
      </c>
      <c r="G84" s="432"/>
      <c r="H84" s="432"/>
      <c r="I84" s="432"/>
      <c r="J84" s="432"/>
      <c r="K84" s="432"/>
      <c r="L84" s="432"/>
      <c r="M84" s="432"/>
      <c r="N84" s="432"/>
      <c r="Q84" s="94"/>
      <c r="R84" s="112" t="s">
        <v>25</v>
      </c>
      <c r="S84" s="94"/>
      <c r="T84" s="94"/>
    </row>
    <row r="85" spans="1:26">
      <c r="A85" s="113"/>
      <c r="B85" s="113"/>
      <c r="C85" s="113"/>
      <c r="D85" s="113"/>
      <c r="E85" s="113"/>
      <c r="F85" s="113"/>
      <c r="G85" s="113"/>
      <c r="H85" s="113"/>
      <c r="I85" s="113"/>
      <c r="J85" s="113"/>
      <c r="K85" s="113"/>
      <c r="L85" s="113"/>
      <c r="M85" s="113"/>
      <c r="N85" s="113"/>
      <c r="R85" s="112" t="s">
        <v>25</v>
      </c>
      <c r="S85" s="94" t="s">
        <v>25</v>
      </c>
      <c r="T85" s="94"/>
    </row>
    <row r="86" spans="1:26">
      <c r="A86" s="97" t="s">
        <v>5506</v>
      </c>
      <c r="B86" s="97"/>
      <c r="C86" s="97" t="s">
        <v>933</v>
      </c>
      <c r="D86" s="97" t="s">
        <v>6269</v>
      </c>
      <c r="E86" s="97"/>
      <c r="F86" s="97" t="s">
        <v>933</v>
      </c>
      <c r="G86" s="97" t="s">
        <v>6270</v>
      </c>
      <c r="H86" s="97"/>
      <c r="I86" s="97"/>
      <c r="J86" s="97"/>
      <c r="K86" s="97"/>
      <c r="L86" s="97" t="s">
        <v>936</v>
      </c>
      <c r="M86" s="97" t="s">
        <v>5</v>
      </c>
      <c r="N86" s="97" t="s">
        <v>6271</v>
      </c>
      <c r="P86" s="94"/>
      <c r="R86" s="112"/>
      <c r="S86" s="94" t="s">
        <v>25</v>
      </c>
      <c r="T86" s="94"/>
    </row>
    <row r="87" spans="1:26">
      <c r="A87" s="97" t="s">
        <v>5496</v>
      </c>
      <c r="B87" s="97" t="s">
        <v>6268</v>
      </c>
      <c r="C87" s="97">
        <v>17800</v>
      </c>
      <c r="D87" s="97">
        <v>916</v>
      </c>
      <c r="E87" s="97" t="s">
        <v>4354</v>
      </c>
      <c r="F87" s="97">
        <v>16472</v>
      </c>
      <c r="G87" s="97">
        <v>916</v>
      </c>
      <c r="H87" s="97"/>
      <c r="I87" s="97"/>
      <c r="J87" s="97"/>
      <c r="K87" s="97"/>
      <c r="L87" s="93">
        <v>987467</v>
      </c>
      <c r="M87" s="93">
        <f>L87/2</f>
        <v>493733.5</v>
      </c>
      <c r="N87" s="97" t="s">
        <v>5496</v>
      </c>
      <c r="P87" s="94"/>
      <c r="Q87" t="s">
        <v>25</v>
      </c>
      <c r="R87" s="94"/>
      <c r="S87" s="120" t="s">
        <v>25</v>
      </c>
      <c r="T87" s="94"/>
    </row>
    <row r="88" spans="1:26">
      <c r="A88" s="269" t="s">
        <v>5718</v>
      </c>
      <c r="B88" s="414" t="s">
        <v>6347</v>
      </c>
      <c r="C88" s="269">
        <v>21532</v>
      </c>
      <c r="D88" s="269">
        <v>1859</v>
      </c>
      <c r="E88" s="271" t="s">
        <v>6275</v>
      </c>
      <c r="F88" s="271">
        <v>1187</v>
      </c>
      <c r="G88" s="271">
        <f t="shared" ref="G88:G94" si="55">C88*D88*0.99114/(F88*1.0037158)</f>
        <v>33299.467209851166</v>
      </c>
      <c r="H88" s="271">
        <f t="shared" ref="H88:H94" si="56">C88/F88</f>
        <v>18.139848357203032</v>
      </c>
      <c r="I88" s="271">
        <f t="shared" ref="I88:I93" si="57">$R$64/$R$61</f>
        <v>9.8922558922558927</v>
      </c>
      <c r="J88" s="97">
        <f t="shared" ref="J88:J94" si="58">I88/H88</f>
        <v>0.54533288798568391</v>
      </c>
      <c r="K88" s="97">
        <f t="shared" ref="K88:K94" si="59">(1/J88-1.0256)*100</f>
        <v>80.814232882549348</v>
      </c>
      <c r="L88" s="93">
        <v>1600000</v>
      </c>
      <c r="M88" s="93">
        <f t="shared" ref="M88:M97" si="60">L88/2</f>
        <v>800000</v>
      </c>
      <c r="N88" s="97" t="s">
        <v>6267</v>
      </c>
      <c r="P88" s="94"/>
      <c r="R88" s="94"/>
      <c r="S88" s="94" t="s">
        <v>25</v>
      </c>
      <c r="T88" s="94"/>
    </row>
    <row r="89" spans="1:26">
      <c r="A89" s="269" t="s">
        <v>5723</v>
      </c>
      <c r="B89" s="269" t="s">
        <v>6274</v>
      </c>
      <c r="C89" s="269">
        <v>22420.1</v>
      </c>
      <c r="D89" s="283">
        <v>1000</v>
      </c>
      <c r="E89" s="271" t="s">
        <v>6276</v>
      </c>
      <c r="F89" s="271">
        <v>1161</v>
      </c>
      <c r="G89" s="271">
        <f t="shared" si="55"/>
        <v>19069.072437793271</v>
      </c>
      <c r="H89" s="271">
        <f t="shared" si="56"/>
        <v>19.311024978466836</v>
      </c>
      <c r="I89" s="271">
        <f t="shared" si="57"/>
        <v>9.8922558922558927</v>
      </c>
      <c r="J89" s="97">
        <f t="shared" si="58"/>
        <v>0.51225949442282115</v>
      </c>
      <c r="K89" s="97">
        <f t="shared" si="59"/>
        <v>92.653560878306678</v>
      </c>
      <c r="L89" s="93">
        <v>19462210</v>
      </c>
      <c r="M89" s="93">
        <f t="shared" si="60"/>
        <v>9731105</v>
      </c>
      <c r="N89" s="97" t="s">
        <v>6263</v>
      </c>
      <c r="P89" s="94"/>
      <c r="S89" s="94" t="s">
        <v>25</v>
      </c>
      <c r="T89" s="94"/>
    </row>
    <row r="90" spans="1:26">
      <c r="A90" s="269" t="s">
        <v>5724</v>
      </c>
      <c r="B90" s="269" t="s">
        <v>6274</v>
      </c>
      <c r="C90" s="269">
        <v>23233.1</v>
      </c>
      <c r="D90" s="283">
        <v>1000</v>
      </c>
      <c r="E90" s="271" t="s">
        <v>6276</v>
      </c>
      <c r="F90" s="271">
        <v>1152</v>
      </c>
      <c r="G90" s="271">
        <f t="shared" si="55"/>
        <v>19914.936480069027</v>
      </c>
      <c r="H90" s="271">
        <f t="shared" si="56"/>
        <v>20.167621527777776</v>
      </c>
      <c r="I90" s="271">
        <f t="shared" si="57"/>
        <v>9.8922558922558927</v>
      </c>
      <c r="J90" s="97">
        <f t="shared" si="58"/>
        <v>0.49050186104647203</v>
      </c>
      <c r="K90" s="97">
        <f t="shared" si="59"/>
        <v>101.31282483832538</v>
      </c>
      <c r="L90" s="93">
        <v>0</v>
      </c>
      <c r="M90" s="93">
        <f t="shared" si="60"/>
        <v>0</v>
      </c>
      <c r="N90" s="97" t="s">
        <v>6263</v>
      </c>
      <c r="P90" s="94"/>
      <c r="S90" s="94"/>
      <c r="T90" s="94"/>
    </row>
    <row r="91" spans="1:26">
      <c r="A91" s="269" t="s">
        <v>5726</v>
      </c>
      <c r="B91" s="269" t="s">
        <v>6274</v>
      </c>
      <c r="C91" s="269">
        <v>23900</v>
      </c>
      <c r="D91" s="283">
        <v>1000</v>
      </c>
      <c r="E91" s="271" t="s">
        <v>6277</v>
      </c>
      <c r="F91" s="271">
        <v>1153</v>
      </c>
      <c r="G91" s="271">
        <f t="shared" si="55"/>
        <v>20468.821398374203</v>
      </c>
      <c r="H91" s="271">
        <f t="shared" si="56"/>
        <v>20.7285342584562</v>
      </c>
      <c r="I91" s="271">
        <f t="shared" si="57"/>
        <v>9.8922558922558927</v>
      </c>
      <c r="J91" s="97">
        <f t="shared" si="58"/>
        <v>0.47722891396531569</v>
      </c>
      <c r="K91" s="97">
        <f t="shared" si="59"/>
        <v>106.98304543095614</v>
      </c>
      <c r="L91" s="93">
        <v>0</v>
      </c>
      <c r="M91" s="93">
        <f t="shared" si="60"/>
        <v>0</v>
      </c>
      <c r="N91" s="97" t="s">
        <v>6263</v>
      </c>
      <c r="P91" s="94"/>
      <c r="Q91" t="s">
        <v>25</v>
      </c>
      <c r="S91" s="94"/>
      <c r="T91" s="94"/>
    </row>
    <row r="92" spans="1:26">
      <c r="A92" s="269" t="s">
        <v>5736</v>
      </c>
      <c r="B92" s="269" t="s">
        <v>6274</v>
      </c>
      <c r="C92" s="269">
        <v>22500</v>
      </c>
      <c r="D92" s="283">
        <v>2000</v>
      </c>
      <c r="E92" s="271" t="s">
        <v>6276</v>
      </c>
      <c r="F92" s="271">
        <v>1093</v>
      </c>
      <c r="G92" s="271">
        <f t="shared" si="55"/>
        <v>40655.246136679802</v>
      </c>
      <c r="H92" s="271">
        <f t="shared" si="56"/>
        <v>20.585544373284538</v>
      </c>
      <c r="I92" s="271">
        <f t="shared" si="57"/>
        <v>9.8922558922558927</v>
      </c>
      <c r="J92" s="97">
        <f t="shared" si="58"/>
        <v>0.48054380845491956</v>
      </c>
      <c r="K92" s="97">
        <f t="shared" si="59"/>
        <v>105.53757245968372</v>
      </c>
      <c r="L92" s="93">
        <v>0</v>
      </c>
      <c r="M92" s="93">
        <f t="shared" si="60"/>
        <v>0</v>
      </c>
      <c r="N92" s="97" t="s">
        <v>6263</v>
      </c>
      <c r="P92" s="94"/>
      <c r="S92" s="94"/>
      <c r="T92" s="94"/>
    </row>
    <row r="93" spans="1:26">
      <c r="A93" s="269" t="s">
        <v>6250</v>
      </c>
      <c r="B93" s="269" t="s">
        <v>6273</v>
      </c>
      <c r="C93" s="269">
        <v>23706</v>
      </c>
      <c r="D93" s="283">
        <v>1000</v>
      </c>
      <c r="E93" s="271" t="s">
        <v>4216</v>
      </c>
      <c r="F93" s="271">
        <v>1155</v>
      </c>
      <c r="G93" s="271">
        <f t="shared" si="55"/>
        <v>20267.516662882761</v>
      </c>
      <c r="H93" s="271">
        <f t="shared" si="56"/>
        <v>20.524675324675325</v>
      </c>
      <c r="I93" s="271">
        <f t="shared" si="57"/>
        <v>9.8922558922558927</v>
      </c>
      <c r="J93" s="97">
        <f t="shared" si="58"/>
        <v>0.48196893425949361</v>
      </c>
      <c r="K93" s="97">
        <f t="shared" si="59"/>
        <v>104.9222522610133</v>
      </c>
      <c r="L93" s="93">
        <v>0</v>
      </c>
      <c r="M93" s="93">
        <f t="shared" si="60"/>
        <v>0</v>
      </c>
      <c r="N93" s="97" t="s">
        <v>6263</v>
      </c>
      <c r="P93" s="94"/>
      <c r="S93" s="94"/>
      <c r="T93" s="94"/>
    </row>
    <row r="94" spans="1:26">
      <c r="A94" s="60" t="s">
        <v>6250</v>
      </c>
      <c r="B94" s="60" t="s">
        <v>4354</v>
      </c>
      <c r="C94" s="60">
        <v>16794</v>
      </c>
      <c r="D94" s="60">
        <v>2227</v>
      </c>
      <c r="E94" s="271" t="s">
        <v>4216</v>
      </c>
      <c r="F94" s="271">
        <v>1146.6500000000001</v>
      </c>
      <c r="G94" s="271">
        <f t="shared" si="55"/>
        <v>32208.294857700886</v>
      </c>
      <c r="H94" s="271">
        <f t="shared" si="56"/>
        <v>14.646143112545239</v>
      </c>
      <c r="I94" s="271">
        <f>$R$65/$R$61</f>
        <v>0.18720538720538721</v>
      </c>
      <c r="J94" s="97">
        <f t="shared" si="58"/>
        <v>1.2781889796299706E-2</v>
      </c>
      <c r="K94" s="97">
        <f t="shared" si="59"/>
        <v>7721.0092525646332</v>
      </c>
      <c r="L94" s="93">
        <v>3219484</v>
      </c>
      <c r="M94" s="93">
        <f t="shared" si="60"/>
        <v>1609742</v>
      </c>
      <c r="N94" s="97" t="s">
        <v>6254</v>
      </c>
      <c r="P94" s="94"/>
      <c r="R94" t="s">
        <v>25</v>
      </c>
    </row>
    <row r="95" spans="1:26">
      <c r="A95" s="20" t="s">
        <v>6354</v>
      </c>
      <c r="B95" s="20" t="s">
        <v>6355</v>
      </c>
      <c r="C95" s="20">
        <v>21350</v>
      </c>
      <c r="D95" s="20">
        <v>639</v>
      </c>
      <c r="E95" s="20" t="s">
        <v>4358</v>
      </c>
      <c r="F95" s="20">
        <v>20666.599999999999</v>
      </c>
      <c r="G95" s="20">
        <v>639</v>
      </c>
      <c r="H95" s="20"/>
      <c r="I95" s="20"/>
      <c r="J95" s="20"/>
      <c r="K95" s="20"/>
      <c r="L95" s="310">
        <v>268731</v>
      </c>
      <c r="M95" s="310">
        <f t="shared" si="60"/>
        <v>134365.5</v>
      </c>
      <c r="N95" s="20" t="s">
        <v>6354</v>
      </c>
      <c r="O95" s="94"/>
      <c r="P95" s="94"/>
    </row>
    <row r="96" spans="1:26">
      <c r="A96" s="97" t="s">
        <v>6364</v>
      </c>
      <c r="B96" s="97" t="s">
        <v>6366</v>
      </c>
      <c r="C96" s="97">
        <v>1286.5</v>
      </c>
      <c r="D96" s="97">
        <v>12000</v>
      </c>
      <c r="E96" s="97" t="s">
        <v>4216</v>
      </c>
      <c r="F96" s="97"/>
      <c r="G96" s="97"/>
      <c r="H96" s="97"/>
      <c r="I96" s="97"/>
      <c r="J96" s="97"/>
      <c r="K96" s="97"/>
      <c r="L96" s="310"/>
      <c r="M96" s="310">
        <f t="shared" si="60"/>
        <v>0</v>
      </c>
      <c r="N96" s="97"/>
      <c r="O96" s="94"/>
      <c r="P96" s="94"/>
      <c r="Q96" t="s">
        <v>25</v>
      </c>
      <c r="Z96" t="s">
        <v>25</v>
      </c>
    </row>
    <row r="97" spans="1:27" ht="30">
      <c r="A97" s="97" t="s">
        <v>6365</v>
      </c>
      <c r="B97" s="97" t="s">
        <v>6366</v>
      </c>
      <c r="C97" s="97">
        <v>1275</v>
      </c>
      <c r="D97" s="97">
        <v>9000</v>
      </c>
      <c r="E97" s="97" t="s">
        <v>4216</v>
      </c>
      <c r="F97" s="97">
        <v>1314</v>
      </c>
      <c r="G97" s="97">
        <v>9000</v>
      </c>
      <c r="H97" s="97"/>
      <c r="I97" s="97"/>
      <c r="J97" s="97"/>
      <c r="K97" s="97"/>
      <c r="L97" s="310">
        <v>191456</v>
      </c>
      <c r="M97" s="310">
        <f t="shared" si="60"/>
        <v>95728</v>
      </c>
      <c r="N97" s="36" t="s">
        <v>6380</v>
      </c>
      <c r="O97" s="94"/>
      <c r="P97" s="94"/>
    </row>
    <row r="98" spans="1:27">
      <c r="A98" s="97" t="s">
        <v>6365</v>
      </c>
      <c r="B98" s="97" t="s">
        <v>6355</v>
      </c>
      <c r="C98" s="97">
        <v>19703</v>
      </c>
      <c r="D98" s="97">
        <v>210</v>
      </c>
      <c r="E98" s="97" t="s">
        <v>4358</v>
      </c>
      <c r="F98" s="97">
        <v>20548.900000000001</v>
      </c>
      <c r="G98" s="97">
        <v>210</v>
      </c>
      <c r="H98" s="97"/>
      <c r="I98" s="97"/>
      <c r="J98" s="97"/>
      <c r="K98" s="97"/>
      <c r="L98" s="310">
        <v>124637</v>
      </c>
      <c r="M98" s="310">
        <f>L98/2</f>
        <v>62318.5</v>
      </c>
      <c r="N98" s="97" t="s">
        <v>6367</v>
      </c>
      <c r="O98" s="94"/>
      <c r="P98" s="94"/>
    </row>
    <row r="99" spans="1:27">
      <c r="A99" s="97" t="s">
        <v>6367</v>
      </c>
      <c r="B99" s="97" t="s">
        <v>6366</v>
      </c>
      <c r="C99" s="97">
        <v>1266.5</v>
      </c>
      <c r="D99" s="97">
        <v>8000</v>
      </c>
      <c r="E99" s="97" t="s">
        <v>4216</v>
      </c>
      <c r="F99" s="97">
        <v>1301</v>
      </c>
      <c r="G99" s="97">
        <v>8000</v>
      </c>
      <c r="H99" s="97"/>
      <c r="I99" s="97"/>
      <c r="J99" s="97"/>
      <c r="K99" s="97"/>
      <c r="L99" s="310">
        <v>146805</v>
      </c>
      <c r="M99" s="310">
        <f>L99/2</f>
        <v>73402.5</v>
      </c>
      <c r="N99" s="97" t="s">
        <v>6367</v>
      </c>
      <c r="O99" s="94"/>
      <c r="P99" s="94"/>
      <c r="AA99" t="s">
        <v>25</v>
      </c>
    </row>
    <row r="100" spans="1:27" ht="30">
      <c r="A100" s="36" t="s">
        <v>6381</v>
      </c>
      <c r="B100" s="97" t="s">
        <v>6366</v>
      </c>
      <c r="C100" s="97" t="s">
        <v>6382</v>
      </c>
      <c r="D100" s="97">
        <v>21000</v>
      </c>
      <c r="E100" s="97" t="s">
        <v>4216</v>
      </c>
      <c r="F100" s="97">
        <v>1312</v>
      </c>
      <c r="G100" s="97">
        <v>21000</v>
      </c>
      <c r="H100" s="97"/>
      <c r="I100" s="97"/>
      <c r="J100" s="97"/>
      <c r="K100" s="97"/>
      <c r="L100" s="310">
        <v>345822</v>
      </c>
      <c r="M100" s="310">
        <f>L100/2</f>
        <v>172911</v>
      </c>
      <c r="N100" s="97" t="s">
        <v>6383</v>
      </c>
      <c r="O100" s="94"/>
      <c r="P100" s="94"/>
    </row>
    <row r="101" spans="1:27">
      <c r="A101" s="97"/>
      <c r="B101" s="97"/>
      <c r="C101" s="97"/>
      <c r="D101" s="97"/>
      <c r="E101" s="97"/>
      <c r="F101" s="97"/>
      <c r="G101" s="97"/>
      <c r="H101" s="97"/>
      <c r="I101" s="97"/>
      <c r="J101" s="97"/>
      <c r="K101" s="97" t="s">
        <v>25</v>
      </c>
      <c r="L101" s="310"/>
      <c r="M101" s="310"/>
      <c r="N101" s="97"/>
      <c r="O101" s="94"/>
      <c r="P101" s="94"/>
    </row>
    <row r="102" spans="1:27">
      <c r="A102" s="94"/>
      <c r="N102" s="94"/>
      <c r="O102" s="94"/>
      <c r="P102" s="94"/>
    </row>
    <row r="103" spans="1:27">
      <c r="A103" s="94"/>
      <c r="O103" s="94"/>
      <c r="P103" s="94"/>
    </row>
    <row r="104" spans="1:27">
      <c r="A104" s="97" t="s">
        <v>6264</v>
      </c>
      <c r="B104" s="97"/>
      <c r="C104" s="97" t="s">
        <v>920</v>
      </c>
      <c r="D104" s="97" t="s">
        <v>933</v>
      </c>
      <c r="E104" s="97" t="s">
        <v>920</v>
      </c>
      <c r="F104" s="97" t="s">
        <v>933</v>
      </c>
      <c r="G104" s="97" t="s">
        <v>936</v>
      </c>
      <c r="H104" s="97" t="s">
        <v>5</v>
      </c>
      <c r="I104" s="97" t="s">
        <v>6377</v>
      </c>
      <c r="J104" s="97"/>
      <c r="K104" s="97"/>
      <c r="L104" s="97"/>
      <c r="M104" s="97"/>
      <c r="N104" s="97"/>
      <c r="P104" s="94"/>
      <c r="R104" t="s">
        <v>25</v>
      </c>
    </row>
    <row r="105" spans="1:27">
      <c r="A105" s="97" t="s">
        <v>6263</v>
      </c>
      <c r="B105" s="97" t="s">
        <v>4216</v>
      </c>
      <c r="C105" s="97">
        <v>33874</v>
      </c>
      <c r="D105" s="112">
        <v>1240</v>
      </c>
      <c r="E105" s="97">
        <v>33874</v>
      </c>
      <c r="F105" s="93">
        <v>1278</v>
      </c>
      <c r="G105" s="93">
        <v>750337</v>
      </c>
      <c r="H105" s="93">
        <f>G105/2</f>
        <v>375168.5</v>
      </c>
      <c r="I105" s="97">
        <v>0</v>
      </c>
      <c r="J105" s="97"/>
      <c r="K105" s="97"/>
      <c r="L105" s="97"/>
      <c r="M105" s="97"/>
      <c r="N105" s="97"/>
      <c r="O105" s="94"/>
      <c r="P105" s="94"/>
    </row>
    <row r="106" spans="1:27">
      <c r="A106" s="97" t="s">
        <v>6267</v>
      </c>
      <c r="B106" s="97" t="s">
        <v>4216</v>
      </c>
      <c r="C106" s="97">
        <v>33274</v>
      </c>
      <c r="D106" s="97">
        <v>1291</v>
      </c>
      <c r="E106" s="97">
        <v>33274</v>
      </c>
      <c r="F106" s="97">
        <v>1314.3</v>
      </c>
      <c r="G106" s="93">
        <v>229922</v>
      </c>
      <c r="H106" s="93">
        <f>G106/2</f>
        <v>114961</v>
      </c>
      <c r="I106" s="97">
        <v>0</v>
      </c>
      <c r="J106" s="97" t="s">
        <v>25</v>
      </c>
      <c r="K106" s="97"/>
      <c r="L106" s="97"/>
      <c r="M106" s="97"/>
      <c r="N106" s="97"/>
      <c r="O106" s="94"/>
      <c r="P106" s="94"/>
    </row>
    <row r="107" spans="1:27">
      <c r="A107" s="97" t="s">
        <v>6358</v>
      </c>
      <c r="B107" s="97" t="s">
        <v>4216</v>
      </c>
      <c r="C107" s="97">
        <v>2838</v>
      </c>
      <c r="D107" s="97">
        <v>1302</v>
      </c>
      <c r="E107" s="97">
        <v>2838</v>
      </c>
      <c r="F107" s="97">
        <v>1320</v>
      </c>
      <c r="G107" s="93">
        <v>4540</v>
      </c>
      <c r="H107" s="93">
        <f>G107/2</f>
        <v>2270</v>
      </c>
      <c r="I107" s="97">
        <v>0</v>
      </c>
      <c r="J107" s="97"/>
      <c r="K107" s="97"/>
      <c r="L107" s="97"/>
      <c r="M107" s="97"/>
      <c r="N107" s="97"/>
      <c r="O107" s="94"/>
      <c r="P107" s="94"/>
      <c r="Q107" t="s">
        <v>25</v>
      </c>
      <c r="Z107" t="s">
        <v>25</v>
      </c>
    </row>
    <row r="108" spans="1:27">
      <c r="A108" s="20" t="s">
        <v>6358</v>
      </c>
      <c r="B108" s="20" t="s">
        <v>4216</v>
      </c>
      <c r="C108" s="20">
        <v>28000</v>
      </c>
      <c r="D108" s="20">
        <v>1302</v>
      </c>
      <c r="E108" s="20">
        <v>28000</v>
      </c>
      <c r="F108" s="20">
        <v>1345</v>
      </c>
      <c r="G108" s="93">
        <v>737130</v>
      </c>
      <c r="H108" s="93">
        <f>G108/2</f>
        <v>368565</v>
      </c>
      <c r="I108" s="20" t="s">
        <v>6363</v>
      </c>
      <c r="J108" s="20"/>
      <c r="K108" s="97"/>
      <c r="L108" s="97"/>
      <c r="M108" s="97"/>
      <c r="N108" s="97"/>
      <c r="O108" s="94"/>
      <c r="P108" s="94"/>
    </row>
    <row r="109" spans="1:27">
      <c r="A109" s="159" t="s">
        <v>6363</v>
      </c>
      <c r="B109" s="159" t="s">
        <v>4216</v>
      </c>
      <c r="C109" s="159">
        <v>28000</v>
      </c>
      <c r="D109" s="159">
        <v>1306.5</v>
      </c>
      <c r="E109" s="159">
        <v>28000</v>
      </c>
      <c r="F109" s="159">
        <v>1358.5</v>
      </c>
      <c r="G109" s="159">
        <v>985488</v>
      </c>
      <c r="H109" s="159">
        <f>G109/2</f>
        <v>492744</v>
      </c>
      <c r="I109" s="97" t="s">
        <v>6376</v>
      </c>
      <c r="J109" s="97"/>
      <c r="K109" s="97"/>
      <c r="L109" s="97"/>
      <c r="M109" s="97"/>
      <c r="N109" s="97"/>
      <c r="O109" s="94"/>
      <c r="P109" s="94" t="s">
        <v>25</v>
      </c>
      <c r="Q109" t="s">
        <v>25</v>
      </c>
    </row>
    <row r="110" spans="1:27">
      <c r="A110" s="97"/>
      <c r="B110" s="97"/>
      <c r="C110" s="97"/>
      <c r="D110" s="97"/>
      <c r="E110" s="97"/>
      <c r="F110" s="97"/>
      <c r="G110" s="97"/>
      <c r="H110" s="97"/>
      <c r="I110" s="97"/>
      <c r="J110" s="97"/>
      <c r="K110" s="97"/>
      <c r="L110" s="97"/>
      <c r="M110" s="97"/>
      <c r="N110" s="97"/>
      <c r="O110" s="94"/>
      <c r="P110" s="94" t="s">
        <v>25</v>
      </c>
    </row>
    <row r="111" spans="1:27">
      <c r="A111" s="97"/>
      <c r="B111" s="97"/>
      <c r="C111" s="97"/>
      <c r="D111" s="97"/>
      <c r="E111" s="97"/>
      <c r="F111" s="97"/>
      <c r="G111" s="97"/>
      <c r="H111" s="97"/>
      <c r="I111" s="97"/>
      <c r="J111" s="97"/>
      <c r="K111" s="97"/>
      <c r="L111" s="97"/>
      <c r="M111" s="97"/>
      <c r="N111" s="97"/>
      <c r="O111" s="94"/>
      <c r="P111" s="94"/>
      <c r="Q111" t="s">
        <v>25</v>
      </c>
    </row>
    <row r="112" spans="1:27">
      <c r="O112" s="94"/>
      <c r="P112" s="94" t="s">
        <v>25</v>
      </c>
    </row>
    <row r="113" spans="1:19">
      <c r="A113" s="398" t="s">
        <v>6823</v>
      </c>
      <c r="B113" s="313" t="s">
        <v>1068</v>
      </c>
      <c r="C113" s="44">
        <v>11500000</v>
      </c>
      <c r="D113" s="313">
        <v>1</v>
      </c>
      <c r="E113" s="271" t="s">
        <v>4216</v>
      </c>
      <c r="F113" s="272">
        <v>1188.8254164096238</v>
      </c>
      <c r="G113" s="271">
        <f>C113*D113*0.99875/(F113*1.0037158)</f>
        <v>9625.5552359170815</v>
      </c>
      <c r="H113" s="399">
        <f>C113/F113</f>
        <v>9673.4136411140953</v>
      </c>
      <c r="I113" s="400">
        <f>$R$67/$R$61</f>
        <v>10707.070707070707</v>
      </c>
      <c r="J113" s="20">
        <f>I113/H113</f>
        <v>1.1068554601617928</v>
      </c>
      <c r="K113" s="20">
        <f>(1/J113-1.0153)*100</f>
        <v>-11.183966936764577</v>
      </c>
      <c r="L113" s="20"/>
      <c r="M113" s="20"/>
      <c r="N113" s="20">
        <f>1</f>
        <v>1</v>
      </c>
      <c r="O113" s="94"/>
      <c r="P113" s="94" t="s">
        <v>25</v>
      </c>
    </row>
    <row r="114" spans="1:19" ht="30">
      <c r="A114" s="398" t="s">
        <v>6822</v>
      </c>
      <c r="B114" s="313" t="s">
        <v>1068</v>
      </c>
      <c r="C114" s="44">
        <v>12700000</v>
      </c>
      <c r="D114" s="313">
        <v>1</v>
      </c>
      <c r="E114" s="271" t="s">
        <v>4216</v>
      </c>
      <c r="F114" s="272">
        <v>1220.9796421961753</v>
      </c>
      <c r="G114" s="271">
        <f>C114*D114*0.99875/(F114*1.0037158)</f>
        <v>10350.023354291381</v>
      </c>
      <c r="H114" s="399">
        <f>C114/F114</f>
        <v>10401.483825853573</v>
      </c>
      <c r="I114" s="400">
        <f>$R$67/$R$61</f>
        <v>10707.070707070707</v>
      </c>
      <c r="J114" s="20">
        <f>I114/H114</f>
        <v>1.0293791622746726</v>
      </c>
      <c r="K114" s="20">
        <f>(1/J114-1.0153)*100</f>
        <v>-4.3840661547638105</v>
      </c>
      <c r="L114" s="259" t="s">
        <v>6837</v>
      </c>
      <c r="M114" s="20"/>
      <c r="N114" s="20">
        <f>1</f>
        <v>1</v>
      </c>
      <c r="O114" s="94"/>
      <c r="P114" s="94" t="s">
        <v>25</v>
      </c>
      <c r="R114" t="s">
        <v>25</v>
      </c>
    </row>
    <row r="115" spans="1:19" ht="27" customHeight="1">
      <c r="A115" s="398"/>
      <c r="B115" s="313"/>
      <c r="C115" s="44"/>
      <c r="D115" s="313"/>
      <c r="E115" s="271" t="s">
        <v>4216</v>
      </c>
      <c r="F115" s="272">
        <v>0</v>
      </c>
      <c r="G115" s="271" t="e">
        <f>C115*D115*0.99875/(F115*1.0037158)</f>
        <v>#DIV/0!</v>
      </c>
      <c r="H115" s="399" t="e">
        <f>C115/F115</f>
        <v>#DIV/0!</v>
      </c>
      <c r="I115" s="400">
        <f>$R$67/$R$61</f>
        <v>10707.070707070707</v>
      </c>
      <c r="J115" s="20" t="e">
        <f>I115/H115</f>
        <v>#DIV/0!</v>
      </c>
      <c r="K115" s="20" t="e">
        <f>(1/J115-1.0153)*100</f>
        <v>#DIV/0!</v>
      </c>
      <c r="L115" s="20"/>
      <c r="M115" s="20"/>
      <c r="N115" s="20">
        <f>1</f>
        <v>1</v>
      </c>
      <c r="O115" s="94" t="s">
        <v>25</v>
      </c>
      <c r="P115" s="94" t="s">
        <v>25</v>
      </c>
      <c r="R115" t="s">
        <v>25</v>
      </c>
    </row>
    <row r="116" spans="1:19">
      <c r="A116" s="94"/>
      <c r="B116" s="94"/>
      <c r="C116" s="94"/>
      <c r="D116" s="94"/>
      <c r="E116" s="94"/>
      <c r="O116" s="94"/>
      <c r="P116" s="94" t="s">
        <v>25</v>
      </c>
      <c r="R116" s="280" t="s">
        <v>5647</v>
      </c>
    </row>
    <row r="117" spans="1:19">
      <c r="A117" s="94"/>
      <c r="B117" s="94"/>
      <c r="C117" s="94"/>
      <c r="D117" s="94"/>
      <c r="E117" s="94"/>
      <c r="O117" s="94"/>
      <c r="P117" s="94" t="s">
        <v>25</v>
      </c>
      <c r="R117" t="s">
        <v>25</v>
      </c>
    </row>
    <row r="118" spans="1:19">
      <c r="A118" s="94"/>
      <c r="B118" s="94"/>
      <c r="C118" s="94"/>
      <c r="D118" s="94"/>
      <c r="E118" s="94"/>
      <c r="O118" s="94" t="s">
        <v>25</v>
      </c>
      <c r="P118" s="94" t="s">
        <v>25</v>
      </c>
      <c r="R118" t="s">
        <v>25</v>
      </c>
    </row>
    <row r="119" spans="1:19">
      <c r="A119" s="94"/>
      <c r="B119" s="94"/>
      <c r="C119" s="397"/>
      <c r="D119" s="397"/>
      <c r="E119" s="94"/>
      <c r="O119" s="94" t="s">
        <v>25</v>
      </c>
      <c r="R119" t="s">
        <v>25</v>
      </c>
    </row>
    <row r="120" spans="1:19">
      <c r="A120" s="94"/>
      <c r="B120" s="94"/>
      <c r="C120" s="397"/>
      <c r="D120" s="397"/>
      <c r="E120" s="94"/>
      <c r="K120" t="s">
        <v>25</v>
      </c>
      <c r="O120" s="94"/>
      <c r="P120" t="s">
        <v>25</v>
      </c>
      <c r="Q120" t="s">
        <v>25</v>
      </c>
    </row>
    <row r="121" spans="1:19">
      <c r="A121" s="94"/>
      <c r="C121" s="397"/>
      <c r="D121" s="397"/>
      <c r="J121" t="s">
        <v>25</v>
      </c>
      <c r="O121" s="94"/>
      <c r="Q121" t="s">
        <v>25</v>
      </c>
    </row>
    <row r="122" spans="1:19">
      <c r="A122" s="94"/>
      <c r="O122" s="94"/>
      <c r="R122" t="s">
        <v>25</v>
      </c>
    </row>
    <row r="123" spans="1:19">
      <c r="A123" s="94"/>
      <c r="O123" s="94"/>
      <c r="R123" t="s">
        <v>25</v>
      </c>
      <c r="S123" t="s">
        <v>25</v>
      </c>
    </row>
    <row r="124" spans="1:19">
      <c r="A124" s="94"/>
      <c r="O124" s="94"/>
      <c r="P124" t="s">
        <v>25</v>
      </c>
      <c r="Q124" t="s">
        <v>25</v>
      </c>
      <c r="S124" t="s">
        <v>25</v>
      </c>
    </row>
    <row r="125" spans="1:19">
      <c r="A125" s="94"/>
      <c r="P125" t="s">
        <v>25</v>
      </c>
      <c r="Q125" t="s">
        <v>25</v>
      </c>
      <c r="S125" t="s">
        <v>25</v>
      </c>
    </row>
    <row r="126" spans="1:19">
      <c r="A126" s="94"/>
      <c r="P126" t="s">
        <v>25</v>
      </c>
      <c r="R126" t="s">
        <v>25</v>
      </c>
      <c r="S126" t="s">
        <v>25</v>
      </c>
    </row>
    <row r="127" spans="1:19">
      <c r="A127" s="94"/>
      <c r="O127" t="s">
        <v>25</v>
      </c>
      <c r="P127" t="s">
        <v>25</v>
      </c>
      <c r="Q127" t="s">
        <v>25</v>
      </c>
      <c r="S127" t="s">
        <v>25</v>
      </c>
    </row>
    <row r="128" spans="1:19">
      <c r="A128" s="94"/>
      <c r="R128" t="s">
        <v>25</v>
      </c>
    </row>
    <row r="129" spans="1:21">
      <c r="A129" s="94"/>
      <c r="P129" t="s">
        <v>25</v>
      </c>
    </row>
    <row r="130" spans="1:21">
      <c r="A130" s="94"/>
      <c r="O130" t="s">
        <v>25</v>
      </c>
      <c r="P130" t="s">
        <v>25</v>
      </c>
      <c r="R130" t="s">
        <v>25</v>
      </c>
      <c r="S130" t="s">
        <v>25</v>
      </c>
      <c r="T130" t="s">
        <v>25</v>
      </c>
    </row>
    <row r="131" spans="1:21">
      <c r="A131" s="94"/>
      <c r="D131">
        <v>28000</v>
      </c>
      <c r="P131" t="s">
        <v>25</v>
      </c>
      <c r="R131" t="s">
        <v>25</v>
      </c>
      <c r="S131" t="s">
        <v>25</v>
      </c>
    </row>
    <row r="132" spans="1:21">
      <c r="A132" s="94"/>
      <c r="O132" t="s">
        <v>25</v>
      </c>
      <c r="P132" t="s">
        <v>25</v>
      </c>
      <c r="R132" t="s">
        <v>25</v>
      </c>
    </row>
    <row r="133" spans="1:21">
      <c r="A133" s="94" t="s">
        <v>6806</v>
      </c>
      <c r="B133">
        <v>10330</v>
      </c>
      <c r="C133">
        <v>11900</v>
      </c>
      <c r="D133" s="112">
        <f t="shared" ref="D133:D155" si="61">B133*$D$131</f>
        <v>289240000</v>
      </c>
      <c r="E133" s="112">
        <f t="shared" ref="E133:E155" si="62">C133*$D$131</f>
        <v>333200000</v>
      </c>
      <c r="F133" s="112">
        <v>440000000</v>
      </c>
      <c r="G133">
        <f>(F133-E133)*100/E133</f>
        <v>32.052821128451377</v>
      </c>
      <c r="P133" t="s">
        <v>25</v>
      </c>
      <c r="S133" t="s">
        <v>25</v>
      </c>
    </row>
    <row r="134" spans="1:21">
      <c r="A134" s="94" t="s">
        <v>6807</v>
      </c>
      <c r="C134">
        <v>18000</v>
      </c>
      <c r="D134" s="112">
        <f t="shared" si="61"/>
        <v>0</v>
      </c>
      <c r="E134" s="112">
        <f t="shared" si="62"/>
        <v>504000000</v>
      </c>
      <c r="F134" s="112">
        <v>700000000</v>
      </c>
      <c r="G134" s="396">
        <f t="shared" ref="G134:G151" si="63">(F134-E134)*100/E134</f>
        <v>38.888888888888886</v>
      </c>
    </row>
    <row r="135" spans="1:21">
      <c r="A135" s="94" t="s">
        <v>6808</v>
      </c>
      <c r="C135">
        <v>19000</v>
      </c>
      <c r="D135" s="112">
        <f t="shared" si="61"/>
        <v>0</v>
      </c>
      <c r="E135" s="112">
        <f t="shared" si="62"/>
        <v>532000000</v>
      </c>
      <c r="F135" s="112">
        <v>650000000</v>
      </c>
      <c r="G135" s="396">
        <f t="shared" si="63"/>
        <v>22.180451127819548</v>
      </c>
      <c r="Q135" t="s">
        <v>25</v>
      </c>
      <c r="R135" t="s">
        <v>25</v>
      </c>
    </row>
    <row r="136" spans="1:21">
      <c r="A136" s="94" t="s">
        <v>6809</v>
      </c>
      <c r="C136">
        <v>23000</v>
      </c>
      <c r="D136" s="112">
        <f t="shared" si="61"/>
        <v>0</v>
      </c>
      <c r="E136" s="112">
        <f t="shared" si="62"/>
        <v>644000000</v>
      </c>
      <c r="F136" s="112">
        <v>930000000</v>
      </c>
      <c r="G136" s="396">
        <f t="shared" si="63"/>
        <v>44.409937888198755</v>
      </c>
    </row>
    <row r="137" spans="1:21">
      <c r="A137" s="94" t="s">
        <v>6810</v>
      </c>
      <c r="C137">
        <v>13000</v>
      </c>
      <c r="D137" s="112">
        <f t="shared" si="61"/>
        <v>0</v>
      </c>
      <c r="E137" s="112">
        <f t="shared" si="62"/>
        <v>364000000</v>
      </c>
      <c r="F137" s="112">
        <v>600000000</v>
      </c>
      <c r="G137" s="396">
        <f t="shared" si="63"/>
        <v>64.835164835164832</v>
      </c>
      <c r="O137" t="s">
        <v>25</v>
      </c>
      <c r="P137" t="s">
        <v>25</v>
      </c>
      <c r="R137" t="s">
        <v>25</v>
      </c>
      <c r="S137" t="s">
        <v>25</v>
      </c>
    </row>
    <row r="138" spans="1:21">
      <c r="A138" s="94" t="s">
        <v>6811</v>
      </c>
      <c r="C138">
        <v>13000</v>
      </c>
      <c r="D138" s="112">
        <f t="shared" si="61"/>
        <v>0</v>
      </c>
      <c r="E138" s="112">
        <f t="shared" si="62"/>
        <v>364000000</v>
      </c>
      <c r="F138" s="112">
        <v>400000000</v>
      </c>
      <c r="G138" s="396">
        <f t="shared" si="63"/>
        <v>9.8901098901098905</v>
      </c>
      <c r="P138" t="s">
        <v>25</v>
      </c>
    </row>
    <row r="139" spans="1:21">
      <c r="A139" s="94" t="s">
        <v>6812</v>
      </c>
      <c r="C139">
        <v>13600</v>
      </c>
      <c r="D139" s="112">
        <f t="shared" si="61"/>
        <v>0</v>
      </c>
      <c r="E139" s="112">
        <f t="shared" si="62"/>
        <v>380800000</v>
      </c>
      <c r="F139" s="112">
        <v>520000000</v>
      </c>
      <c r="G139" s="396">
        <f t="shared" si="63"/>
        <v>36.554621848739494</v>
      </c>
      <c r="R139" t="s">
        <v>25</v>
      </c>
    </row>
    <row r="140" spans="1:21">
      <c r="A140" s="94" t="s">
        <v>6813</v>
      </c>
      <c r="C140">
        <v>28000</v>
      </c>
      <c r="D140" s="112">
        <f t="shared" si="61"/>
        <v>0</v>
      </c>
      <c r="E140" s="112">
        <f t="shared" si="62"/>
        <v>784000000</v>
      </c>
      <c r="F140" s="112">
        <v>900000000</v>
      </c>
      <c r="G140" s="396">
        <f t="shared" si="63"/>
        <v>14.795918367346939</v>
      </c>
      <c r="R140" t="s">
        <v>25</v>
      </c>
      <c r="U140" t="s">
        <v>25</v>
      </c>
    </row>
    <row r="141" spans="1:21">
      <c r="A141" s="94" t="s">
        <v>6814</v>
      </c>
      <c r="C141">
        <v>19000</v>
      </c>
      <c r="D141" s="112">
        <f t="shared" si="61"/>
        <v>0</v>
      </c>
      <c r="E141" s="112">
        <f t="shared" si="62"/>
        <v>532000000</v>
      </c>
      <c r="F141" s="112">
        <v>700000000</v>
      </c>
      <c r="G141" s="396">
        <f t="shared" si="63"/>
        <v>31.578947368421051</v>
      </c>
      <c r="P141" t="s">
        <v>25</v>
      </c>
      <c r="R141" t="s">
        <v>25</v>
      </c>
      <c r="S141" t="s">
        <v>25</v>
      </c>
    </row>
    <row r="142" spans="1:21">
      <c r="A142" s="94" t="s">
        <v>6815</v>
      </c>
      <c r="C142">
        <v>15000</v>
      </c>
      <c r="D142" s="112">
        <f t="shared" si="61"/>
        <v>0</v>
      </c>
      <c r="E142" s="112">
        <f t="shared" si="62"/>
        <v>420000000</v>
      </c>
      <c r="F142" s="112">
        <v>700000000</v>
      </c>
      <c r="G142" s="396">
        <f t="shared" si="63"/>
        <v>66.666666666666671</v>
      </c>
      <c r="R142" t="s">
        <v>25</v>
      </c>
    </row>
    <row r="143" spans="1:21">
      <c r="A143" s="94" t="s">
        <v>6816</v>
      </c>
      <c r="C143">
        <v>21000</v>
      </c>
      <c r="D143" s="112">
        <f t="shared" si="61"/>
        <v>0</v>
      </c>
      <c r="E143" s="112">
        <f t="shared" si="62"/>
        <v>588000000</v>
      </c>
      <c r="F143" s="112">
        <v>700000000</v>
      </c>
      <c r="G143" s="396">
        <f t="shared" si="63"/>
        <v>19.047619047619047</v>
      </c>
      <c r="P143" t="s">
        <v>25</v>
      </c>
    </row>
    <row r="144" spans="1:21">
      <c r="A144" s="94" t="s">
        <v>6817</v>
      </c>
      <c r="C144">
        <v>17000</v>
      </c>
      <c r="D144" s="112">
        <f t="shared" si="61"/>
        <v>0</v>
      </c>
      <c r="E144" s="112">
        <f t="shared" si="62"/>
        <v>476000000</v>
      </c>
      <c r="F144" s="112">
        <v>700000000</v>
      </c>
      <c r="G144" s="396">
        <f t="shared" si="63"/>
        <v>47.058823529411768</v>
      </c>
      <c r="P144" t="s">
        <v>25</v>
      </c>
      <c r="Q144" t="s">
        <v>25</v>
      </c>
    </row>
    <row r="145" spans="1:18">
      <c r="A145" t="s">
        <v>6818</v>
      </c>
      <c r="C145">
        <v>11000</v>
      </c>
      <c r="D145" s="112">
        <f t="shared" si="61"/>
        <v>0</v>
      </c>
      <c r="E145" s="112">
        <f t="shared" si="62"/>
        <v>308000000</v>
      </c>
      <c r="F145" s="112">
        <v>370000000</v>
      </c>
      <c r="G145" s="396">
        <f t="shared" si="63"/>
        <v>20.129870129870131</v>
      </c>
      <c r="P145" s="94" t="s">
        <v>25</v>
      </c>
      <c r="Q145" t="s">
        <v>25</v>
      </c>
    </row>
    <row r="146" spans="1:18">
      <c r="D146" s="112">
        <f t="shared" si="61"/>
        <v>0</v>
      </c>
      <c r="E146" s="112">
        <f t="shared" si="62"/>
        <v>0</v>
      </c>
      <c r="F146" s="112"/>
      <c r="G146" s="396" t="e">
        <f t="shared" si="63"/>
        <v>#DIV/0!</v>
      </c>
    </row>
    <row r="147" spans="1:18">
      <c r="D147" s="112">
        <f t="shared" si="61"/>
        <v>0</v>
      </c>
      <c r="E147" s="112">
        <f t="shared" si="62"/>
        <v>0</v>
      </c>
      <c r="F147" s="112"/>
      <c r="G147" s="396" t="e">
        <f t="shared" si="63"/>
        <v>#DIV/0!</v>
      </c>
      <c r="P147" t="s">
        <v>25</v>
      </c>
    </row>
    <row r="148" spans="1:18">
      <c r="D148" s="112">
        <f t="shared" si="61"/>
        <v>0</v>
      </c>
      <c r="E148" s="112">
        <f t="shared" si="62"/>
        <v>0</v>
      </c>
      <c r="F148" s="112"/>
      <c r="G148" s="396" t="e">
        <f t="shared" si="63"/>
        <v>#DIV/0!</v>
      </c>
      <c r="P148" t="s">
        <v>25</v>
      </c>
    </row>
    <row r="149" spans="1:18">
      <c r="D149" s="112">
        <f t="shared" si="61"/>
        <v>0</v>
      </c>
      <c r="E149" s="112">
        <f t="shared" si="62"/>
        <v>0</v>
      </c>
      <c r="F149" s="112"/>
      <c r="G149" s="396" t="e">
        <f t="shared" si="63"/>
        <v>#DIV/0!</v>
      </c>
    </row>
    <row r="150" spans="1:18">
      <c r="D150" s="112">
        <f t="shared" si="61"/>
        <v>0</v>
      </c>
      <c r="E150" s="112">
        <f t="shared" si="62"/>
        <v>0</v>
      </c>
      <c r="F150" s="112"/>
      <c r="G150" s="396" t="e">
        <f t="shared" si="63"/>
        <v>#DIV/0!</v>
      </c>
      <c r="O150" t="s">
        <v>25</v>
      </c>
    </row>
    <row r="151" spans="1:18">
      <c r="D151" s="112">
        <f t="shared" si="61"/>
        <v>0</v>
      </c>
      <c r="E151" s="112">
        <f t="shared" si="62"/>
        <v>0</v>
      </c>
      <c r="F151" s="112"/>
      <c r="G151" s="396" t="e">
        <f t="shared" si="63"/>
        <v>#DIV/0!</v>
      </c>
    </row>
    <row r="152" spans="1:18">
      <c r="D152" s="112">
        <f t="shared" si="61"/>
        <v>0</v>
      </c>
      <c r="E152" s="112">
        <f t="shared" si="62"/>
        <v>0</v>
      </c>
      <c r="O152" s="94"/>
    </row>
    <row r="153" spans="1:18">
      <c r="D153" s="112">
        <f t="shared" si="61"/>
        <v>0</v>
      </c>
      <c r="E153" s="112">
        <f t="shared" si="62"/>
        <v>0</v>
      </c>
      <c r="O153" s="94"/>
      <c r="P153" s="94" t="s">
        <v>5497</v>
      </c>
    </row>
    <row r="154" spans="1:18">
      <c r="D154" s="112">
        <f t="shared" si="61"/>
        <v>0</v>
      </c>
      <c r="E154" s="112">
        <f t="shared" si="62"/>
        <v>0</v>
      </c>
      <c r="O154" s="94" t="s">
        <v>25</v>
      </c>
      <c r="P154" s="94" t="s">
        <v>5498</v>
      </c>
    </row>
    <row r="155" spans="1:18">
      <c r="D155" s="112">
        <f t="shared" si="61"/>
        <v>0</v>
      </c>
      <c r="E155" s="112">
        <f t="shared" si="62"/>
        <v>0</v>
      </c>
      <c r="O155" t="s">
        <v>25</v>
      </c>
      <c r="P155" s="94" t="s">
        <v>5499</v>
      </c>
      <c r="R155" t="s">
        <v>25</v>
      </c>
    </row>
    <row r="156" spans="1:18">
      <c r="P156" s="94" t="s">
        <v>5500</v>
      </c>
    </row>
    <row r="157" spans="1:18">
      <c r="P157" s="94" t="s">
        <v>5501</v>
      </c>
    </row>
    <row r="158" spans="1:18">
      <c r="P158" s="94" t="s">
        <v>5502</v>
      </c>
    </row>
    <row r="160" spans="1:18">
      <c r="P160" t="s">
        <v>25</v>
      </c>
    </row>
    <row r="161" spans="15:16">
      <c r="O161" t="s">
        <v>25</v>
      </c>
    </row>
    <row r="162" spans="15:16">
      <c r="P162" t="s">
        <v>25</v>
      </c>
    </row>
    <row r="164" spans="15:16">
      <c r="O164" s="94"/>
      <c r="P164" t="s">
        <v>25</v>
      </c>
    </row>
    <row r="165" spans="15:16">
      <c r="O165" s="94"/>
      <c r="P165" t="s">
        <v>25</v>
      </c>
    </row>
    <row r="166" spans="15:16">
      <c r="O166" s="94"/>
    </row>
    <row r="167" spans="15:16">
      <c r="O167" s="94"/>
    </row>
    <row r="168" spans="15:16">
      <c r="O168" t="s">
        <v>25</v>
      </c>
    </row>
    <row r="170" spans="15:16">
      <c r="P170" t="s">
        <v>25</v>
      </c>
    </row>
    <row r="171" spans="15:16">
      <c r="O171" t="s">
        <v>25</v>
      </c>
    </row>
    <row r="172" spans="15:16">
      <c r="O172" s="94"/>
    </row>
    <row r="173" spans="15:16">
      <c r="O173" s="94" t="s">
        <v>25</v>
      </c>
    </row>
    <row r="175" spans="15:16">
      <c r="O175" t="s">
        <v>25</v>
      </c>
    </row>
    <row r="176" spans="15:16">
      <c r="O176" t="s">
        <v>25</v>
      </c>
      <c r="P176" t="s">
        <v>25</v>
      </c>
    </row>
    <row r="177" spans="15:19">
      <c r="O177" t="s">
        <v>25</v>
      </c>
    </row>
    <row r="179" spans="15:19">
      <c r="S179" t="s">
        <v>25</v>
      </c>
    </row>
    <row r="184" spans="15:19">
      <c r="P184" t="s">
        <v>25</v>
      </c>
    </row>
    <row r="185" spans="15:19">
      <c r="P185" t="s">
        <v>25</v>
      </c>
    </row>
    <row r="187" spans="15:19">
      <c r="P187" t="s">
        <v>25</v>
      </c>
    </row>
    <row r="188" spans="15:19">
      <c r="Q188" t="s">
        <v>25</v>
      </c>
    </row>
    <row r="193" spans="15:21">
      <c r="O193" t="s">
        <v>25</v>
      </c>
      <c r="U193" t="s">
        <v>25</v>
      </c>
    </row>
    <row r="203" spans="15:21">
      <c r="P203" t="s">
        <v>25</v>
      </c>
    </row>
    <row r="214" spans="16:16">
      <c r="P214" t="s">
        <v>25</v>
      </c>
    </row>
    <row r="223" spans="16:16">
      <c r="P223" t="s">
        <v>25</v>
      </c>
    </row>
    <row r="230" spans="15:16">
      <c r="P230" t="s">
        <v>25</v>
      </c>
    </row>
    <row r="233" spans="15:16">
      <c r="O233" s="94"/>
    </row>
    <row r="234" spans="15:16">
      <c r="O234" s="94" t="s">
        <v>25</v>
      </c>
    </row>
    <row r="235" spans="15:16">
      <c r="O235" s="94"/>
    </row>
    <row r="236" spans="15:16">
      <c r="O236" s="94" t="s">
        <v>25</v>
      </c>
    </row>
    <row r="237" spans="15:16">
      <c r="O237" s="94"/>
    </row>
    <row r="238" spans="15:16">
      <c r="O238" s="94"/>
    </row>
  </sheetData>
  <phoneticPr fontId="28" type="noConversion"/>
  <conditionalFormatting sqref="K95 K1:K83">
    <cfRule type="cellIs" dxfId="12" priority="10" operator="lessThan">
      <formula>0</formula>
    </cfRule>
    <cfRule type="cellIs" dxfId="11" priority="11" operator="greaterThan">
      <formula>0</formula>
    </cfRule>
    <cfRule type="cellIs" dxfId="10" priority="12" operator="greaterThan">
      <formula>0</formula>
    </cfRule>
  </conditionalFormatting>
  <conditionalFormatting sqref="K88:K94">
    <cfRule type="cellIs" dxfId="9" priority="7" operator="lessThan">
      <formula>0</formula>
    </cfRule>
    <cfRule type="cellIs" dxfId="8" priority="8" operator="greaterThan">
      <formula>0</formula>
    </cfRule>
    <cfRule type="cellIs" dxfId="7" priority="9" operator="greaterThan">
      <formula>0</formula>
    </cfRule>
  </conditionalFormatting>
  <conditionalFormatting sqref="K113:K115">
    <cfRule type="cellIs" dxfId="6" priority="4" operator="lessThan">
      <formula>0</formula>
    </cfRule>
    <cfRule type="cellIs" dxfId="5" priority="5" operator="greaterThan">
      <formula>0</formula>
    </cfRule>
    <cfRule type="cellIs" dxfId="4" priority="6" operator="greaterThan">
      <formula>0</formula>
    </cfRule>
  </conditionalFormatting>
  <pageMargins left="0.7" right="0.7" top="0.75" bottom="0.75" header="0.3" footer="0.3"/>
  <pageSetup orientation="portrait" horizontalDpi="1200" verticalDpi="1200" r:id="rId1"/>
  <ignoredErrors>
    <ignoredError sqref="N26 G10"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AL162"/>
  <sheetViews>
    <sheetView zoomScale="85" zoomScaleNormal="85" workbookViewId="0">
      <selection activeCell="B7" sqref="B7"/>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1094</v>
      </c>
      <c r="B1" s="97">
        <v>24</v>
      </c>
      <c r="C1" s="97"/>
      <c r="D1" s="97"/>
      <c r="F1" s="97" t="s">
        <v>1222</v>
      </c>
      <c r="G1" s="97" t="s">
        <v>1223</v>
      </c>
      <c r="I1" s="97" t="s">
        <v>1144</v>
      </c>
      <c r="J1" s="97"/>
      <c r="U1" s="94"/>
      <c r="V1" s="94"/>
      <c r="W1" s="94"/>
      <c r="X1" s="94"/>
      <c r="Y1" s="94"/>
      <c r="Z1" s="94"/>
    </row>
    <row r="2" spans="1:35">
      <c r="A2" s="97" t="s">
        <v>1093</v>
      </c>
      <c r="B2" s="97">
        <v>21.6</v>
      </c>
      <c r="C2" s="97"/>
      <c r="D2" s="97"/>
      <c r="F2" s="130">
        <v>-0.1</v>
      </c>
      <c r="G2" s="130">
        <v>-0.44</v>
      </c>
      <c r="I2" s="97" t="s">
        <v>3938</v>
      </c>
      <c r="J2" s="97" t="s">
        <v>3667</v>
      </c>
      <c r="L2" s="97" t="s">
        <v>3676</v>
      </c>
      <c r="M2" s="97"/>
      <c r="U2" s="94"/>
      <c r="V2" s="94"/>
      <c r="W2" s="94"/>
      <c r="X2" s="94"/>
      <c r="Y2" s="94"/>
      <c r="Z2" s="94"/>
    </row>
    <row r="3" spans="1:35">
      <c r="A3" s="97" t="s">
        <v>1095</v>
      </c>
      <c r="B3" s="97">
        <v>31.1</v>
      </c>
      <c r="C3" s="97"/>
      <c r="D3" s="97"/>
      <c r="F3" s="97">
        <v>0</v>
      </c>
      <c r="G3" s="130">
        <v>-0.14000000000000001</v>
      </c>
      <c r="I3" s="97" t="s">
        <v>1115</v>
      </c>
      <c r="J3" s="97" t="s">
        <v>3668</v>
      </c>
      <c r="L3" s="97" t="s">
        <v>3677</v>
      </c>
      <c r="M3" s="97">
        <v>6145</v>
      </c>
      <c r="U3" s="94"/>
      <c r="V3" s="94"/>
      <c r="W3" s="94"/>
      <c r="X3" s="94"/>
      <c r="Y3" s="94"/>
      <c r="Z3" s="94"/>
    </row>
    <row r="4" spans="1:35">
      <c r="A4" s="97" t="s">
        <v>1096</v>
      </c>
      <c r="B4" s="97">
        <v>8.1329999999999991</v>
      </c>
      <c r="C4" s="97"/>
      <c r="D4" s="97"/>
      <c r="F4" s="131">
        <v>0.113</v>
      </c>
      <c r="G4" s="130">
        <v>0.2</v>
      </c>
      <c r="I4" s="97" t="s">
        <v>3663</v>
      </c>
      <c r="J4" s="97" t="s">
        <v>3664</v>
      </c>
      <c r="L4" s="97" t="s">
        <v>3683</v>
      </c>
      <c r="M4" s="97">
        <v>6110</v>
      </c>
      <c r="U4" s="94"/>
      <c r="V4" s="94"/>
      <c r="W4" s="94"/>
      <c r="X4" s="94"/>
      <c r="Y4" s="94"/>
      <c r="Z4" s="94"/>
    </row>
    <row r="5" spans="1:35" ht="17.25" customHeight="1">
      <c r="A5" s="97" t="s">
        <v>1097</v>
      </c>
      <c r="B5" s="97">
        <v>1871</v>
      </c>
      <c r="C5" s="97"/>
      <c r="D5" s="97"/>
      <c r="F5" s="130">
        <v>0.2</v>
      </c>
      <c r="G5" s="130">
        <v>0.46</v>
      </c>
      <c r="I5" s="97"/>
      <c r="J5" s="97"/>
      <c r="L5" s="97" t="s">
        <v>3687</v>
      </c>
      <c r="M5" s="97">
        <v>6150</v>
      </c>
      <c r="U5" s="94"/>
      <c r="V5" s="94"/>
      <c r="W5" s="94"/>
      <c r="X5" s="94"/>
      <c r="Y5" s="94"/>
      <c r="Z5" s="94"/>
    </row>
    <row r="6" spans="1:35" ht="20.25" customHeight="1">
      <c r="A6" s="97" t="s">
        <v>1098</v>
      </c>
      <c r="B6" s="97">
        <v>37000</v>
      </c>
      <c r="C6" s="97"/>
      <c r="D6" s="97"/>
      <c r="F6" s="130">
        <v>0.25</v>
      </c>
      <c r="G6" s="130">
        <v>0.61</v>
      </c>
      <c r="I6" s="97"/>
      <c r="J6" s="97"/>
      <c r="L6" s="97" t="s">
        <v>3690</v>
      </c>
      <c r="M6" s="97">
        <v>6400</v>
      </c>
      <c r="U6" s="94"/>
      <c r="V6" s="94"/>
      <c r="W6" s="94"/>
      <c r="X6" s="94"/>
      <c r="Y6" s="94"/>
      <c r="Z6" s="94"/>
    </row>
    <row r="7" spans="1:35" ht="21.75" customHeight="1">
      <c r="A7" s="97" t="s">
        <v>1099</v>
      </c>
      <c r="B7" s="97">
        <v>5000</v>
      </c>
      <c r="C7" s="97"/>
      <c r="D7" s="97"/>
      <c r="F7" s="130">
        <v>0.5</v>
      </c>
      <c r="G7" s="130">
        <v>1.36</v>
      </c>
      <c r="I7" s="97" t="s">
        <v>3665</v>
      </c>
      <c r="J7" s="97" t="s">
        <v>3658</v>
      </c>
      <c r="L7" s="97"/>
      <c r="M7" s="97"/>
      <c r="U7" s="94"/>
      <c r="V7" s="94"/>
      <c r="W7" s="94"/>
      <c r="X7" s="94"/>
      <c r="Y7" s="94"/>
      <c r="Z7" s="94"/>
    </row>
    <row r="8" spans="1:35" ht="21.75" customHeight="1">
      <c r="A8" s="97" t="s">
        <v>4225</v>
      </c>
      <c r="B8" s="93">
        <f>B2*B4*B5*B6/(B1*B3)+B7</f>
        <v>16298275.623794211</v>
      </c>
      <c r="C8" s="97">
        <f>B2*B4*B5/(B1*B3)+B7/B6</f>
        <v>440.4939357782219</v>
      </c>
      <c r="D8" s="97" t="s">
        <v>4228</v>
      </c>
      <c r="I8" s="97" t="s">
        <v>3863</v>
      </c>
      <c r="J8" s="97" t="s">
        <v>3659</v>
      </c>
      <c r="L8" s="97"/>
      <c r="M8" s="97"/>
      <c r="U8" s="94"/>
      <c r="V8" s="94"/>
      <c r="W8" s="94"/>
      <c r="X8" s="94"/>
      <c r="Y8" s="94"/>
      <c r="Z8" s="94"/>
    </row>
    <row r="9" spans="1:35">
      <c r="A9" s="67" t="s">
        <v>4226</v>
      </c>
      <c r="B9" s="93">
        <v>16370000</v>
      </c>
      <c r="C9" s="97"/>
      <c r="D9" s="97"/>
      <c r="I9" s="97" t="s">
        <v>3669</v>
      </c>
      <c r="J9" s="97" t="s">
        <v>3670</v>
      </c>
      <c r="L9" s="97"/>
      <c r="M9" s="97"/>
      <c r="R9" s="94"/>
      <c r="S9" s="94"/>
      <c r="T9" s="94"/>
      <c r="U9" s="94"/>
      <c r="V9" s="94"/>
      <c r="W9" s="94"/>
      <c r="X9" s="94"/>
      <c r="Y9" s="94"/>
      <c r="Z9" s="94"/>
    </row>
    <row r="10" spans="1:35">
      <c r="A10" s="67" t="s">
        <v>4227</v>
      </c>
      <c r="B10" s="93">
        <f>B9-B8</f>
        <v>71724.376205788925</v>
      </c>
      <c r="C10" s="97"/>
      <c r="D10" s="97"/>
      <c r="I10" s="57">
        <v>35679</v>
      </c>
      <c r="J10" s="67" t="s">
        <v>3701</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4142</v>
      </c>
      <c r="J11" s="67" t="s">
        <v>4141</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3671</v>
      </c>
      <c r="J13" s="97" t="s">
        <v>3672</v>
      </c>
      <c r="L13" s="97"/>
      <c r="M13" s="97"/>
      <c r="R13" s="94"/>
      <c r="S13" s="94"/>
      <c r="T13" s="94"/>
      <c r="U13" s="94"/>
      <c r="V13" s="94"/>
      <c r="W13" s="94"/>
      <c r="X13" s="94"/>
      <c r="Y13" s="94"/>
      <c r="Z13" s="94"/>
      <c r="AB13" s="94"/>
      <c r="AC13" s="94"/>
      <c r="AD13" s="94"/>
      <c r="AE13" s="94"/>
      <c r="AF13" s="94"/>
      <c r="AG13" s="94"/>
      <c r="AH13" s="94"/>
      <c r="AI13" s="94"/>
    </row>
    <row r="14" spans="1:35">
      <c r="I14" s="97" t="s">
        <v>3864</v>
      </c>
      <c r="J14" s="97" t="s">
        <v>3662</v>
      </c>
      <c r="L14" s="97"/>
      <c r="M14" s="97"/>
      <c r="R14" s="94"/>
      <c r="S14" s="94"/>
      <c r="T14" s="94"/>
      <c r="U14" s="94"/>
      <c r="V14" s="94"/>
      <c r="W14" s="94"/>
      <c r="X14" s="94"/>
      <c r="Y14" s="94"/>
      <c r="Z14" s="94"/>
      <c r="AB14" s="94"/>
      <c r="AC14" s="94"/>
      <c r="AD14" s="94"/>
      <c r="AE14" s="94"/>
      <c r="AF14" s="94"/>
      <c r="AG14" s="94"/>
      <c r="AH14" s="94"/>
      <c r="AI14" s="94"/>
    </row>
    <row r="15" spans="1:35" ht="181.5">
      <c r="A15" s="232" t="s">
        <v>4899</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3673</v>
      </c>
      <c r="J16" s="97" t="s">
        <v>3674</v>
      </c>
      <c r="L16" s="97"/>
      <c r="M16" s="97"/>
      <c r="R16" s="94"/>
      <c r="S16" s="94"/>
      <c r="T16" s="94"/>
      <c r="U16" s="94"/>
      <c r="V16" s="94"/>
      <c r="W16" s="94"/>
      <c r="X16" s="94"/>
      <c r="Y16" s="94"/>
      <c r="Z16" s="94"/>
      <c r="AB16" s="94"/>
      <c r="AC16" s="94"/>
      <c r="AD16" s="94"/>
      <c r="AE16" s="94"/>
      <c r="AF16" s="94"/>
      <c r="AG16" s="94"/>
      <c r="AH16" s="94"/>
      <c r="AI16" s="94"/>
    </row>
    <row r="17" spans="5:35">
      <c r="I17" s="97" t="s">
        <v>3666</v>
      </c>
      <c r="J17" s="97" t="s">
        <v>3675</v>
      </c>
      <c r="R17" s="94"/>
      <c r="S17" s="94"/>
      <c r="T17" s="94"/>
      <c r="U17" s="94"/>
      <c r="V17" s="94"/>
      <c r="W17" s="94"/>
      <c r="X17" s="94"/>
      <c r="Y17" s="94"/>
      <c r="Z17" s="94"/>
      <c r="AB17" s="94"/>
      <c r="AC17" s="94"/>
      <c r="AD17" s="94"/>
      <c r="AE17" s="94"/>
      <c r="AF17" s="94"/>
      <c r="AG17" s="94"/>
      <c r="AH17" s="94"/>
      <c r="AI17" s="94"/>
    </row>
    <row r="18" spans="5:35">
      <c r="I18" s="57">
        <v>35715</v>
      </c>
      <c r="J18" s="97" t="s">
        <v>3702</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4941</v>
      </c>
      <c r="X20" s="41">
        <v>9194342556</v>
      </c>
      <c r="Y20" s="41">
        <v>200</v>
      </c>
      <c r="Z20" s="41" t="s">
        <v>4482</v>
      </c>
      <c r="AA20" t="s">
        <v>4923</v>
      </c>
      <c r="AB20" s="94"/>
      <c r="AC20" s="94"/>
      <c r="AD20" s="94"/>
      <c r="AE20" s="94"/>
      <c r="AF20" s="94"/>
      <c r="AG20" s="94"/>
      <c r="AH20" s="94"/>
      <c r="AI20" s="94"/>
    </row>
    <row r="21" spans="5:35">
      <c r="O21" s="97"/>
      <c r="P21" s="97"/>
      <c r="Q21" s="490" t="s">
        <v>1071</v>
      </c>
      <c r="R21" s="490"/>
      <c r="S21" s="490"/>
      <c r="T21" s="490"/>
      <c r="U21" s="94"/>
      <c r="V21" s="94"/>
      <c r="W21" s="41" t="s">
        <v>4940</v>
      </c>
      <c r="X21" s="41">
        <v>9035210431</v>
      </c>
      <c r="Y21" s="41">
        <v>50</v>
      </c>
      <c r="Z21" s="41" t="s">
        <v>5202</v>
      </c>
      <c r="AA21" t="s">
        <v>4958</v>
      </c>
    </row>
    <row r="22" spans="5:35">
      <c r="O22" s="97"/>
      <c r="P22" s="97"/>
      <c r="Q22" s="490"/>
      <c r="R22" s="490"/>
      <c r="S22" s="490"/>
      <c r="T22" s="490"/>
      <c r="U22" s="94"/>
      <c r="V22" s="94"/>
      <c r="W22" s="41" t="s">
        <v>5027</v>
      </c>
      <c r="X22" s="41">
        <v>9909620343</v>
      </c>
      <c r="Y22" s="41">
        <v>200</v>
      </c>
      <c r="Z22" s="41" t="s">
        <v>5203</v>
      </c>
      <c r="AA22" t="s">
        <v>5206</v>
      </c>
      <c r="AB22" s="41" t="s">
        <v>5214</v>
      </c>
    </row>
    <row r="23" spans="5:35" ht="15.75">
      <c r="O23" s="176"/>
      <c r="P23" s="97" t="s">
        <v>4067</v>
      </c>
      <c r="Q23" s="491" t="s">
        <v>1072</v>
      </c>
      <c r="R23" s="492" t="s">
        <v>1073</v>
      </c>
      <c r="S23" s="491" t="s">
        <v>1074</v>
      </c>
      <c r="T23" s="493" t="s">
        <v>1075</v>
      </c>
      <c r="W23" s="41" t="s">
        <v>5028</v>
      </c>
      <c r="X23" s="41">
        <v>9378807702</v>
      </c>
      <c r="Y23" s="41">
        <v>0</v>
      </c>
      <c r="Z23" s="41">
        <v>0</v>
      </c>
      <c r="AD23" t="s">
        <v>25</v>
      </c>
    </row>
    <row r="24" spans="5:35">
      <c r="O24" s="97"/>
      <c r="P24" s="97"/>
      <c r="Q24" s="491"/>
      <c r="R24" s="492"/>
      <c r="S24" s="491"/>
      <c r="T24" s="493"/>
      <c r="W24" s="41" t="s">
        <v>5049</v>
      </c>
      <c r="X24" s="41"/>
      <c r="Y24" s="41">
        <v>200</v>
      </c>
      <c r="Z24" s="41" t="s">
        <v>4482</v>
      </c>
      <c r="AA24" t="s">
        <v>5061</v>
      </c>
      <c r="AB24" t="s">
        <v>5109</v>
      </c>
    </row>
    <row r="25" spans="5:35">
      <c r="O25" s="171" t="s">
        <v>4122</v>
      </c>
      <c r="P25" s="171">
        <v>2182188507</v>
      </c>
      <c r="Q25" s="172" t="s">
        <v>1076</v>
      </c>
      <c r="R25" s="172" t="s">
        <v>4068</v>
      </c>
      <c r="S25" s="172" t="s">
        <v>4073</v>
      </c>
      <c r="T25" s="172" t="s">
        <v>1077</v>
      </c>
      <c r="W25" s="41" t="s">
        <v>5066</v>
      </c>
      <c r="X25" s="41">
        <v>9013075723</v>
      </c>
      <c r="Y25" s="41">
        <v>100</v>
      </c>
      <c r="Z25" s="41" t="s">
        <v>5202</v>
      </c>
      <c r="AA25" t="s">
        <v>5130</v>
      </c>
    </row>
    <row r="26" spans="5:35" ht="30">
      <c r="O26" s="171"/>
      <c r="P26" s="171">
        <v>2123095122</v>
      </c>
      <c r="Q26" s="173" t="s">
        <v>1078</v>
      </c>
      <c r="R26" s="173" t="s">
        <v>1079</v>
      </c>
      <c r="S26" s="173" t="s">
        <v>1080</v>
      </c>
      <c r="T26" s="173" t="s">
        <v>1081</v>
      </c>
      <c r="U26" s="94"/>
      <c r="V26" s="94"/>
      <c r="W26" s="41" t="s">
        <v>5204</v>
      </c>
      <c r="X26" s="41">
        <v>9214923916</v>
      </c>
      <c r="Y26" s="41">
        <v>100</v>
      </c>
      <c r="Z26" s="41" t="s">
        <v>4482</v>
      </c>
      <c r="AA26" s="202" t="s">
        <v>5198</v>
      </c>
      <c r="AB26" s="94"/>
    </row>
    <row r="27" spans="5:35" ht="30">
      <c r="O27" s="171" t="s">
        <v>4176</v>
      </c>
      <c r="P27" s="171">
        <v>2188831909</v>
      </c>
      <c r="Q27" s="97" t="s">
        <v>4070</v>
      </c>
      <c r="R27" s="97" t="s">
        <v>4071</v>
      </c>
      <c r="S27" s="97" t="s">
        <v>4072</v>
      </c>
      <c r="T27" s="174" t="s">
        <v>4074</v>
      </c>
      <c r="U27" s="94"/>
      <c r="V27" s="94"/>
      <c r="W27" s="41" t="s">
        <v>5205</v>
      </c>
      <c r="X27" s="41" t="s">
        <v>5253</v>
      </c>
      <c r="Y27" s="41">
        <v>80</v>
      </c>
      <c r="Z27" s="41" t="s">
        <v>5202</v>
      </c>
      <c r="AA27" s="202" t="s">
        <v>5198</v>
      </c>
      <c r="AB27" s="94"/>
    </row>
    <row r="28" spans="5:35" ht="60">
      <c r="E28" t="s">
        <v>25</v>
      </c>
      <c r="T28" s="22" t="s">
        <v>4061</v>
      </c>
      <c r="U28" s="94"/>
      <c r="V28" s="94"/>
      <c r="W28" s="41" t="s">
        <v>5531</v>
      </c>
      <c r="X28" s="41">
        <v>9373349244</v>
      </c>
      <c r="Y28" s="41">
        <v>300</v>
      </c>
      <c r="Z28" s="41" t="s">
        <v>5532</v>
      </c>
      <c r="AA28" s="94" t="s">
        <v>5526</v>
      </c>
      <c r="AB28" s="41" t="s">
        <v>5597</v>
      </c>
    </row>
    <row r="29" spans="5:35">
      <c r="R29" s="94"/>
      <c r="S29" s="94"/>
      <c r="T29" s="94"/>
      <c r="U29" s="94"/>
      <c r="V29" s="94"/>
      <c r="W29" s="41" t="s">
        <v>5558</v>
      </c>
      <c r="X29" s="41">
        <v>9332154549</v>
      </c>
      <c r="Y29" s="41">
        <v>260</v>
      </c>
      <c r="Z29" s="41" t="s">
        <v>5532</v>
      </c>
      <c r="AA29" s="94" t="s">
        <v>5557</v>
      </c>
      <c r="AB29" s="41" t="s">
        <v>5771</v>
      </c>
    </row>
    <row r="30" spans="5:35">
      <c r="R30" s="94"/>
      <c r="S30" s="94"/>
      <c r="T30" s="94"/>
      <c r="U30" s="94"/>
      <c r="V30" s="94"/>
      <c r="W30" s="41" t="s">
        <v>5770</v>
      </c>
      <c r="X30" s="41">
        <v>9944625742</v>
      </c>
      <c r="Y30" s="41">
        <v>120</v>
      </c>
      <c r="Z30" s="41" t="s">
        <v>4482</v>
      </c>
      <c r="AA30" s="94" t="s">
        <v>5758</v>
      </c>
      <c r="AB30" s="94"/>
    </row>
    <row r="31" spans="5:35">
      <c r="R31" s="94"/>
      <c r="S31" s="94"/>
      <c r="T31" s="94"/>
      <c r="U31" s="94"/>
      <c r="V31" s="94"/>
      <c r="W31" s="308" t="s">
        <v>6357</v>
      </c>
      <c r="X31" s="308">
        <v>9199190185</v>
      </c>
      <c r="Y31" s="308">
        <v>195</v>
      </c>
      <c r="Z31" s="308" t="s">
        <v>5202</v>
      </c>
      <c r="AA31" s="94" t="s">
        <v>6204</v>
      </c>
      <c r="AB31" s="94"/>
    </row>
    <row r="32" spans="5:35">
      <c r="R32" s="94"/>
      <c r="S32" s="94"/>
      <c r="T32" s="94"/>
      <c r="U32" s="94"/>
      <c r="V32" s="94"/>
      <c r="W32" s="308" t="s">
        <v>6733</v>
      </c>
      <c r="X32" s="94"/>
      <c r="Y32" s="94"/>
      <c r="Z32" s="308" t="s">
        <v>5202</v>
      </c>
      <c r="AA32" s="94" t="s">
        <v>6734</v>
      </c>
      <c r="AB32" s="94"/>
    </row>
    <row r="33" spans="18:28">
      <c r="R33" s="94"/>
      <c r="S33" s="94"/>
      <c r="T33" s="94"/>
      <c r="U33" s="94"/>
      <c r="V33" s="94"/>
      <c r="W33" s="308" t="s">
        <v>6735</v>
      </c>
      <c r="X33" s="308">
        <v>9304634309</v>
      </c>
      <c r="Y33" s="308">
        <v>150</v>
      </c>
      <c r="Z33" s="308" t="s">
        <v>6736</v>
      </c>
      <c r="AA33" s="94" t="s">
        <v>6732</v>
      </c>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3860</v>
      </c>
      <c r="B89" s="108">
        <v>3000000</v>
      </c>
      <c r="C89" s="97"/>
      <c r="D89" s="97"/>
      <c r="E89" s="97"/>
      <c r="F89" s="97"/>
      <c r="G89" s="97"/>
      <c r="H89" s="97"/>
      <c r="I89" s="97"/>
      <c r="J89" s="97"/>
      <c r="K89" s="97"/>
      <c r="L89" s="97"/>
    </row>
    <row r="90" spans="1:12">
      <c r="A90" s="97" t="s">
        <v>3836</v>
      </c>
      <c r="B90" s="97" t="s">
        <v>3859</v>
      </c>
      <c r="C90" s="97">
        <v>18</v>
      </c>
      <c r="D90" s="97">
        <v>19</v>
      </c>
      <c r="E90" s="97">
        <v>20</v>
      </c>
      <c r="F90" s="97">
        <v>21</v>
      </c>
      <c r="G90" s="97">
        <v>22</v>
      </c>
      <c r="H90" s="97">
        <v>23</v>
      </c>
      <c r="I90" s="97">
        <v>24</v>
      </c>
      <c r="J90" s="97">
        <v>25</v>
      </c>
      <c r="K90" s="97">
        <v>26</v>
      </c>
      <c r="L90" s="97">
        <v>27</v>
      </c>
    </row>
    <row r="91" spans="1:12">
      <c r="A91" s="139" t="s">
        <v>3837</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3838</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3839</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3840</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3841</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3842</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3843</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3844</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3845</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3846</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3847</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3848</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3849</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3850</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3851</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3852</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3853</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3854</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3855</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3856</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3857</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3858</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xr:uid="{00000000-0004-0000-3D00-000000000000}"/>
    <hyperlink ref="A92" r:id="rId2" display="http://www.tsetmc.com/Loader.aspx?ParTree=151311&amp;i=31336731621877267" xr:uid="{00000000-0004-0000-3D00-000001000000}"/>
    <hyperlink ref="A93" r:id="rId3" display="http://www.tsetmc.com/Loader.aspx?ParTree=151311&amp;i=45568376412547287" xr:uid="{00000000-0004-0000-3D00-000002000000}"/>
    <hyperlink ref="A94" r:id="rId4" display="http://www.tsetmc.com/Loader.aspx?ParTree=151311&amp;i=9348675827668715" xr:uid="{00000000-0004-0000-3D00-000003000000}"/>
    <hyperlink ref="A95" r:id="rId5" display="http://www.tsetmc.com/Loader.aspx?ParTree=151311&amp;i=34690794546866985" xr:uid="{00000000-0004-0000-3D00-000004000000}"/>
    <hyperlink ref="A96" r:id="rId6" display="http://www.tsetmc.com/Loader.aspx?ParTree=151311&amp;i=19189554226829554" xr:uid="{00000000-0004-0000-3D00-000005000000}"/>
    <hyperlink ref="A97" r:id="rId7" display="http://www.tsetmc.com/Loader.aspx?ParTree=151311&amp;i=29809484987022103" xr:uid="{00000000-0004-0000-3D00-000006000000}"/>
    <hyperlink ref="A98" r:id="rId8" display="http://www.tsetmc.com/Loader.aspx?ParTree=151311&amp;i=60976676648734074" xr:uid="{00000000-0004-0000-3D00-000007000000}"/>
    <hyperlink ref="A99" r:id="rId9" display="http://www.tsetmc.com/Loader.aspx?ParTree=151311&amp;i=54157559525707602" xr:uid="{00000000-0004-0000-3D00-000008000000}"/>
    <hyperlink ref="A100" r:id="rId10" display="http://www.tsetmc.com/Loader.aspx?ParTree=151311&amp;i=8824151586583881" xr:uid="{00000000-0004-0000-3D00-000009000000}"/>
    <hyperlink ref="A101" r:id="rId11" display="http://www.tsetmc.com/Loader.aspx?ParTree=151311&amp;i=36659279281335618" xr:uid="{00000000-0004-0000-3D00-00000A000000}"/>
    <hyperlink ref="A102" r:id="rId12" display="http://www.tsetmc.com/Loader.aspx?ParTree=151311&amp;i=55691412970979165" xr:uid="{00000000-0004-0000-3D00-00000B000000}"/>
    <hyperlink ref="A103" r:id="rId13" display="http://www.tsetmc.com/Loader.aspx?ParTree=151311&amp;i=47973130175509987" xr:uid="{00000000-0004-0000-3D00-00000C000000}"/>
    <hyperlink ref="A104" r:id="rId14" display="http://www.tsetmc.com/Loader.aspx?ParTree=151311&amp;i=54483769715623418" xr:uid="{00000000-0004-0000-3D00-00000D000000}"/>
    <hyperlink ref="A105" r:id="rId15" display="http://www.tsetmc.com/Loader.aspx?ParTree=151311&amp;i=50455653439090172" xr:uid="{00000000-0004-0000-3D00-00000E000000}"/>
    <hyperlink ref="A106" r:id="rId16" display="http://www.tsetmc.com/Loader.aspx?ParTree=151311&amp;i=28057728599846396" xr:uid="{00000000-0004-0000-3D00-00000F000000}"/>
    <hyperlink ref="A107" r:id="rId17" display="http://www.tsetmc.com/Loader.aspx?ParTree=151311&amp;i=14071261350534540" xr:uid="{00000000-0004-0000-3D00-000010000000}"/>
    <hyperlink ref="A108" r:id="rId18" display="http://www.tsetmc.com/Loader.aspx?ParTree=151311&amp;i=21549053725587263" xr:uid="{00000000-0004-0000-3D00-000011000000}"/>
    <hyperlink ref="A109" r:id="rId19" display="http://www.tsetmc.com/Loader.aspx?ParTree=151311&amp;i=66961237828175250" xr:uid="{00000000-0004-0000-3D00-000012000000}"/>
    <hyperlink ref="A110" r:id="rId20" display="http://www.tsetmc.com/Loader.aspx?ParTree=151311&amp;i=34637076737621739" xr:uid="{00000000-0004-0000-3D00-000013000000}"/>
    <hyperlink ref="A111" r:id="rId21" display="http://www.tsetmc.com/Loader.aspx?ParTree=151311&amp;i=8080430867603889" xr:uid="{00000000-0004-0000-3D00-000014000000}"/>
    <hyperlink ref="A112" r:id="rId22" display="http://www.tsetmc.com/Loader.aspx?ParTree=151311&amp;i=25321737716604764" xr:uid="{00000000-0004-0000-3D00-000015000000}"/>
  </hyperlinks>
  <pageMargins left="0.7" right="0.7" top="0.75" bottom="0.75" header="0.3" footer="0.3"/>
  <pageSetup orientation="portrait" horizontalDpi="1200" verticalDpi="1200" r:id="rId2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749</v>
      </c>
      <c r="B134" s="18">
        <v>-65000</v>
      </c>
      <c r="C134" s="18">
        <v>0</v>
      </c>
      <c r="D134" s="18">
        <f t="shared" si="12"/>
        <v>-65000</v>
      </c>
      <c r="E134" s="11" t="s">
        <v>752</v>
      </c>
      <c r="F134" s="11">
        <v>0</v>
      </c>
      <c r="G134" s="36">
        <f t="shared" si="14"/>
        <v>508</v>
      </c>
      <c r="H134" s="11">
        <f t="shared" si="15"/>
        <v>0</v>
      </c>
      <c r="I134" s="11">
        <f t="shared" si="13"/>
        <v>-33020000</v>
      </c>
      <c r="J134" s="11">
        <f t="shared" si="16"/>
        <v>0</v>
      </c>
      <c r="K134" s="11">
        <f t="shared" si="17"/>
        <v>-33020000</v>
      </c>
    </row>
    <row r="135" spans="1:13">
      <c r="A135" s="11" t="s">
        <v>749</v>
      </c>
      <c r="B135" s="18">
        <v>-32300</v>
      </c>
      <c r="C135" s="18">
        <v>0</v>
      </c>
      <c r="D135" s="18">
        <f t="shared" si="12"/>
        <v>-32300</v>
      </c>
      <c r="E135" s="11" t="s">
        <v>753</v>
      </c>
      <c r="F135" s="11">
        <v>8</v>
      </c>
      <c r="G135" s="36">
        <f t="shared" si="14"/>
        <v>508</v>
      </c>
      <c r="H135" s="11">
        <f t="shared" si="15"/>
        <v>0</v>
      </c>
      <c r="I135" s="11">
        <f t="shared" si="13"/>
        <v>-16408400</v>
      </c>
      <c r="J135" s="11">
        <f t="shared" si="16"/>
        <v>0</v>
      </c>
      <c r="K135" s="11">
        <f t="shared" si="17"/>
        <v>-16408400</v>
      </c>
    </row>
    <row r="136" spans="1:13">
      <c r="A136" s="11" t="s">
        <v>760</v>
      </c>
      <c r="B136" s="18">
        <v>-1000000</v>
      </c>
      <c r="C136" s="18">
        <v>-1000000</v>
      </c>
      <c r="D136" s="18">
        <f t="shared" si="12"/>
        <v>0</v>
      </c>
      <c r="E136" s="11" t="s">
        <v>761</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780</v>
      </c>
      <c r="B138" s="18">
        <v>-1000500</v>
      </c>
      <c r="C138" s="18">
        <v>-1000500</v>
      </c>
      <c r="D138" s="18">
        <f t="shared" si="12"/>
        <v>0</v>
      </c>
      <c r="E138" s="11" t="s">
        <v>781</v>
      </c>
      <c r="F138" s="11">
        <v>12</v>
      </c>
      <c r="G138" s="36">
        <f t="shared" si="14"/>
        <v>474</v>
      </c>
      <c r="H138" s="11">
        <f t="shared" si="15"/>
        <v>0</v>
      </c>
      <c r="I138" s="11">
        <f t="shared" si="13"/>
        <v>-474237000</v>
      </c>
      <c r="J138" s="11">
        <f t="shared" si="16"/>
        <v>-474237000</v>
      </c>
      <c r="K138" s="11">
        <f t="shared" si="17"/>
        <v>0</v>
      </c>
    </row>
    <row r="139" spans="1:13">
      <c r="A139" s="11" t="s">
        <v>795</v>
      </c>
      <c r="B139" s="18">
        <v>282240</v>
      </c>
      <c r="C139" s="18">
        <v>88807</v>
      </c>
      <c r="D139" s="18">
        <f t="shared" si="12"/>
        <v>193433</v>
      </c>
      <c r="E139" s="11" t="s">
        <v>798</v>
      </c>
      <c r="F139" s="11">
        <v>3</v>
      </c>
      <c r="G139" s="36">
        <f t="shared" si="14"/>
        <v>462</v>
      </c>
      <c r="H139" s="11">
        <f t="shared" si="15"/>
        <v>1</v>
      </c>
      <c r="I139" s="11">
        <f t="shared" si="13"/>
        <v>130112640</v>
      </c>
      <c r="J139" s="11">
        <f t="shared" si="16"/>
        <v>40940027</v>
      </c>
      <c r="K139" s="11">
        <f t="shared" si="17"/>
        <v>89172613</v>
      </c>
    </row>
    <row r="140" spans="1:13">
      <c r="A140" s="11" t="s">
        <v>800</v>
      </c>
      <c r="B140" s="18">
        <v>1500000</v>
      </c>
      <c r="C140" s="18">
        <v>0</v>
      </c>
      <c r="D140" s="18">
        <f t="shared" si="12"/>
        <v>1500000</v>
      </c>
      <c r="E140" s="11" t="s">
        <v>801</v>
      </c>
      <c r="F140" s="11">
        <v>13</v>
      </c>
      <c r="G140" s="36">
        <f t="shared" si="14"/>
        <v>459</v>
      </c>
      <c r="H140" s="11">
        <f t="shared" si="15"/>
        <v>1</v>
      </c>
      <c r="I140" s="11">
        <f t="shared" si="13"/>
        <v>687000000</v>
      </c>
      <c r="J140" s="11">
        <f t="shared" si="16"/>
        <v>0</v>
      </c>
      <c r="K140" s="11">
        <f t="shared" si="17"/>
        <v>687000000</v>
      </c>
    </row>
    <row r="141" spans="1:13">
      <c r="A141" s="11" t="s">
        <v>821</v>
      </c>
      <c r="B141" s="18">
        <v>0</v>
      </c>
      <c r="C141" s="18">
        <v>-1000000</v>
      </c>
      <c r="D141" s="18">
        <f t="shared" si="12"/>
        <v>1000000</v>
      </c>
      <c r="E141" s="11" t="s">
        <v>820</v>
      </c>
      <c r="F141" s="11">
        <v>14</v>
      </c>
      <c r="G141" s="36">
        <f t="shared" si="14"/>
        <v>446</v>
      </c>
      <c r="H141" s="11">
        <f t="shared" si="15"/>
        <v>0</v>
      </c>
      <c r="I141" s="11">
        <f t="shared" si="13"/>
        <v>0</v>
      </c>
      <c r="J141" s="11">
        <f t="shared" si="16"/>
        <v>-446000000</v>
      </c>
      <c r="K141" s="11">
        <f t="shared" si="17"/>
        <v>446000000</v>
      </c>
    </row>
    <row r="142" spans="1:13">
      <c r="A142" s="11" t="s">
        <v>834</v>
      </c>
      <c r="B142" s="18">
        <v>290893</v>
      </c>
      <c r="C142" s="18">
        <v>81022</v>
      </c>
      <c r="D142" s="18">
        <f t="shared" si="12"/>
        <v>209871</v>
      </c>
      <c r="E142" s="11" t="s">
        <v>839</v>
      </c>
      <c r="F142" s="11">
        <v>20</v>
      </c>
      <c r="G142" s="36">
        <f t="shared" si="14"/>
        <v>432</v>
      </c>
      <c r="H142" s="11">
        <f t="shared" si="15"/>
        <v>1</v>
      </c>
      <c r="I142" s="11">
        <f t="shared" si="13"/>
        <v>125374883</v>
      </c>
      <c r="J142" s="11">
        <f t="shared" si="16"/>
        <v>34920482</v>
      </c>
      <c r="K142" s="11">
        <f t="shared" si="17"/>
        <v>90454401</v>
      </c>
    </row>
    <row r="143" spans="1:13">
      <c r="A143" s="11" t="s">
        <v>862</v>
      </c>
      <c r="B143" s="18">
        <v>0</v>
      </c>
      <c r="C143" s="18">
        <v>-1000000</v>
      </c>
      <c r="D143" s="18">
        <f t="shared" si="12"/>
        <v>1000000</v>
      </c>
      <c r="E143" s="11" t="s">
        <v>866</v>
      </c>
      <c r="F143" s="11">
        <v>10</v>
      </c>
      <c r="G143" s="36">
        <f t="shared" si="14"/>
        <v>412</v>
      </c>
      <c r="H143" s="11">
        <f t="shared" si="15"/>
        <v>0</v>
      </c>
      <c r="I143" s="11">
        <f t="shared" si="13"/>
        <v>0</v>
      </c>
      <c r="J143" s="11">
        <f t="shared" si="16"/>
        <v>-412000000</v>
      </c>
      <c r="K143" s="11">
        <f t="shared" si="17"/>
        <v>412000000</v>
      </c>
      <c r="M143" t="s">
        <v>25</v>
      </c>
    </row>
    <row r="144" spans="1:13">
      <c r="A144" s="11" t="s">
        <v>870</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895</v>
      </c>
      <c r="B145" s="18">
        <v>-10000</v>
      </c>
      <c r="C145" s="18">
        <v>-5000</v>
      </c>
      <c r="D145" s="18">
        <f t="shared" si="12"/>
        <v>-5000</v>
      </c>
      <c r="E145" s="72" t="s">
        <v>901</v>
      </c>
      <c r="F145" s="11">
        <v>5</v>
      </c>
      <c r="G145" s="36">
        <f t="shared" si="14"/>
        <v>387</v>
      </c>
      <c r="H145" s="11">
        <f t="shared" si="15"/>
        <v>0</v>
      </c>
      <c r="I145" s="11">
        <f t="shared" si="13"/>
        <v>-3870000</v>
      </c>
      <c r="J145" s="11">
        <f t="shared" si="16"/>
        <v>-1935000</v>
      </c>
      <c r="K145" s="11">
        <f t="shared" si="17"/>
        <v>-1935000</v>
      </c>
    </row>
    <row r="146" spans="1:11">
      <c r="A146" s="11" t="s">
        <v>881</v>
      </c>
      <c r="B146" s="18">
        <v>-1000500</v>
      </c>
      <c r="C146" s="18">
        <v>-1000500</v>
      </c>
      <c r="D146" s="18">
        <f t="shared" si="12"/>
        <v>0</v>
      </c>
      <c r="E146" s="11" t="s">
        <v>882</v>
      </c>
      <c r="F146" s="11">
        <v>6</v>
      </c>
      <c r="G146" s="36">
        <f t="shared" si="14"/>
        <v>382</v>
      </c>
      <c r="H146" s="11">
        <f t="shared" si="15"/>
        <v>0</v>
      </c>
      <c r="I146" s="11">
        <f t="shared" si="13"/>
        <v>-382191000</v>
      </c>
      <c r="J146" s="11">
        <f t="shared" si="16"/>
        <v>-382191000</v>
      </c>
      <c r="K146" s="11">
        <f t="shared" si="17"/>
        <v>0</v>
      </c>
    </row>
    <row r="147" spans="1:11">
      <c r="A147" s="11" t="s">
        <v>917</v>
      </c>
      <c r="B147" s="18">
        <v>-27000000</v>
      </c>
      <c r="C147" s="18">
        <v>0</v>
      </c>
      <c r="D147" s="18">
        <f t="shared" si="12"/>
        <v>-27000000</v>
      </c>
      <c r="E147" s="11" t="s">
        <v>992</v>
      </c>
      <c r="F147" s="11">
        <v>3</v>
      </c>
      <c r="G147" s="36">
        <f t="shared" si="14"/>
        <v>376</v>
      </c>
      <c r="H147" s="11">
        <f t="shared" si="15"/>
        <v>0</v>
      </c>
      <c r="I147" s="11">
        <f t="shared" si="13"/>
        <v>-10152000000</v>
      </c>
      <c r="J147" s="11">
        <f t="shared" si="16"/>
        <v>0</v>
      </c>
      <c r="K147" s="11">
        <f t="shared" si="17"/>
        <v>-10152000000</v>
      </c>
    </row>
    <row r="148" spans="1:11">
      <c r="A148" s="11" t="s">
        <v>1017</v>
      </c>
      <c r="B148" s="18">
        <v>252436</v>
      </c>
      <c r="C148" s="18">
        <v>65510</v>
      </c>
      <c r="D148" s="18">
        <f t="shared" si="12"/>
        <v>186926</v>
      </c>
      <c r="E148" s="11" t="s">
        <v>1019</v>
      </c>
      <c r="F148" s="11">
        <v>8</v>
      </c>
      <c r="G148" s="36">
        <f t="shared" si="14"/>
        <v>373</v>
      </c>
      <c r="H148" s="11">
        <f t="shared" si="15"/>
        <v>1</v>
      </c>
      <c r="I148" s="11">
        <f t="shared" si="13"/>
        <v>93906192</v>
      </c>
      <c r="J148" s="11">
        <f t="shared" si="16"/>
        <v>24369720</v>
      </c>
      <c r="K148" s="11">
        <f t="shared" si="17"/>
        <v>69536472</v>
      </c>
    </row>
    <row r="149" spans="1:11">
      <c r="A149" s="11" t="s">
        <v>1056</v>
      </c>
      <c r="B149" s="18">
        <v>52400000</v>
      </c>
      <c r="C149" s="18">
        <v>0</v>
      </c>
      <c r="D149" s="18">
        <f t="shared" ref="D149:D370" si="18">B149-C149</f>
        <v>52400000</v>
      </c>
      <c r="E149" s="11" t="s">
        <v>1057</v>
      </c>
      <c r="F149" s="11">
        <v>7</v>
      </c>
      <c r="G149" s="36">
        <f t="shared" si="14"/>
        <v>365</v>
      </c>
      <c r="H149" s="11">
        <f t="shared" si="15"/>
        <v>1</v>
      </c>
      <c r="I149" s="11">
        <f t="shared" si="13"/>
        <v>19073600000</v>
      </c>
      <c r="J149" s="11">
        <f t="shared" si="16"/>
        <v>0</v>
      </c>
      <c r="K149" s="11">
        <f t="shared" si="17"/>
        <v>19073600000</v>
      </c>
    </row>
    <row r="150" spans="1:11">
      <c r="A150" s="11" t="s">
        <v>1060</v>
      </c>
      <c r="B150" s="18">
        <v>-52000000</v>
      </c>
      <c r="C150" s="18">
        <v>0</v>
      </c>
      <c r="D150" s="18">
        <f t="shared" si="18"/>
        <v>-52000000</v>
      </c>
      <c r="E150" s="11" t="s">
        <v>1062</v>
      </c>
      <c r="F150" s="11">
        <v>5</v>
      </c>
      <c r="G150" s="36">
        <f t="shared" si="14"/>
        <v>358</v>
      </c>
      <c r="H150" s="11">
        <f t="shared" si="15"/>
        <v>0</v>
      </c>
      <c r="I150" s="11">
        <f t="shared" si="13"/>
        <v>-18616000000</v>
      </c>
      <c r="J150" s="11">
        <f t="shared" si="16"/>
        <v>0</v>
      </c>
      <c r="K150" s="11">
        <f t="shared" si="17"/>
        <v>-18616000000</v>
      </c>
    </row>
    <row r="151" spans="1:11">
      <c r="A151" s="11" t="s">
        <v>1101</v>
      </c>
      <c r="B151" s="18">
        <v>-8000000</v>
      </c>
      <c r="C151" s="18">
        <v>-6772131</v>
      </c>
      <c r="D151" s="18">
        <f t="shared" si="18"/>
        <v>-1227869</v>
      </c>
      <c r="E151" s="11" t="s">
        <v>1091</v>
      </c>
      <c r="F151" s="11">
        <v>0</v>
      </c>
      <c r="G151" s="36">
        <f t="shared" si="14"/>
        <v>353</v>
      </c>
      <c r="H151" s="97">
        <f t="shared" si="15"/>
        <v>0</v>
      </c>
      <c r="I151" s="97">
        <f t="shared" si="13"/>
        <v>-2824000000</v>
      </c>
      <c r="J151" s="97">
        <f t="shared" si="16"/>
        <v>-2390562243</v>
      </c>
      <c r="K151" s="11">
        <f t="shared" si="17"/>
        <v>-433437757</v>
      </c>
    </row>
    <row r="152" spans="1:11">
      <c r="A152" s="11" t="s">
        <v>1101</v>
      </c>
      <c r="B152" s="18">
        <v>-31230</v>
      </c>
      <c r="C152" s="18">
        <v>0</v>
      </c>
      <c r="D152" s="18">
        <f t="shared" si="18"/>
        <v>-31230</v>
      </c>
      <c r="E152" s="11" t="s">
        <v>1102</v>
      </c>
      <c r="F152" s="11">
        <v>11</v>
      </c>
      <c r="G152" s="36">
        <f t="shared" si="14"/>
        <v>353</v>
      </c>
      <c r="H152" s="97">
        <f t="shared" si="15"/>
        <v>0</v>
      </c>
      <c r="I152" s="97">
        <f t="shared" si="13"/>
        <v>-11024190</v>
      </c>
      <c r="J152" s="97">
        <f t="shared" si="16"/>
        <v>0</v>
      </c>
      <c r="K152" s="97">
        <f t="shared" si="17"/>
        <v>-11024190</v>
      </c>
    </row>
    <row r="153" spans="1:11">
      <c r="A153" s="97" t="s">
        <v>1127</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1138</v>
      </c>
      <c r="B154" s="18">
        <v>6824082</v>
      </c>
      <c r="C154" s="18">
        <v>6824082</v>
      </c>
      <c r="D154" s="18">
        <f t="shared" si="18"/>
        <v>0</v>
      </c>
      <c r="E154" s="97" t="s">
        <v>1139</v>
      </c>
      <c r="F154" s="97">
        <v>5</v>
      </c>
      <c r="G154" s="36">
        <f t="shared" si="14"/>
        <v>339</v>
      </c>
      <c r="H154" s="97">
        <f t="shared" si="15"/>
        <v>1</v>
      </c>
      <c r="I154" s="97">
        <f t="shared" si="13"/>
        <v>2306539716</v>
      </c>
      <c r="J154" s="97">
        <f t="shared" si="16"/>
        <v>2306539716</v>
      </c>
      <c r="K154" s="97">
        <f t="shared" si="17"/>
        <v>0</v>
      </c>
    </row>
    <row r="155" spans="1:11">
      <c r="A155" s="97" t="s">
        <v>1157</v>
      </c>
      <c r="B155" s="18">
        <v>-200000</v>
      </c>
      <c r="C155" s="18">
        <v>0</v>
      </c>
      <c r="D155" s="18">
        <f t="shared" si="18"/>
        <v>-200000</v>
      </c>
      <c r="E155" s="97" t="s">
        <v>750</v>
      </c>
      <c r="F155" s="97">
        <v>0</v>
      </c>
      <c r="G155" s="36">
        <f t="shared" si="14"/>
        <v>334</v>
      </c>
      <c r="H155" s="97">
        <f t="shared" si="15"/>
        <v>0</v>
      </c>
      <c r="I155" s="97">
        <f t="shared" si="13"/>
        <v>-66800000</v>
      </c>
      <c r="J155" s="97">
        <f t="shared" si="16"/>
        <v>0</v>
      </c>
      <c r="K155" s="97">
        <f t="shared" si="17"/>
        <v>-66800000</v>
      </c>
    </row>
    <row r="156" spans="1:11">
      <c r="A156" s="97" t="s">
        <v>1157</v>
      </c>
      <c r="B156" s="18">
        <v>-247840</v>
      </c>
      <c r="C156" s="18">
        <v>0</v>
      </c>
      <c r="D156" s="18">
        <f t="shared" si="18"/>
        <v>-247840</v>
      </c>
      <c r="E156" s="97" t="s">
        <v>1159</v>
      </c>
      <c r="F156" s="97">
        <v>1</v>
      </c>
      <c r="G156" s="36">
        <f t="shared" si="14"/>
        <v>334</v>
      </c>
      <c r="H156" s="97">
        <f t="shared" si="15"/>
        <v>0</v>
      </c>
      <c r="I156" s="97">
        <f t="shared" si="13"/>
        <v>-82778560</v>
      </c>
      <c r="J156" s="97">
        <f t="shared" si="16"/>
        <v>0</v>
      </c>
      <c r="K156" s="97">
        <f t="shared" si="17"/>
        <v>-82778560</v>
      </c>
    </row>
    <row r="157" spans="1:11">
      <c r="A157" s="97" t="s">
        <v>1163</v>
      </c>
      <c r="B157" s="18">
        <v>-162340</v>
      </c>
      <c r="C157" s="18">
        <v>0</v>
      </c>
      <c r="D157" s="18">
        <f t="shared" si="18"/>
        <v>-162340</v>
      </c>
      <c r="E157" s="97" t="s">
        <v>1164</v>
      </c>
      <c r="F157" s="97">
        <v>0</v>
      </c>
      <c r="G157" s="36">
        <f t="shared" si="14"/>
        <v>333</v>
      </c>
      <c r="H157" s="97">
        <f t="shared" si="15"/>
        <v>0</v>
      </c>
      <c r="I157" s="97">
        <f t="shared" si="13"/>
        <v>-54059220</v>
      </c>
      <c r="J157" s="97">
        <f t="shared" si="16"/>
        <v>0</v>
      </c>
      <c r="K157" s="97">
        <f t="shared" si="17"/>
        <v>-54059220</v>
      </c>
    </row>
    <row r="158" spans="1:11">
      <c r="A158" s="97" t="s">
        <v>1163</v>
      </c>
      <c r="B158" s="18">
        <v>-3000900</v>
      </c>
      <c r="C158" s="18">
        <v>0</v>
      </c>
      <c r="D158" s="18">
        <f t="shared" si="18"/>
        <v>-3000900</v>
      </c>
      <c r="E158" s="97" t="s">
        <v>1165</v>
      </c>
      <c r="F158" s="97">
        <v>2</v>
      </c>
      <c r="G158" s="36">
        <f t="shared" si="14"/>
        <v>333</v>
      </c>
      <c r="H158" s="97">
        <f t="shared" si="15"/>
        <v>0</v>
      </c>
      <c r="I158" s="97">
        <f t="shared" si="13"/>
        <v>-999299700</v>
      </c>
      <c r="J158" s="97">
        <f t="shared" si="16"/>
        <v>0</v>
      </c>
      <c r="K158" s="97">
        <f t="shared" si="17"/>
        <v>-999299700</v>
      </c>
    </row>
    <row r="159" spans="1:11">
      <c r="A159" s="97" t="s">
        <v>1179</v>
      </c>
      <c r="B159" s="18">
        <v>-1000500</v>
      </c>
      <c r="C159" s="18">
        <v>0</v>
      </c>
      <c r="D159" s="18">
        <f t="shared" si="18"/>
        <v>-1000500</v>
      </c>
      <c r="E159" s="97" t="s">
        <v>1180</v>
      </c>
      <c r="F159" s="97">
        <v>4</v>
      </c>
      <c r="G159" s="36">
        <f t="shared" si="14"/>
        <v>331</v>
      </c>
      <c r="H159" s="97">
        <f t="shared" si="15"/>
        <v>0</v>
      </c>
      <c r="I159" s="97">
        <f t="shared" si="13"/>
        <v>-331165500</v>
      </c>
      <c r="J159" s="97">
        <f t="shared" si="16"/>
        <v>0</v>
      </c>
      <c r="K159" s="97">
        <f t="shared" si="17"/>
        <v>-331165500</v>
      </c>
    </row>
    <row r="160" spans="1:11">
      <c r="A160" s="97" t="s">
        <v>1191</v>
      </c>
      <c r="B160" s="18">
        <v>-100000</v>
      </c>
      <c r="C160" s="18">
        <v>0</v>
      </c>
      <c r="D160" s="18">
        <f t="shared" si="18"/>
        <v>-100000</v>
      </c>
      <c r="E160" s="97" t="s">
        <v>1192</v>
      </c>
      <c r="F160" s="97">
        <v>1</v>
      </c>
      <c r="G160" s="36">
        <f t="shared" si="14"/>
        <v>327</v>
      </c>
      <c r="H160" s="97">
        <f t="shared" si="15"/>
        <v>0</v>
      </c>
      <c r="I160" s="97">
        <f t="shared" si="13"/>
        <v>-32700000</v>
      </c>
      <c r="J160" s="97">
        <f t="shared" si="16"/>
        <v>0</v>
      </c>
      <c r="K160" s="97">
        <f t="shared" si="17"/>
        <v>-32700000</v>
      </c>
    </row>
    <row r="161" spans="1:13">
      <c r="A161" s="97" t="s">
        <v>1195</v>
      </c>
      <c r="B161" s="18">
        <v>-2000000</v>
      </c>
      <c r="C161" s="18">
        <v>0</v>
      </c>
      <c r="D161" s="18">
        <f t="shared" si="18"/>
        <v>-2000000</v>
      </c>
      <c r="E161" s="97" t="s">
        <v>1091</v>
      </c>
      <c r="F161" s="97">
        <v>0</v>
      </c>
      <c r="G161" s="36">
        <f t="shared" si="14"/>
        <v>326</v>
      </c>
      <c r="H161" s="97">
        <f t="shared" si="15"/>
        <v>0</v>
      </c>
      <c r="I161" s="97">
        <f t="shared" si="13"/>
        <v>-652000000</v>
      </c>
      <c r="J161" s="97">
        <f t="shared" si="16"/>
        <v>0</v>
      </c>
      <c r="K161" s="97">
        <f t="shared" si="17"/>
        <v>-652000000</v>
      </c>
    </row>
    <row r="162" spans="1:13">
      <c r="A162" s="97" t="s">
        <v>1195</v>
      </c>
      <c r="B162" s="18">
        <v>-1000500</v>
      </c>
      <c r="C162" s="18">
        <v>0</v>
      </c>
      <c r="D162" s="18">
        <f t="shared" si="18"/>
        <v>-1000500</v>
      </c>
      <c r="E162" s="97" t="s">
        <v>1202</v>
      </c>
      <c r="F162" s="97">
        <v>3</v>
      </c>
      <c r="G162" s="36">
        <f t="shared" si="14"/>
        <v>326</v>
      </c>
      <c r="H162" s="97">
        <f t="shared" si="15"/>
        <v>0</v>
      </c>
      <c r="I162" s="97">
        <f t="shared" si="13"/>
        <v>-326163000</v>
      </c>
      <c r="J162" s="97">
        <f t="shared" si="16"/>
        <v>0</v>
      </c>
      <c r="K162" s="97">
        <f t="shared" si="17"/>
        <v>-326163000</v>
      </c>
    </row>
    <row r="163" spans="1:13">
      <c r="A163" s="97" t="s">
        <v>1205</v>
      </c>
      <c r="B163" s="18">
        <v>-5000</v>
      </c>
      <c r="C163" s="18">
        <v>0</v>
      </c>
      <c r="D163" s="18">
        <f t="shared" si="18"/>
        <v>-5000</v>
      </c>
      <c r="E163" s="97" t="s">
        <v>1192</v>
      </c>
      <c r="F163" s="97">
        <v>10</v>
      </c>
      <c r="G163" s="36">
        <f t="shared" si="14"/>
        <v>323</v>
      </c>
      <c r="H163" s="97">
        <f t="shared" si="15"/>
        <v>0</v>
      </c>
      <c r="I163" s="97">
        <f t="shared" si="13"/>
        <v>-1615000</v>
      </c>
      <c r="J163" s="97">
        <f t="shared" si="16"/>
        <v>0</v>
      </c>
      <c r="K163" s="97">
        <f t="shared" si="17"/>
        <v>-1615000</v>
      </c>
    </row>
    <row r="164" spans="1:13">
      <c r="A164" s="97" t="s">
        <v>3648</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3652</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3654</v>
      </c>
      <c r="B166" s="18">
        <v>20314</v>
      </c>
      <c r="C166" s="18">
        <v>59842</v>
      </c>
      <c r="D166" s="18">
        <f t="shared" si="18"/>
        <v>-39528</v>
      </c>
      <c r="E166" s="97" t="s">
        <v>3657</v>
      </c>
      <c r="F166" s="97">
        <v>5</v>
      </c>
      <c r="G166" s="36">
        <f t="shared" si="14"/>
        <v>311</v>
      </c>
      <c r="H166" s="97">
        <f t="shared" si="15"/>
        <v>1</v>
      </c>
      <c r="I166" s="97">
        <f t="shared" si="13"/>
        <v>6297340</v>
      </c>
      <c r="J166" s="97">
        <f t="shared" si="16"/>
        <v>18551020</v>
      </c>
      <c r="K166" s="97">
        <f t="shared" si="17"/>
        <v>-12253680</v>
      </c>
    </row>
    <row r="167" spans="1:13">
      <c r="A167" s="97" t="s">
        <v>3677</v>
      </c>
      <c r="B167" s="18">
        <v>-3000900</v>
      </c>
      <c r="C167" s="18">
        <v>0</v>
      </c>
      <c r="D167" s="18">
        <f t="shared" si="18"/>
        <v>-3000900</v>
      </c>
      <c r="E167" s="97" t="s">
        <v>3678</v>
      </c>
      <c r="F167" s="97">
        <v>18</v>
      </c>
      <c r="G167" s="36">
        <f t="shared" si="14"/>
        <v>306</v>
      </c>
      <c r="H167" s="97">
        <f t="shared" si="15"/>
        <v>0</v>
      </c>
      <c r="I167" s="97">
        <f t="shared" si="13"/>
        <v>-918275400</v>
      </c>
      <c r="J167" s="97">
        <f t="shared" si="16"/>
        <v>0</v>
      </c>
      <c r="K167" s="97">
        <f t="shared" si="17"/>
        <v>-918275400</v>
      </c>
    </row>
    <row r="168" spans="1:13">
      <c r="A168" s="97" t="s">
        <v>3754</v>
      </c>
      <c r="B168" s="18">
        <v>-3000900</v>
      </c>
      <c r="C168" s="18">
        <v>0</v>
      </c>
      <c r="D168" s="18">
        <f t="shared" si="18"/>
        <v>-3000900</v>
      </c>
      <c r="E168" s="97" t="s">
        <v>3755</v>
      </c>
      <c r="F168" s="97">
        <v>8</v>
      </c>
      <c r="G168" s="36">
        <f t="shared" si="14"/>
        <v>288</v>
      </c>
      <c r="H168" s="97">
        <f t="shared" si="15"/>
        <v>0</v>
      </c>
      <c r="I168" s="97">
        <f t="shared" si="13"/>
        <v>-864259200</v>
      </c>
      <c r="J168" s="97">
        <f t="shared" si="16"/>
        <v>0</v>
      </c>
      <c r="K168" s="97">
        <f t="shared" si="17"/>
        <v>-864259200</v>
      </c>
      <c r="M168" t="s">
        <v>25</v>
      </c>
    </row>
    <row r="169" spans="1:13">
      <c r="A169" s="97" t="s">
        <v>3786</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3908</v>
      </c>
      <c r="B170" s="18">
        <v>5000000</v>
      </c>
      <c r="C170" s="18">
        <v>0</v>
      </c>
      <c r="D170" s="18">
        <f t="shared" si="18"/>
        <v>5000000</v>
      </c>
      <c r="E170" s="97" t="s">
        <v>3873</v>
      </c>
      <c r="F170" s="97">
        <v>1</v>
      </c>
      <c r="G170" s="36">
        <f t="shared" si="14"/>
        <v>256</v>
      </c>
      <c r="H170" s="97">
        <f t="shared" si="15"/>
        <v>1</v>
      </c>
      <c r="I170" s="97">
        <f t="shared" si="13"/>
        <v>1275000000</v>
      </c>
      <c r="J170" s="97">
        <f t="shared" si="16"/>
        <v>0</v>
      </c>
      <c r="K170" s="97">
        <f t="shared" si="17"/>
        <v>1275000000</v>
      </c>
    </row>
    <row r="171" spans="1:13">
      <c r="A171" s="97" t="s">
        <v>3913</v>
      </c>
      <c r="B171" s="18">
        <v>-5000000</v>
      </c>
      <c r="C171" s="18">
        <v>0</v>
      </c>
      <c r="D171" s="18">
        <f t="shared" si="18"/>
        <v>-5000000</v>
      </c>
      <c r="E171" s="97" t="s">
        <v>3914</v>
      </c>
      <c r="F171" s="97">
        <v>6</v>
      </c>
      <c r="G171" s="36">
        <f t="shared" si="14"/>
        <v>255</v>
      </c>
      <c r="H171" s="97">
        <f t="shared" si="15"/>
        <v>0</v>
      </c>
      <c r="I171" s="97">
        <f t="shared" si="13"/>
        <v>-1275000000</v>
      </c>
      <c r="J171" s="97">
        <f t="shared" si="16"/>
        <v>0</v>
      </c>
      <c r="K171" s="97">
        <f t="shared" si="17"/>
        <v>-1275000000</v>
      </c>
    </row>
    <row r="172" spans="1:13">
      <c r="A172" s="97" t="s">
        <v>3936</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3961</v>
      </c>
      <c r="B173" s="18">
        <v>785000</v>
      </c>
      <c r="C173" s="18">
        <v>0</v>
      </c>
      <c r="D173" s="18">
        <f t="shared" si="18"/>
        <v>785000</v>
      </c>
      <c r="E173" s="97" t="s">
        <v>3962</v>
      </c>
      <c r="F173" s="97">
        <v>11</v>
      </c>
      <c r="G173" s="36">
        <f t="shared" si="14"/>
        <v>248</v>
      </c>
      <c r="H173" s="97">
        <f t="shared" si="15"/>
        <v>1</v>
      </c>
      <c r="I173" s="97">
        <f t="shared" si="13"/>
        <v>193895000</v>
      </c>
      <c r="J173" s="97">
        <f t="shared" si="16"/>
        <v>0</v>
      </c>
      <c r="K173" s="97">
        <f t="shared" si="17"/>
        <v>193895000</v>
      </c>
    </row>
    <row r="174" spans="1:13">
      <c r="A174" s="11" t="s">
        <v>3961</v>
      </c>
      <c r="B174" s="18">
        <v>-32000</v>
      </c>
      <c r="C174" s="18">
        <v>0</v>
      </c>
      <c r="D174" s="18">
        <f t="shared" si="18"/>
        <v>-32000</v>
      </c>
      <c r="E174" s="11" t="s">
        <v>3944</v>
      </c>
      <c r="F174" s="11">
        <v>2</v>
      </c>
      <c r="G174" s="36">
        <f t="shared" si="14"/>
        <v>237</v>
      </c>
      <c r="H174" s="97">
        <f t="shared" si="15"/>
        <v>0</v>
      </c>
      <c r="I174" s="97">
        <f t="shared" si="13"/>
        <v>-7584000</v>
      </c>
      <c r="J174" s="97">
        <f t="shared" si="16"/>
        <v>0</v>
      </c>
      <c r="K174" s="97">
        <f t="shared" si="17"/>
        <v>-7584000</v>
      </c>
    </row>
    <row r="175" spans="1:13">
      <c r="A175" s="97" t="s">
        <v>3963</v>
      </c>
      <c r="B175" s="18">
        <v>-750000</v>
      </c>
      <c r="C175" s="18">
        <v>0</v>
      </c>
      <c r="D175" s="18">
        <f t="shared" si="18"/>
        <v>-750000</v>
      </c>
      <c r="E175" s="97" t="s">
        <v>3752</v>
      </c>
      <c r="F175" s="97">
        <v>9</v>
      </c>
      <c r="G175" s="36">
        <f t="shared" si="14"/>
        <v>235</v>
      </c>
      <c r="H175" s="97">
        <f t="shared" si="15"/>
        <v>0</v>
      </c>
      <c r="I175" s="97">
        <f t="shared" si="13"/>
        <v>-176250000</v>
      </c>
      <c r="J175" s="97">
        <f t="shared" si="16"/>
        <v>0</v>
      </c>
      <c r="K175" s="97">
        <f t="shared" si="17"/>
        <v>-176250000</v>
      </c>
    </row>
    <row r="176" spans="1:13">
      <c r="A176" s="97" t="s">
        <v>3995</v>
      </c>
      <c r="B176" s="18">
        <v>-9396</v>
      </c>
      <c r="C176" s="18">
        <v>0</v>
      </c>
      <c r="D176" s="18">
        <f t="shared" si="18"/>
        <v>-9396</v>
      </c>
      <c r="E176" s="97" t="s">
        <v>3996</v>
      </c>
      <c r="F176" s="97">
        <v>1</v>
      </c>
      <c r="G176" s="36">
        <f t="shared" si="14"/>
        <v>226</v>
      </c>
      <c r="H176" s="97">
        <f t="shared" si="15"/>
        <v>0</v>
      </c>
      <c r="I176" s="97">
        <f t="shared" si="13"/>
        <v>-2123496</v>
      </c>
      <c r="J176" s="97">
        <f t="shared" si="16"/>
        <v>0</v>
      </c>
      <c r="K176" s="97">
        <f t="shared" si="17"/>
        <v>-2123496</v>
      </c>
    </row>
    <row r="177" spans="1:14">
      <c r="A177" s="97" t="s">
        <v>3999</v>
      </c>
      <c r="B177" s="18">
        <v>-43300</v>
      </c>
      <c r="C177" s="18">
        <v>0</v>
      </c>
      <c r="D177" s="18">
        <f t="shared" si="18"/>
        <v>-43300</v>
      </c>
      <c r="E177" s="97" t="s">
        <v>4001</v>
      </c>
      <c r="F177" s="97">
        <v>3</v>
      </c>
      <c r="G177" s="36">
        <f t="shared" si="14"/>
        <v>225</v>
      </c>
      <c r="H177" s="97">
        <f t="shared" si="15"/>
        <v>0</v>
      </c>
      <c r="I177" s="97">
        <f t="shared" si="13"/>
        <v>-9742500</v>
      </c>
      <c r="J177" s="97">
        <f t="shared" si="16"/>
        <v>0</v>
      </c>
      <c r="K177" s="97">
        <f t="shared" si="17"/>
        <v>-9742500</v>
      </c>
    </row>
    <row r="178" spans="1:14">
      <c r="A178" s="97" t="s">
        <v>3669</v>
      </c>
      <c r="B178" s="18">
        <v>360000</v>
      </c>
      <c r="C178" s="18">
        <v>0</v>
      </c>
      <c r="D178" s="18">
        <f t="shared" si="18"/>
        <v>360000</v>
      </c>
      <c r="E178" s="97" t="s">
        <v>4012</v>
      </c>
      <c r="F178" s="97">
        <v>2</v>
      </c>
      <c r="G178" s="36">
        <f t="shared" si="14"/>
        <v>222</v>
      </c>
      <c r="H178" s="97">
        <f t="shared" si="15"/>
        <v>1</v>
      </c>
      <c r="I178" s="97">
        <f t="shared" si="13"/>
        <v>79560000</v>
      </c>
      <c r="J178" s="97">
        <f t="shared" si="16"/>
        <v>0</v>
      </c>
      <c r="K178" s="97">
        <f t="shared" si="17"/>
        <v>79560000</v>
      </c>
    </row>
    <row r="179" spans="1:14">
      <c r="A179" s="97" t="s">
        <v>4014</v>
      </c>
      <c r="B179" s="18">
        <v>3000000</v>
      </c>
      <c r="C179" s="18">
        <v>0</v>
      </c>
      <c r="D179" s="18">
        <f t="shared" si="18"/>
        <v>3000000</v>
      </c>
      <c r="E179" s="97" t="s">
        <v>4015</v>
      </c>
      <c r="F179" s="97">
        <v>0</v>
      </c>
      <c r="G179" s="36">
        <f t="shared" si="14"/>
        <v>220</v>
      </c>
      <c r="H179" s="97">
        <f t="shared" si="15"/>
        <v>1</v>
      </c>
      <c r="I179" s="97">
        <f t="shared" si="13"/>
        <v>657000000</v>
      </c>
      <c r="J179" s="97">
        <f t="shared" si="16"/>
        <v>0</v>
      </c>
      <c r="K179" s="97">
        <f t="shared" si="17"/>
        <v>657000000</v>
      </c>
    </row>
    <row r="180" spans="1:14">
      <c r="A180" s="97" t="s">
        <v>4014</v>
      </c>
      <c r="B180" s="18">
        <v>-12050</v>
      </c>
      <c r="C180" s="18">
        <v>0</v>
      </c>
      <c r="D180" s="18">
        <f t="shared" si="18"/>
        <v>-12050</v>
      </c>
      <c r="E180" s="97" t="s">
        <v>3996</v>
      </c>
      <c r="F180" s="97">
        <v>2</v>
      </c>
      <c r="G180" s="36">
        <f t="shared" si="14"/>
        <v>220</v>
      </c>
      <c r="H180" s="97">
        <f t="shared" si="15"/>
        <v>0</v>
      </c>
      <c r="I180" s="97">
        <f t="shared" si="13"/>
        <v>-2651000</v>
      </c>
      <c r="J180" s="97">
        <f t="shared" si="16"/>
        <v>0</v>
      </c>
      <c r="K180" s="97">
        <f t="shared" si="17"/>
        <v>-2651000</v>
      </c>
    </row>
    <row r="181" spans="1:14">
      <c r="A181" s="97" t="s">
        <v>4019</v>
      </c>
      <c r="B181" s="18">
        <v>3000000</v>
      </c>
      <c r="C181" s="18">
        <v>0</v>
      </c>
      <c r="D181" s="18">
        <f t="shared" si="18"/>
        <v>3000000</v>
      </c>
      <c r="E181" s="97" t="s">
        <v>4020</v>
      </c>
      <c r="F181" s="97">
        <v>2</v>
      </c>
      <c r="G181" s="36">
        <f t="shared" si="14"/>
        <v>218</v>
      </c>
      <c r="H181" s="97">
        <f t="shared" si="15"/>
        <v>1</v>
      </c>
      <c r="I181" s="97">
        <f t="shared" si="13"/>
        <v>651000000</v>
      </c>
      <c r="J181" s="97">
        <f t="shared" si="16"/>
        <v>0</v>
      </c>
      <c r="K181" s="97">
        <f t="shared" si="17"/>
        <v>651000000</v>
      </c>
    </row>
    <row r="182" spans="1:14">
      <c r="A182" s="97" t="s">
        <v>4027</v>
      </c>
      <c r="B182" s="18">
        <v>-35800</v>
      </c>
      <c r="C182" s="18">
        <v>0</v>
      </c>
      <c r="D182" s="18">
        <f t="shared" si="18"/>
        <v>-35800</v>
      </c>
      <c r="E182" s="97" t="s">
        <v>4028</v>
      </c>
      <c r="F182" s="97">
        <v>1</v>
      </c>
      <c r="G182" s="36">
        <f t="shared" si="14"/>
        <v>216</v>
      </c>
      <c r="H182" s="97">
        <f t="shared" si="15"/>
        <v>0</v>
      </c>
      <c r="I182" s="97">
        <f t="shared" si="13"/>
        <v>-7732800</v>
      </c>
      <c r="J182" s="97">
        <f t="shared" si="16"/>
        <v>0</v>
      </c>
      <c r="K182" s="97">
        <f t="shared" si="17"/>
        <v>-7732800</v>
      </c>
      <c r="N182" t="s">
        <v>25</v>
      </c>
    </row>
    <row r="183" spans="1:14">
      <c r="A183" s="97" t="s">
        <v>4026</v>
      </c>
      <c r="B183" s="18">
        <v>3600000</v>
      </c>
      <c r="C183" s="18">
        <v>0</v>
      </c>
      <c r="D183" s="18">
        <f t="shared" si="18"/>
        <v>3600000</v>
      </c>
      <c r="E183" s="97" t="s">
        <v>4029</v>
      </c>
      <c r="F183" s="97">
        <v>0</v>
      </c>
      <c r="G183" s="36">
        <f t="shared" si="14"/>
        <v>215</v>
      </c>
      <c r="H183" s="97">
        <f t="shared" si="15"/>
        <v>1</v>
      </c>
      <c r="I183" s="97">
        <f t="shared" si="13"/>
        <v>770400000</v>
      </c>
      <c r="J183" s="97">
        <f t="shared" si="16"/>
        <v>0</v>
      </c>
      <c r="K183" s="97">
        <f t="shared" si="17"/>
        <v>770400000</v>
      </c>
    </row>
    <row r="184" spans="1:14">
      <c r="A184" s="97" t="s">
        <v>4026</v>
      </c>
      <c r="B184" s="18">
        <v>-33377</v>
      </c>
      <c r="C184" s="18">
        <v>0</v>
      </c>
      <c r="D184" s="18">
        <f t="shared" si="18"/>
        <v>-33377</v>
      </c>
      <c r="E184" s="97" t="s">
        <v>4030</v>
      </c>
      <c r="F184" s="97">
        <v>3</v>
      </c>
      <c r="G184" s="36">
        <f t="shared" si="14"/>
        <v>215</v>
      </c>
      <c r="H184" s="97">
        <f t="shared" si="15"/>
        <v>0</v>
      </c>
      <c r="I184" s="97">
        <f t="shared" si="13"/>
        <v>-7176055</v>
      </c>
      <c r="J184" s="97">
        <f t="shared" si="16"/>
        <v>0</v>
      </c>
      <c r="K184" s="97">
        <f t="shared" si="17"/>
        <v>-7176055</v>
      </c>
    </row>
    <row r="185" spans="1:14">
      <c r="A185" s="97" t="s">
        <v>4049</v>
      </c>
      <c r="B185" s="18">
        <v>-9800000</v>
      </c>
      <c r="C185" s="18">
        <v>0</v>
      </c>
      <c r="D185" s="18">
        <f t="shared" si="18"/>
        <v>-9800000</v>
      </c>
      <c r="E185" s="97" t="s">
        <v>1199</v>
      </c>
      <c r="F185" s="97">
        <v>0</v>
      </c>
      <c r="G185" s="36">
        <f t="shared" si="14"/>
        <v>212</v>
      </c>
      <c r="H185" s="97">
        <f t="shared" si="15"/>
        <v>0</v>
      </c>
      <c r="I185" s="97">
        <f t="shared" si="13"/>
        <v>-2077600000</v>
      </c>
      <c r="J185" s="97">
        <f t="shared" si="16"/>
        <v>0</v>
      </c>
      <c r="K185" s="97">
        <f t="shared" si="17"/>
        <v>-2077600000</v>
      </c>
    </row>
    <row r="186" spans="1:14">
      <c r="A186" s="97" t="s">
        <v>4049</v>
      </c>
      <c r="B186" s="18">
        <v>18000000</v>
      </c>
      <c r="C186" s="18">
        <v>0</v>
      </c>
      <c r="D186" s="18">
        <f t="shared" si="18"/>
        <v>18000000</v>
      </c>
      <c r="E186" s="97" t="s">
        <v>4051</v>
      </c>
      <c r="F186" s="97">
        <v>0</v>
      </c>
      <c r="G186" s="36">
        <f t="shared" si="14"/>
        <v>212</v>
      </c>
      <c r="H186" s="97">
        <f t="shared" si="15"/>
        <v>1</v>
      </c>
      <c r="I186" s="97">
        <f t="shared" si="13"/>
        <v>3798000000</v>
      </c>
      <c r="J186" s="97">
        <f t="shared" si="16"/>
        <v>0</v>
      </c>
      <c r="K186" s="97">
        <f t="shared" si="17"/>
        <v>3798000000</v>
      </c>
    </row>
    <row r="187" spans="1:14">
      <c r="A187" s="97" t="s">
        <v>4049</v>
      </c>
      <c r="B187" s="18">
        <v>-9000000</v>
      </c>
      <c r="C187" s="18">
        <v>0</v>
      </c>
      <c r="D187" s="18">
        <f t="shared" si="18"/>
        <v>-9000000</v>
      </c>
      <c r="E187" s="97" t="s">
        <v>1199</v>
      </c>
      <c r="F187" s="97">
        <v>0</v>
      </c>
      <c r="G187" s="36">
        <f t="shared" si="14"/>
        <v>212</v>
      </c>
      <c r="H187" s="97">
        <f t="shared" si="15"/>
        <v>0</v>
      </c>
      <c r="I187" s="97">
        <f t="shared" si="13"/>
        <v>-1908000000</v>
      </c>
      <c r="J187" s="97">
        <f t="shared" si="16"/>
        <v>0</v>
      </c>
      <c r="K187" s="97">
        <f t="shared" si="17"/>
        <v>-1908000000</v>
      </c>
    </row>
    <row r="188" spans="1:14">
      <c r="A188" s="97" t="s">
        <v>4049</v>
      </c>
      <c r="B188" s="18">
        <v>-11600</v>
      </c>
      <c r="C188" s="18">
        <v>0</v>
      </c>
      <c r="D188" s="18">
        <f t="shared" si="18"/>
        <v>-11600</v>
      </c>
      <c r="E188" s="97" t="s">
        <v>3923</v>
      </c>
      <c r="F188" s="97">
        <v>0</v>
      </c>
      <c r="G188" s="36">
        <f t="shared" si="14"/>
        <v>212</v>
      </c>
      <c r="H188" s="97">
        <f t="shared" si="15"/>
        <v>0</v>
      </c>
      <c r="I188" s="97">
        <f t="shared" si="13"/>
        <v>-2459200</v>
      </c>
      <c r="J188" s="97">
        <f t="shared" si="16"/>
        <v>0</v>
      </c>
      <c r="K188" s="97">
        <f t="shared" si="17"/>
        <v>-2459200</v>
      </c>
    </row>
    <row r="189" spans="1:14">
      <c r="A189" s="97" t="s">
        <v>4049</v>
      </c>
      <c r="B189" s="18">
        <v>-3304327</v>
      </c>
      <c r="C189" s="18">
        <v>0</v>
      </c>
      <c r="D189" s="18">
        <f t="shared" si="18"/>
        <v>-3304327</v>
      </c>
      <c r="E189" s="97" t="s">
        <v>4052</v>
      </c>
      <c r="F189" s="97">
        <v>1</v>
      </c>
      <c r="G189" s="36">
        <f t="shared" si="14"/>
        <v>212</v>
      </c>
      <c r="H189" s="97">
        <f t="shared" si="15"/>
        <v>0</v>
      </c>
      <c r="I189" s="97">
        <f t="shared" si="13"/>
        <v>-700517324</v>
      </c>
      <c r="J189" s="97">
        <f t="shared" si="16"/>
        <v>0</v>
      </c>
      <c r="K189" s="97">
        <f t="shared" si="17"/>
        <v>-700517324</v>
      </c>
    </row>
    <row r="190" spans="1:14">
      <c r="A190" s="97" t="s">
        <v>4058</v>
      </c>
      <c r="B190" s="18">
        <v>-3000900</v>
      </c>
      <c r="C190" s="18">
        <v>0</v>
      </c>
      <c r="D190" s="18">
        <f t="shared" si="18"/>
        <v>-3000900</v>
      </c>
      <c r="E190" s="97" t="s">
        <v>4059</v>
      </c>
      <c r="F190" s="97">
        <v>1</v>
      </c>
      <c r="G190" s="36">
        <f t="shared" si="14"/>
        <v>211</v>
      </c>
      <c r="H190" s="97">
        <f t="shared" si="15"/>
        <v>0</v>
      </c>
      <c r="I190" s="97">
        <f t="shared" si="13"/>
        <v>-633189900</v>
      </c>
      <c r="J190" s="97">
        <f t="shared" si="16"/>
        <v>0</v>
      </c>
      <c r="K190" s="97">
        <f t="shared" si="17"/>
        <v>-633189900</v>
      </c>
    </row>
    <row r="191" spans="1:14">
      <c r="A191" s="97" t="s">
        <v>4062</v>
      </c>
      <c r="B191" s="18">
        <v>-2760900</v>
      </c>
      <c r="C191" s="18">
        <v>0</v>
      </c>
      <c r="D191" s="18">
        <f t="shared" si="18"/>
        <v>-2760900</v>
      </c>
      <c r="E191" s="97" t="s">
        <v>4063</v>
      </c>
      <c r="F191" s="97">
        <v>5</v>
      </c>
      <c r="G191" s="36">
        <f t="shared" si="14"/>
        <v>210</v>
      </c>
      <c r="H191" s="97">
        <f t="shared" si="15"/>
        <v>0</v>
      </c>
      <c r="I191" s="97">
        <f t="shared" si="13"/>
        <v>-579789000</v>
      </c>
      <c r="J191" s="97">
        <f t="shared" si="16"/>
        <v>0</v>
      </c>
      <c r="K191" s="97">
        <f t="shared" si="17"/>
        <v>-579789000</v>
      </c>
    </row>
    <row r="192" spans="1:14">
      <c r="A192" s="97" t="s">
        <v>4076</v>
      </c>
      <c r="B192" s="18">
        <v>1000000</v>
      </c>
      <c r="C192" s="18">
        <v>0</v>
      </c>
      <c r="D192" s="18">
        <f t="shared" si="18"/>
        <v>1000000</v>
      </c>
      <c r="E192" s="97" t="s">
        <v>4056</v>
      </c>
      <c r="F192" s="97">
        <v>1</v>
      </c>
      <c r="G192" s="36">
        <f t="shared" si="14"/>
        <v>205</v>
      </c>
      <c r="H192" s="97">
        <f t="shared" si="15"/>
        <v>1</v>
      </c>
      <c r="I192" s="97">
        <f t="shared" si="13"/>
        <v>204000000</v>
      </c>
      <c r="J192" s="97">
        <f t="shared" si="16"/>
        <v>0</v>
      </c>
      <c r="K192" s="97">
        <f t="shared" si="17"/>
        <v>204000000</v>
      </c>
    </row>
    <row r="193" spans="1:11">
      <c r="A193" s="97" t="s">
        <v>4091</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4088</v>
      </c>
      <c r="B194" s="18">
        <v>-990000</v>
      </c>
      <c r="C194" s="18">
        <v>0</v>
      </c>
      <c r="D194" s="18">
        <f t="shared" si="18"/>
        <v>-990000</v>
      </c>
      <c r="E194" s="97" t="s">
        <v>3752</v>
      </c>
      <c r="F194" s="97">
        <v>0</v>
      </c>
      <c r="G194" s="36">
        <f t="shared" si="14"/>
        <v>202</v>
      </c>
      <c r="H194" s="97">
        <f t="shared" si="15"/>
        <v>0</v>
      </c>
      <c r="I194" s="97">
        <f t="shared" si="13"/>
        <v>-199980000</v>
      </c>
      <c r="J194" s="97">
        <f t="shared" si="16"/>
        <v>0</v>
      </c>
      <c r="K194" s="97">
        <f t="shared" si="17"/>
        <v>-199980000</v>
      </c>
    </row>
    <row r="195" spans="1:11">
      <c r="A195" s="97" t="s">
        <v>4088</v>
      </c>
      <c r="B195" s="18">
        <v>783000</v>
      </c>
      <c r="C195" s="18">
        <v>0</v>
      </c>
      <c r="D195" s="18">
        <f t="shared" si="18"/>
        <v>783000</v>
      </c>
      <c r="E195" s="97" t="s">
        <v>4094</v>
      </c>
      <c r="F195" s="97">
        <v>2</v>
      </c>
      <c r="G195" s="36">
        <f t="shared" si="14"/>
        <v>202</v>
      </c>
      <c r="H195" s="97">
        <f t="shared" si="15"/>
        <v>1</v>
      </c>
      <c r="I195" s="97">
        <f t="shared" si="13"/>
        <v>157383000</v>
      </c>
      <c r="J195" s="97">
        <f t="shared" si="16"/>
        <v>0</v>
      </c>
      <c r="K195" s="97">
        <f t="shared" si="17"/>
        <v>157383000</v>
      </c>
    </row>
    <row r="196" spans="1:11">
      <c r="A196" s="97" t="s">
        <v>4097</v>
      </c>
      <c r="B196" s="18">
        <v>-750500</v>
      </c>
      <c r="C196" s="18">
        <v>0</v>
      </c>
      <c r="D196" s="18">
        <f t="shared" si="18"/>
        <v>-750500</v>
      </c>
      <c r="E196" s="97" t="s">
        <v>4098</v>
      </c>
      <c r="F196" s="97">
        <v>2</v>
      </c>
      <c r="G196" s="36">
        <f t="shared" si="14"/>
        <v>200</v>
      </c>
      <c r="H196" s="97">
        <f t="shared" si="15"/>
        <v>0</v>
      </c>
      <c r="I196" s="97">
        <f t="shared" si="13"/>
        <v>-150100000</v>
      </c>
      <c r="J196" s="97">
        <f t="shared" si="16"/>
        <v>0</v>
      </c>
      <c r="K196" s="97">
        <f t="shared" si="17"/>
        <v>-150100000</v>
      </c>
    </row>
    <row r="197" spans="1:11">
      <c r="A197" s="97" t="s">
        <v>4110</v>
      </c>
      <c r="B197" s="18">
        <v>700000</v>
      </c>
      <c r="C197" s="18">
        <v>0</v>
      </c>
      <c r="D197" s="18">
        <f t="shared" si="18"/>
        <v>700000</v>
      </c>
      <c r="E197" s="97" t="s">
        <v>3873</v>
      </c>
      <c r="F197" s="97">
        <v>0</v>
      </c>
      <c r="G197" s="36">
        <f t="shared" si="14"/>
        <v>198</v>
      </c>
      <c r="H197" s="97">
        <f t="shared" si="15"/>
        <v>1</v>
      </c>
      <c r="I197" s="97">
        <f t="shared" si="13"/>
        <v>137900000</v>
      </c>
      <c r="J197" s="97">
        <f t="shared" si="16"/>
        <v>0</v>
      </c>
      <c r="K197" s="97">
        <f t="shared" si="17"/>
        <v>137900000</v>
      </c>
    </row>
    <row r="198" spans="1:11">
      <c r="A198" s="97" t="s">
        <v>4110</v>
      </c>
      <c r="B198" s="18">
        <v>-99000</v>
      </c>
      <c r="C198" s="18">
        <v>0</v>
      </c>
      <c r="D198" s="18">
        <f t="shared" si="18"/>
        <v>-99000</v>
      </c>
      <c r="E198" s="97" t="s">
        <v>4112</v>
      </c>
      <c r="F198" s="97">
        <v>1</v>
      </c>
      <c r="G198" s="36">
        <f t="shared" si="14"/>
        <v>198</v>
      </c>
      <c r="H198" s="97">
        <f t="shared" si="15"/>
        <v>0</v>
      </c>
      <c r="I198" s="97">
        <f t="shared" si="13"/>
        <v>-19602000</v>
      </c>
      <c r="J198" s="97">
        <f t="shared" si="16"/>
        <v>0</v>
      </c>
      <c r="K198" s="97">
        <f t="shared" si="17"/>
        <v>-19602000</v>
      </c>
    </row>
    <row r="199" spans="1:11">
      <c r="A199" s="97" t="s">
        <v>4113</v>
      </c>
      <c r="B199" s="18">
        <v>-205750</v>
      </c>
      <c r="C199" s="18">
        <v>0</v>
      </c>
      <c r="D199" s="18">
        <f t="shared" si="18"/>
        <v>-205750</v>
      </c>
      <c r="E199" s="97" t="s">
        <v>4114</v>
      </c>
      <c r="F199" s="97">
        <v>0</v>
      </c>
      <c r="G199" s="36">
        <f t="shared" si="14"/>
        <v>197</v>
      </c>
      <c r="H199" s="97">
        <f t="shared" si="15"/>
        <v>0</v>
      </c>
      <c r="I199" s="97">
        <f t="shared" si="13"/>
        <v>-40532750</v>
      </c>
      <c r="J199" s="97">
        <f t="shared" si="16"/>
        <v>0</v>
      </c>
      <c r="K199" s="97">
        <f t="shared" si="17"/>
        <v>-40532750</v>
      </c>
    </row>
    <row r="200" spans="1:11">
      <c r="A200" s="97" t="s">
        <v>4113</v>
      </c>
      <c r="B200" s="18">
        <v>-95000</v>
      </c>
      <c r="C200" s="18">
        <v>0</v>
      </c>
      <c r="D200" s="18">
        <f t="shared" si="18"/>
        <v>-95000</v>
      </c>
      <c r="E200" s="97" t="s">
        <v>4115</v>
      </c>
      <c r="F200" s="97">
        <v>3</v>
      </c>
      <c r="G200" s="36">
        <f t="shared" si="14"/>
        <v>197</v>
      </c>
      <c r="H200" s="97">
        <f t="shared" si="15"/>
        <v>0</v>
      </c>
      <c r="I200" s="97">
        <f t="shared" si="13"/>
        <v>-18715000</v>
      </c>
      <c r="J200" s="97">
        <f t="shared" si="16"/>
        <v>0</v>
      </c>
      <c r="K200" s="97">
        <f t="shared" si="17"/>
        <v>-18715000</v>
      </c>
    </row>
    <row r="201" spans="1:11">
      <c r="A201" s="97" t="s">
        <v>4129</v>
      </c>
      <c r="B201" s="18">
        <v>48650000</v>
      </c>
      <c r="C201" s="18">
        <v>0</v>
      </c>
      <c r="D201" s="18">
        <f t="shared" si="18"/>
        <v>48650000</v>
      </c>
      <c r="E201" s="97" t="s">
        <v>4130</v>
      </c>
      <c r="F201" s="97">
        <v>0</v>
      </c>
      <c r="G201" s="36">
        <f t="shared" si="14"/>
        <v>194</v>
      </c>
      <c r="H201" s="97">
        <f t="shared" si="15"/>
        <v>1</v>
      </c>
      <c r="I201" s="97">
        <f t="shared" si="13"/>
        <v>9389450000</v>
      </c>
      <c r="J201" s="97">
        <f t="shared" si="16"/>
        <v>0</v>
      </c>
      <c r="K201" s="97">
        <f t="shared" si="17"/>
        <v>9389450000</v>
      </c>
    </row>
    <row r="202" spans="1:11">
      <c r="A202" s="97" t="s">
        <v>4129</v>
      </c>
      <c r="B202" s="18">
        <v>-3000900</v>
      </c>
      <c r="C202" s="18">
        <v>0</v>
      </c>
      <c r="D202" s="18">
        <f t="shared" si="18"/>
        <v>-3000900</v>
      </c>
      <c r="E202" s="97" t="s">
        <v>1202</v>
      </c>
      <c r="F202" s="97">
        <v>0</v>
      </c>
      <c r="G202" s="36">
        <f t="shared" si="14"/>
        <v>194</v>
      </c>
      <c r="H202" s="97">
        <f t="shared" si="15"/>
        <v>0</v>
      </c>
      <c r="I202" s="97">
        <f t="shared" si="13"/>
        <v>-582174600</v>
      </c>
      <c r="J202" s="97">
        <f t="shared" si="16"/>
        <v>0</v>
      </c>
      <c r="K202" s="97">
        <f t="shared" si="17"/>
        <v>-582174600</v>
      </c>
    </row>
    <row r="203" spans="1:11">
      <c r="A203" s="97" t="s">
        <v>4129</v>
      </c>
      <c r="B203" s="18">
        <v>-5000</v>
      </c>
      <c r="C203" s="18">
        <v>0</v>
      </c>
      <c r="D203" s="18">
        <f t="shared" si="18"/>
        <v>-5000</v>
      </c>
      <c r="E203" s="97" t="s">
        <v>4131</v>
      </c>
      <c r="F203" s="97">
        <v>0</v>
      </c>
      <c r="G203" s="36">
        <f t="shared" si="14"/>
        <v>194</v>
      </c>
      <c r="H203" s="97">
        <f t="shared" si="15"/>
        <v>0</v>
      </c>
      <c r="I203" s="97">
        <f t="shared" si="13"/>
        <v>-970000</v>
      </c>
      <c r="J203" s="97">
        <f t="shared" si="16"/>
        <v>0</v>
      </c>
      <c r="K203" s="97">
        <f t="shared" si="17"/>
        <v>-970000</v>
      </c>
    </row>
    <row r="204" spans="1:11">
      <c r="A204" s="97" t="s">
        <v>4129</v>
      </c>
      <c r="B204" s="18">
        <v>-33500000</v>
      </c>
      <c r="C204" s="18">
        <v>0</v>
      </c>
      <c r="D204" s="18">
        <f t="shared" si="18"/>
        <v>-33500000</v>
      </c>
      <c r="E204" s="97" t="s">
        <v>3752</v>
      </c>
      <c r="F204" s="97">
        <v>1</v>
      </c>
      <c r="G204" s="36">
        <f>G205+F204</f>
        <v>194</v>
      </c>
      <c r="H204" s="97">
        <f t="shared" si="15"/>
        <v>0</v>
      </c>
      <c r="I204" s="97">
        <f t="shared" si="13"/>
        <v>-6499000000</v>
      </c>
      <c r="J204" s="97">
        <f t="shared" si="16"/>
        <v>0</v>
      </c>
      <c r="K204" s="97">
        <f t="shared" si="17"/>
        <v>-6499000000</v>
      </c>
    </row>
    <row r="205" spans="1:11">
      <c r="A205" s="11" t="s">
        <v>4134</v>
      </c>
      <c r="B205" s="18">
        <v>-12435000</v>
      </c>
      <c r="C205" s="18">
        <v>0</v>
      </c>
      <c r="D205" s="18">
        <f t="shared" si="18"/>
        <v>-12435000</v>
      </c>
      <c r="E205" s="11" t="s">
        <v>3752</v>
      </c>
      <c r="F205" s="11">
        <v>3</v>
      </c>
      <c r="G205" s="36">
        <f t="shared" ref="G205:G216" si="19">G206+F205</f>
        <v>193</v>
      </c>
      <c r="H205" s="97">
        <f t="shared" si="15"/>
        <v>0</v>
      </c>
      <c r="I205" s="97">
        <f t="shared" si="13"/>
        <v>-2399955000</v>
      </c>
      <c r="J205" s="97">
        <f t="shared" si="16"/>
        <v>0</v>
      </c>
      <c r="K205" s="97">
        <f t="shared" si="17"/>
        <v>-2399955000</v>
      </c>
    </row>
    <row r="206" spans="1:11">
      <c r="A206" s="97" t="s">
        <v>4146</v>
      </c>
      <c r="B206" s="18">
        <v>-18500</v>
      </c>
      <c r="C206" s="18">
        <v>0</v>
      </c>
      <c r="D206" s="18">
        <f t="shared" si="18"/>
        <v>-18500</v>
      </c>
      <c r="E206" s="97" t="s">
        <v>4147</v>
      </c>
      <c r="F206" s="97">
        <v>2</v>
      </c>
      <c r="G206" s="36">
        <f t="shared" si="19"/>
        <v>190</v>
      </c>
      <c r="H206" s="97">
        <f t="shared" si="15"/>
        <v>0</v>
      </c>
      <c r="I206" s="97">
        <f t="shared" si="13"/>
        <v>-3515000</v>
      </c>
      <c r="J206" s="97">
        <f t="shared" si="16"/>
        <v>0</v>
      </c>
      <c r="K206" s="97">
        <f t="shared" si="17"/>
        <v>-3515000</v>
      </c>
    </row>
    <row r="207" spans="1:11">
      <c r="A207" s="97" t="s">
        <v>4143</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4149</v>
      </c>
      <c r="B208" s="18">
        <v>830000</v>
      </c>
      <c r="C208" s="18">
        <v>0</v>
      </c>
      <c r="D208" s="18">
        <f t="shared" si="18"/>
        <v>830000</v>
      </c>
      <c r="E208" s="97" t="s">
        <v>4150</v>
      </c>
      <c r="F208" s="97">
        <v>2</v>
      </c>
      <c r="G208" s="36">
        <f t="shared" si="19"/>
        <v>187</v>
      </c>
      <c r="H208" s="97">
        <f t="shared" si="15"/>
        <v>1</v>
      </c>
      <c r="I208" s="97">
        <f t="shared" si="13"/>
        <v>154380000</v>
      </c>
      <c r="J208" s="97">
        <f t="shared" si="20"/>
        <v>0</v>
      </c>
      <c r="K208" s="97">
        <f t="shared" si="17"/>
        <v>154380000</v>
      </c>
    </row>
    <row r="209" spans="1:13">
      <c r="A209" s="97" t="s">
        <v>4162</v>
      </c>
      <c r="B209" s="18">
        <v>-52440</v>
      </c>
      <c r="C209" s="18">
        <v>0</v>
      </c>
      <c r="D209" s="18">
        <f t="shared" si="18"/>
        <v>-52440</v>
      </c>
      <c r="E209" s="97" t="s">
        <v>4164</v>
      </c>
      <c r="F209" s="97">
        <v>1</v>
      </c>
      <c r="G209" s="36">
        <f t="shared" si="19"/>
        <v>185</v>
      </c>
      <c r="H209" s="97">
        <f t="shared" si="15"/>
        <v>0</v>
      </c>
      <c r="I209" s="97">
        <f t="shared" si="13"/>
        <v>-9701400</v>
      </c>
      <c r="J209" s="97">
        <f t="shared" si="20"/>
        <v>0</v>
      </c>
      <c r="K209" s="97">
        <f t="shared" si="17"/>
        <v>-9701400</v>
      </c>
    </row>
    <row r="210" spans="1:13">
      <c r="A210" s="97" t="s">
        <v>4165</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4166</v>
      </c>
      <c r="B211" s="18">
        <v>-200000</v>
      </c>
      <c r="C211" s="18">
        <v>0</v>
      </c>
      <c r="D211" s="18">
        <f t="shared" si="18"/>
        <v>-200000</v>
      </c>
      <c r="E211" s="97" t="s">
        <v>4167</v>
      </c>
      <c r="F211" s="97">
        <v>1</v>
      </c>
      <c r="G211" s="36">
        <f t="shared" si="19"/>
        <v>183</v>
      </c>
      <c r="H211" s="97">
        <f t="shared" si="15"/>
        <v>0</v>
      </c>
      <c r="I211" s="97">
        <f t="shared" si="13"/>
        <v>-36600000</v>
      </c>
      <c r="J211" s="97">
        <f t="shared" si="20"/>
        <v>0</v>
      </c>
      <c r="K211" s="97">
        <f t="shared" si="17"/>
        <v>-36600000</v>
      </c>
    </row>
    <row r="212" spans="1:13">
      <c r="A212" s="97" t="s">
        <v>4168</v>
      </c>
      <c r="B212" s="18">
        <v>-28000</v>
      </c>
      <c r="C212" s="18">
        <v>0</v>
      </c>
      <c r="D212" s="18">
        <f t="shared" si="18"/>
        <v>-28000</v>
      </c>
      <c r="E212" s="97" t="s">
        <v>1022</v>
      </c>
      <c r="F212" s="97">
        <v>1</v>
      </c>
      <c r="G212" s="36">
        <f t="shared" si="19"/>
        <v>182</v>
      </c>
      <c r="H212" s="97">
        <f t="shared" si="15"/>
        <v>0</v>
      </c>
      <c r="I212" s="97">
        <f t="shared" si="13"/>
        <v>-5096000</v>
      </c>
      <c r="J212" s="97">
        <f t="shared" si="20"/>
        <v>0</v>
      </c>
      <c r="K212" s="97">
        <f t="shared" si="17"/>
        <v>-5096000</v>
      </c>
    </row>
    <row r="213" spans="1:13">
      <c r="A213" s="97" t="s">
        <v>4169</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4169</v>
      </c>
      <c r="B214" s="18">
        <v>-30000</v>
      </c>
      <c r="C214" s="18">
        <v>0</v>
      </c>
      <c r="D214" s="18">
        <f t="shared" si="18"/>
        <v>-30000</v>
      </c>
      <c r="E214" s="97" t="s">
        <v>4170</v>
      </c>
      <c r="F214" s="97">
        <v>0</v>
      </c>
      <c r="G214" s="36">
        <f t="shared" si="19"/>
        <v>180</v>
      </c>
      <c r="H214" s="97">
        <f t="shared" si="15"/>
        <v>0</v>
      </c>
      <c r="I214" s="97">
        <f t="shared" si="13"/>
        <v>-5400000</v>
      </c>
      <c r="J214" s="97">
        <f t="shared" si="20"/>
        <v>0</v>
      </c>
      <c r="K214" s="97">
        <f t="shared" si="17"/>
        <v>-5400000</v>
      </c>
    </row>
    <row r="215" spans="1:13">
      <c r="A215" s="97" t="s">
        <v>4169</v>
      </c>
      <c r="B215" s="18">
        <v>-178000</v>
      </c>
      <c r="C215" s="18">
        <v>0</v>
      </c>
      <c r="D215" s="18">
        <f t="shared" si="18"/>
        <v>-178000</v>
      </c>
      <c r="E215" s="97" t="s">
        <v>4172</v>
      </c>
      <c r="F215" s="97">
        <v>1</v>
      </c>
      <c r="G215" s="36">
        <f t="shared" si="19"/>
        <v>180</v>
      </c>
      <c r="H215" s="97">
        <f t="shared" si="15"/>
        <v>0</v>
      </c>
      <c r="I215" s="97">
        <f t="shared" si="13"/>
        <v>-32040000</v>
      </c>
      <c r="J215" s="97">
        <f t="shared" si="20"/>
        <v>0</v>
      </c>
      <c r="K215" s="97">
        <f t="shared" si="17"/>
        <v>-32040000</v>
      </c>
    </row>
    <row r="216" spans="1:13">
      <c r="A216" s="97" t="s">
        <v>4174</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4142</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4178</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4183</v>
      </c>
      <c r="B219" s="18">
        <v>1548000</v>
      </c>
      <c r="C219" s="18">
        <v>0</v>
      </c>
      <c r="D219" s="18">
        <f t="shared" si="18"/>
        <v>1548000</v>
      </c>
      <c r="E219" s="97" t="s">
        <v>4213</v>
      </c>
      <c r="F219" s="97">
        <v>1</v>
      </c>
      <c r="G219" s="36">
        <f t="shared" si="21"/>
        <v>171</v>
      </c>
      <c r="H219" s="97">
        <f t="shared" si="15"/>
        <v>1</v>
      </c>
      <c r="I219" s="97">
        <f t="shared" si="13"/>
        <v>263160000</v>
      </c>
      <c r="J219" s="97">
        <f t="shared" si="20"/>
        <v>0</v>
      </c>
      <c r="K219" s="97">
        <f t="shared" si="17"/>
        <v>263160000</v>
      </c>
    </row>
    <row r="220" spans="1:13">
      <c r="A220" s="97" t="s">
        <v>4214</v>
      </c>
      <c r="B220" s="18">
        <v>-1400700</v>
      </c>
      <c r="C220" s="18">
        <v>0</v>
      </c>
      <c r="D220" s="18">
        <f t="shared" si="18"/>
        <v>-1400700</v>
      </c>
      <c r="E220" s="97" t="s">
        <v>4215</v>
      </c>
      <c r="F220" s="97">
        <v>0</v>
      </c>
      <c r="G220" s="36">
        <f t="shared" si="21"/>
        <v>170</v>
      </c>
      <c r="H220" s="97">
        <f t="shared" si="15"/>
        <v>0</v>
      </c>
      <c r="I220" s="97">
        <f t="shared" si="13"/>
        <v>-238119000</v>
      </c>
      <c r="J220" s="97">
        <f t="shared" si="20"/>
        <v>0</v>
      </c>
      <c r="K220" s="97">
        <f t="shared" si="17"/>
        <v>-238119000</v>
      </c>
    </row>
    <row r="221" spans="1:13">
      <c r="A221" s="97" t="s">
        <v>4214</v>
      </c>
      <c r="B221" s="18">
        <v>-10000</v>
      </c>
      <c r="C221" s="18">
        <v>0</v>
      </c>
      <c r="D221" s="18">
        <f t="shared" si="18"/>
        <v>-10000</v>
      </c>
      <c r="E221" s="97" t="s">
        <v>1116</v>
      </c>
      <c r="F221" s="97">
        <v>0</v>
      </c>
      <c r="G221" s="36">
        <f t="shared" si="21"/>
        <v>170</v>
      </c>
      <c r="H221" s="97">
        <f t="shared" si="15"/>
        <v>0</v>
      </c>
      <c r="I221" s="97">
        <f t="shared" si="13"/>
        <v>-1700000</v>
      </c>
      <c r="J221" s="97">
        <f t="shared" si="20"/>
        <v>0</v>
      </c>
      <c r="K221" s="97">
        <f t="shared" si="17"/>
        <v>-1700000</v>
      </c>
    </row>
    <row r="222" spans="1:13">
      <c r="A222" s="97" t="s">
        <v>4214</v>
      </c>
      <c r="B222" s="18">
        <v>-5000</v>
      </c>
      <c r="C222" s="18">
        <v>-2500</v>
      </c>
      <c r="D222" s="18">
        <f t="shared" si="18"/>
        <v>-2500</v>
      </c>
      <c r="E222" s="97" t="s">
        <v>4222</v>
      </c>
      <c r="F222" s="97">
        <v>6</v>
      </c>
      <c r="G222" s="36">
        <f t="shared" si="21"/>
        <v>170</v>
      </c>
      <c r="H222" s="97">
        <f t="shared" si="15"/>
        <v>0</v>
      </c>
      <c r="I222" s="97">
        <f t="shared" si="13"/>
        <v>-850000</v>
      </c>
      <c r="J222" s="97">
        <f t="shared" si="20"/>
        <v>-425000</v>
      </c>
      <c r="K222" s="97">
        <f t="shared" si="17"/>
        <v>-425000</v>
      </c>
    </row>
    <row r="223" spans="1:13">
      <c r="A223" s="97" t="s">
        <v>4231</v>
      </c>
      <c r="B223" s="18">
        <v>-190000</v>
      </c>
      <c r="C223" s="18">
        <v>0</v>
      </c>
      <c r="D223" s="18">
        <f t="shared" si="18"/>
        <v>-190000</v>
      </c>
      <c r="E223" s="97" t="s">
        <v>4232</v>
      </c>
      <c r="F223" s="97">
        <v>7</v>
      </c>
      <c r="G223" s="36">
        <f t="shared" si="21"/>
        <v>164</v>
      </c>
      <c r="H223" s="97">
        <f t="shared" si="15"/>
        <v>0</v>
      </c>
      <c r="I223" s="97">
        <f t="shared" si="13"/>
        <v>-31160000</v>
      </c>
      <c r="J223" s="97">
        <f t="shared" si="20"/>
        <v>0</v>
      </c>
      <c r="K223" s="97">
        <f t="shared" si="17"/>
        <v>-31160000</v>
      </c>
      <c r="M223" t="s">
        <v>25</v>
      </c>
    </row>
    <row r="224" spans="1:13">
      <c r="A224" s="97" t="s">
        <v>4258</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4276</v>
      </c>
      <c r="B225" s="18">
        <v>5000000</v>
      </c>
      <c r="C225" s="18">
        <v>0</v>
      </c>
      <c r="D225" s="18">
        <f t="shared" si="18"/>
        <v>5000000</v>
      </c>
      <c r="E225" s="97" t="s">
        <v>3873</v>
      </c>
      <c r="F225" s="97">
        <v>1</v>
      </c>
      <c r="G225" s="36">
        <f t="shared" si="21"/>
        <v>151</v>
      </c>
      <c r="H225" s="97">
        <f t="shared" si="15"/>
        <v>1</v>
      </c>
      <c r="I225" s="97">
        <f t="shared" si="13"/>
        <v>750000000</v>
      </c>
      <c r="J225" s="97">
        <f t="shared" si="20"/>
        <v>0</v>
      </c>
      <c r="K225" s="97">
        <f t="shared" si="17"/>
        <v>750000000</v>
      </c>
    </row>
    <row r="226" spans="1:13">
      <c r="A226" s="97" t="s">
        <v>4281</v>
      </c>
      <c r="B226" s="18">
        <v>-3200000</v>
      </c>
      <c r="C226" s="18">
        <v>0</v>
      </c>
      <c r="D226" s="18">
        <f t="shared" si="18"/>
        <v>-3200000</v>
      </c>
      <c r="E226" s="97" t="s">
        <v>4290</v>
      </c>
      <c r="F226" s="97">
        <v>0</v>
      </c>
      <c r="G226" s="36">
        <f t="shared" si="21"/>
        <v>150</v>
      </c>
      <c r="H226" s="97">
        <f t="shared" si="15"/>
        <v>0</v>
      </c>
      <c r="I226" s="97">
        <f t="shared" si="13"/>
        <v>-480000000</v>
      </c>
      <c r="J226" s="97">
        <f t="shared" si="20"/>
        <v>0</v>
      </c>
      <c r="K226" s="97">
        <f t="shared" si="17"/>
        <v>-480000000</v>
      </c>
    </row>
    <row r="227" spans="1:13">
      <c r="A227" s="97" t="s">
        <v>4281</v>
      </c>
      <c r="B227" s="18">
        <v>2400000</v>
      </c>
      <c r="C227" s="18">
        <v>0</v>
      </c>
      <c r="D227" s="18">
        <f t="shared" si="18"/>
        <v>2400000</v>
      </c>
      <c r="E227" s="97" t="s">
        <v>3873</v>
      </c>
      <c r="F227" s="97">
        <v>2</v>
      </c>
      <c r="G227" s="36">
        <f t="shared" si="21"/>
        <v>150</v>
      </c>
      <c r="H227" s="97">
        <f t="shared" si="15"/>
        <v>1</v>
      </c>
      <c r="I227" s="97">
        <f t="shared" si="13"/>
        <v>357600000</v>
      </c>
      <c r="J227" s="97">
        <f t="shared" si="20"/>
        <v>0</v>
      </c>
      <c r="K227" s="97">
        <f t="shared" si="17"/>
        <v>357600000</v>
      </c>
    </row>
    <row r="228" spans="1:13">
      <c r="A228" s="97" t="s">
        <v>4305</v>
      </c>
      <c r="B228" s="18">
        <v>-50000</v>
      </c>
      <c r="C228" s="18">
        <v>0</v>
      </c>
      <c r="D228" s="18">
        <f t="shared" si="18"/>
        <v>-50000</v>
      </c>
      <c r="E228" s="97" t="s">
        <v>4309</v>
      </c>
      <c r="F228" s="97">
        <v>1</v>
      </c>
      <c r="G228" s="36">
        <f t="shared" si="21"/>
        <v>148</v>
      </c>
      <c r="H228" s="97">
        <f t="shared" si="15"/>
        <v>0</v>
      </c>
      <c r="I228" s="97">
        <f t="shared" si="13"/>
        <v>-7400000</v>
      </c>
      <c r="J228" s="97">
        <f t="shared" si="20"/>
        <v>0</v>
      </c>
      <c r="K228" s="97">
        <f t="shared" si="17"/>
        <v>-7400000</v>
      </c>
    </row>
    <row r="229" spans="1:13">
      <c r="A229" s="97" t="s">
        <v>4299</v>
      </c>
      <c r="B229" s="18">
        <v>-4100700</v>
      </c>
      <c r="C229" s="18">
        <v>0</v>
      </c>
      <c r="D229" s="18">
        <f t="shared" si="18"/>
        <v>-4100700</v>
      </c>
      <c r="E229" s="97" t="s">
        <v>4310</v>
      </c>
      <c r="F229" s="97">
        <v>4</v>
      </c>
      <c r="G229" s="36">
        <f t="shared" si="21"/>
        <v>147</v>
      </c>
      <c r="H229" s="97">
        <f t="shared" si="15"/>
        <v>0</v>
      </c>
      <c r="I229" s="97">
        <f t="shared" si="13"/>
        <v>-602802900</v>
      </c>
      <c r="J229" s="97">
        <f t="shared" si="20"/>
        <v>0</v>
      </c>
      <c r="K229" s="97">
        <f t="shared" si="17"/>
        <v>-602802900</v>
      </c>
    </row>
    <row r="230" spans="1:13">
      <c r="A230" s="97" t="s">
        <v>4313</v>
      </c>
      <c r="B230" s="18">
        <v>9700000</v>
      </c>
      <c r="C230" s="18">
        <v>0</v>
      </c>
      <c r="D230" s="18">
        <f t="shared" si="18"/>
        <v>9700000</v>
      </c>
      <c r="E230" s="97" t="s">
        <v>3873</v>
      </c>
      <c r="F230" s="97">
        <v>0</v>
      </c>
      <c r="G230" s="36">
        <f t="shared" si="21"/>
        <v>143</v>
      </c>
      <c r="H230" s="97">
        <f t="shared" si="15"/>
        <v>1</v>
      </c>
      <c r="I230" s="97">
        <f t="shared" si="13"/>
        <v>1377400000</v>
      </c>
      <c r="J230" s="97">
        <f t="shared" si="20"/>
        <v>0</v>
      </c>
      <c r="K230" s="97">
        <f t="shared" si="17"/>
        <v>1377400000</v>
      </c>
    </row>
    <row r="231" spans="1:13">
      <c r="A231" s="97" t="s">
        <v>4313</v>
      </c>
      <c r="B231" s="18">
        <v>-3000900</v>
      </c>
      <c r="C231" s="18">
        <v>0</v>
      </c>
      <c r="D231" s="18">
        <f t="shared" si="18"/>
        <v>-3000900</v>
      </c>
      <c r="E231" s="97" t="s">
        <v>4321</v>
      </c>
      <c r="F231" s="97">
        <v>1</v>
      </c>
      <c r="G231" s="36">
        <f t="shared" si="21"/>
        <v>143</v>
      </c>
      <c r="H231" s="97">
        <f t="shared" si="15"/>
        <v>0</v>
      </c>
      <c r="I231" s="97">
        <f t="shared" si="13"/>
        <v>-429128700</v>
      </c>
      <c r="J231" s="97">
        <f t="shared" si="20"/>
        <v>0</v>
      </c>
      <c r="K231" s="97">
        <f t="shared" si="17"/>
        <v>-429128700</v>
      </c>
    </row>
    <row r="232" spans="1:13">
      <c r="A232" s="97" t="s">
        <v>4314</v>
      </c>
      <c r="B232" s="18">
        <v>-3000900</v>
      </c>
      <c r="C232" s="18">
        <v>0</v>
      </c>
      <c r="D232" s="18">
        <f t="shared" si="18"/>
        <v>-3000900</v>
      </c>
      <c r="E232" s="97" t="s">
        <v>4321</v>
      </c>
      <c r="F232" s="97">
        <v>0</v>
      </c>
      <c r="G232" s="36">
        <f t="shared" si="21"/>
        <v>142</v>
      </c>
      <c r="H232" s="97">
        <f t="shared" si="15"/>
        <v>0</v>
      </c>
      <c r="I232" s="97">
        <f t="shared" si="13"/>
        <v>-426127800</v>
      </c>
      <c r="J232" s="97">
        <f t="shared" si="20"/>
        <v>0</v>
      </c>
      <c r="K232" s="97">
        <f t="shared" si="17"/>
        <v>-426127800</v>
      </c>
    </row>
    <row r="233" spans="1:13">
      <c r="A233" s="97" t="s">
        <v>4314</v>
      </c>
      <c r="B233" s="18">
        <v>-555000</v>
      </c>
      <c r="C233" s="18">
        <v>0</v>
      </c>
      <c r="D233" s="18">
        <f t="shared" si="18"/>
        <v>-555000</v>
      </c>
      <c r="E233" s="97" t="s">
        <v>4232</v>
      </c>
      <c r="F233" s="97">
        <v>1</v>
      </c>
      <c r="G233" s="36">
        <f t="shared" si="21"/>
        <v>142</v>
      </c>
      <c r="H233" s="97">
        <f t="shared" si="15"/>
        <v>0</v>
      </c>
      <c r="I233" s="97">
        <f t="shared" si="13"/>
        <v>-78810000</v>
      </c>
      <c r="J233" s="97">
        <f t="shared" si="20"/>
        <v>0</v>
      </c>
      <c r="K233" s="97">
        <f t="shared" si="17"/>
        <v>-78810000</v>
      </c>
    </row>
    <row r="234" spans="1:13">
      <c r="A234" s="97" t="s">
        <v>4333</v>
      </c>
      <c r="B234" s="18">
        <v>-138360</v>
      </c>
      <c r="C234" s="18">
        <v>0</v>
      </c>
      <c r="D234" s="18">
        <f t="shared" si="18"/>
        <v>-138360</v>
      </c>
      <c r="E234" s="97" t="s">
        <v>4335</v>
      </c>
      <c r="F234" s="97">
        <v>1</v>
      </c>
      <c r="G234" s="36">
        <f t="shared" si="21"/>
        <v>141</v>
      </c>
      <c r="H234" s="97">
        <f t="shared" si="15"/>
        <v>0</v>
      </c>
      <c r="I234" s="97">
        <f t="shared" si="13"/>
        <v>-19508760</v>
      </c>
      <c r="J234" s="97">
        <f t="shared" si="20"/>
        <v>0</v>
      </c>
      <c r="K234" s="97">
        <f t="shared" si="17"/>
        <v>-19508760</v>
      </c>
    </row>
    <row r="235" spans="1:13">
      <c r="A235" s="97" t="s">
        <v>4336</v>
      </c>
      <c r="B235" s="18">
        <v>-3000900</v>
      </c>
      <c r="C235" s="18">
        <v>0</v>
      </c>
      <c r="D235" s="18">
        <f t="shared" si="18"/>
        <v>-3000900</v>
      </c>
      <c r="E235" s="97" t="s">
        <v>4321</v>
      </c>
      <c r="F235" s="97">
        <v>2</v>
      </c>
      <c r="G235" s="36">
        <f t="shared" si="21"/>
        <v>140</v>
      </c>
      <c r="H235" s="97">
        <f t="shared" si="15"/>
        <v>0</v>
      </c>
      <c r="I235" s="97">
        <f t="shared" si="13"/>
        <v>-420126000</v>
      </c>
      <c r="J235" s="97">
        <f t="shared" si="20"/>
        <v>0</v>
      </c>
      <c r="K235" s="97">
        <f t="shared" si="17"/>
        <v>-420126000</v>
      </c>
      <c r="M235" t="s">
        <v>25</v>
      </c>
    </row>
    <row r="236" spans="1:13">
      <c r="A236" s="97" t="s">
        <v>4342</v>
      </c>
      <c r="B236" s="18">
        <v>-55000</v>
      </c>
      <c r="C236" s="18">
        <v>0</v>
      </c>
      <c r="D236" s="18">
        <f t="shared" si="18"/>
        <v>-55000</v>
      </c>
      <c r="E236" s="97" t="s">
        <v>4131</v>
      </c>
      <c r="F236" s="97">
        <v>4</v>
      </c>
      <c r="G236" s="36">
        <f t="shared" si="21"/>
        <v>138</v>
      </c>
      <c r="H236" s="97">
        <f t="shared" si="15"/>
        <v>0</v>
      </c>
      <c r="I236" s="97">
        <f t="shared" si="13"/>
        <v>-7590000</v>
      </c>
      <c r="J236" s="97">
        <f t="shared" si="20"/>
        <v>0</v>
      </c>
      <c r="K236" s="97">
        <f t="shared" si="17"/>
        <v>-7590000</v>
      </c>
    </row>
    <row r="237" spans="1:13">
      <c r="A237" s="97" t="s">
        <v>4356</v>
      </c>
      <c r="B237" s="18">
        <v>6035000</v>
      </c>
      <c r="C237" s="18">
        <v>0</v>
      </c>
      <c r="D237" s="18">
        <f t="shared" si="18"/>
        <v>6035000</v>
      </c>
      <c r="E237" s="97" t="s">
        <v>3873</v>
      </c>
      <c r="F237" s="97">
        <v>2</v>
      </c>
      <c r="G237" s="36">
        <f t="shared" si="21"/>
        <v>134</v>
      </c>
      <c r="H237" s="97">
        <f t="shared" si="15"/>
        <v>1</v>
      </c>
      <c r="I237" s="97">
        <f t="shared" si="13"/>
        <v>802655000</v>
      </c>
      <c r="J237" s="97">
        <f t="shared" si="20"/>
        <v>0</v>
      </c>
      <c r="K237" s="97">
        <f t="shared" si="17"/>
        <v>802655000</v>
      </c>
    </row>
    <row r="238" spans="1:13">
      <c r="A238" s="97" t="s">
        <v>4361</v>
      </c>
      <c r="B238" s="18">
        <v>-7500</v>
      </c>
      <c r="C238" s="18">
        <v>0</v>
      </c>
      <c r="D238" s="18">
        <f t="shared" si="18"/>
        <v>-7500</v>
      </c>
      <c r="E238" s="97" t="s">
        <v>4362</v>
      </c>
      <c r="F238" s="97">
        <v>1</v>
      </c>
      <c r="G238" s="36">
        <f t="shared" si="21"/>
        <v>132</v>
      </c>
      <c r="H238" s="97">
        <f t="shared" si="15"/>
        <v>0</v>
      </c>
      <c r="I238" s="97">
        <f t="shared" si="13"/>
        <v>-990000</v>
      </c>
      <c r="J238" s="97">
        <f t="shared" si="20"/>
        <v>0</v>
      </c>
      <c r="K238" s="97">
        <f t="shared" si="17"/>
        <v>-990000</v>
      </c>
    </row>
    <row r="239" spans="1:13">
      <c r="A239" s="97" t="s">
        <v>4363</v>
      </c>
      <c r="B239" s="18">
        <v>-4098523</v>
      </c>
      <c r="C239" s="18">
        <v>0</v>
      </c>
      <c r="D239" s="18">
        <f t="shared" si="18"/>
        <v>-4098523</v>
      </c>
      <c r="E239" s="97" t="s">
        <v>4364</v>
      </c>
      <c r="F239" s="97">
        <v>0</v>
      </c>
      <c r="G239" s="36">
        <f t="shared" si="21"/>
        <v>131</v>
      </c>
      <c r="H239" s="97">
        <f t="shared" si="15"/>
        <v>0</v>
      </c>
      <c r="I239" s="97">
        <f t="shared" si="13"/>
        <v>-536906513</v>
      </c>
      <c r="J239" s="97">
        <f t="shared" si="20"/>
        <v>0</v>
      </c>
      <c r="K239" s="97">
        <f t="shared" si="17"/>
        <v>-536906513</v>
      </c>
    </row>
    <row r="240" spans="1:13">
      <c r="A240" s="97" t="s">
        <v>4365</v>
      </c>
      <c r="B240" s="18">
        <v>-33225</v>
      </c>
      <c r="C240" s="18">
        <v>0</v>
      </c>
      <c r="D240" s="18">
        <f t="shared" si="18"/>
        <v>-33225</v>
      </c>
      <c r="E240" s="97" t="s">
        <v>4232</v>
      </c>
      <c r="F240" s="97">
        <v>0</v>
      </c>
      <c r="G240" s="36">
        <f t="shared" si="21"/>
        <v>131</v>
      </c>
      <c r="H240" s="97">
        <f t="shared" si="15"/>
        <v>0</v>
      </c>
      <c r="I240" s="97">
        <f t="shared" si="13"/>
        <v>-4352475</v>
      </c>
      <c r="J240" s="97">
        <f t="shared" si="20"/>
        <v>0</v>
      </c>
      <c r="K240" s="97">
        <f t="shared" si="17"/>
        <v>-4352475</v>
      </c>
    </row>
    <row r="241" spans="1:13">
      <c r="A241" s="97" t="s">
        <v>4365</v>
      </c>
      <c r="B241" s="18">
        <v>-1895000</v>
      </c>
      <c r="C241" s="18">
        <v>0</v>
      </c>
      <c r="D241" s="18">
        <f t="shared" si="18"/>
        <v>-1895000</v>
      </c>
      <c r="E241" s="97" t="s">
        <v>3752</v>
      </c>
      <c r="F241" s="97">
        <v>7</v>
      </c>
      <c r="G241" s="36">
        <f t="shared" si="21"/>
        <v>131</v>
      </c>
      <c r="H241" s="97">
        <f t="shared" si="15"/>
        <v>0</v>
      </c>
      <c r="I241" s="97">
        <f t="shared" si="13"/>
        <v>-248245000</v>
      </c>
      <c r="J241" s="97">
        <f t="shared" si="20"/>
        <v>0</v>
      </c>
      <c r="K241" s="97">
        <f t="shared" si="17"/>
        <v>-248245000</v>
      </c>
    </row>
    <row r="242" spans="1:13">
      <c r="A242" s="97" t="s">
        <v>4394</v>
      </c>
      <c r="B242" s="18">
        <v>2500000</v>
      </c>
      <c r="C242" s="18">
        <v>0</v>
      </c>
      <c r="D242" s="18">
        <f t="shared" si="18"/>
        <v>2500000</v>
      </c>
      <c r="E242" s="97" t="s">
        <v>3873</v>
      </c>
      <c r="F242" s="97">
        <v>2</v>
      </c>
      <c r="G242" s="36">
        <f t="shared" si="21"/>
        <v>124</v>
      </c>
      <c r="H242" s="97">
        <f t="shared" si="15"/>
        <v>1</v>
      </c>
      <c r="I242" s="97">
        <f t="shared" si="13"/>
        <v>307500000</v>
      </c>
      <c r="J242" s="97">
        <f t="shared" si="20"/>
        <v>0</v>
      </c>
      <c r="K242" s="97">
        <f t="shared" si="17"/>
        <v>307500000</v>
      </c>
    </row>
    <row r="243" spans="1:13">
      <c r="A243" s="97" t="s">
        <v>4396</v>
      </c>
      <c r="B243" s="18">
        <v>-2500000</v>
      </c>
      <c r="C243" s="18">
        <v>0</v>
      </c>
      <c r="D243" s="18">
        <f t="shared" si="18"/>
        <v>-2500000</v>
      </c>
      <c r="E243" s="97" t="s">
        <v>3752</v>
      </c>
      <c r="F243" s="97">
        <v>2</v>
      </c>
      <c r="G243" s="36">
        <f t="shared" si="21"/>
        <v>122</v>
      </c>
      <c r="H243" s="97">
        <f t="shared" si="15"/>
        <v>0</v>
      </c>
      <c r="I243" s="97">
        <f t="shared" si="13"/>
        <v>-305000000</v>
      </c>
      <c r="J243" s="97">
        <f t="shared" si="20"/>
        <v>0</v>
      </c>
      <c r="K243" s="97">
        <f t="shared" si="17"/>
        <v>-305000000</v>
      </c>
    </row>
    <row r="244" spans="1:13">
      <c r="A244" s="97" t="s">
        <v>4400</v>
      </c>
      <c r="B244" s="18">
        <v>1100000</v>
      </c>
      <c r="C244" s="18">
        <v>0</v>
      </c>
      <c r="D244" s="18">
        <f t="shared" si="18"/>
        <v>1100000</v>
      </c>
      <c r="E244" s="97" t="s">
        <v>3873</v>
      </c>
      <c r="F244" s="97">
        <v>2</v>
      </c>
      <c r="G244" s="36">
        <f t="shared" si="21"/>
        <v>120</v>
      </c>
      <c r="H244" s="97">
        <f t="shared" si="15"/>
        <v>1</v>
      </c>
      <c r="I244" s="97">
        <f t="shared" si="13"/>
        <v>130900000</v>
      </c>
      <c r="J244" s="97">
        <f t="shared" si="20"/>
        <v>0</v>
      </c>
      <c r="K244" s="97">
        <f t="shared" si="17"/>
        <v>130900000</v>
      </c>
    </row>
    <row r="245" spans="1:13">
      <c r="A245" s="97" t="s">
        <v>4402</v>
      </c>
      <c r="B245" s="18">
        <v>3000000</v>
      </c>
      <c r="C245" s="18">
        <v>0</v>
      </c>
      <c r="D245" s="18">
        <f t="shared" si="18"/>
        <v>3000000</v>
      </c>
      <c r="E245" s="97" t="s">
        <v>4404</v>
      </c>
      <c r="F245" s="97">
        <v>2</v>
      </c>
      <c r="G245" s="36">
        <f t="shared" si="21"/>
        <v>118</v>
      </c>
      <c r="H245" s="97">
        <f t="shared" si="15"/>
        <v>1</v>
      </c>
      <c r="I245" s="97">
        <f t="shared" si="13"/>
        <v>351000000</v>
      </c>
      <c r="J245" s="97">
        <f t="shared" si="20"/>
        <v>0</v>
      </c>
      <c r="K245" s="97">
        <f t="shared" si="17"/>
        <v>351000000</v>
      </c>
    </row>
    <row r="246" spans="1:13">
      <c r="A246" s="97" t="s">
        <v>4399</v>
      </c>
      <c r="B246" s="18">
        <v>-4040700</v>
      </c>
      <c r="C246" s="18">
        <v>0</v>
      </c>
      <c r="D246" s="18">
        <f t="shared" si="18"/>
        <v>-4040700</v>
      </c>
      <c r="E246" s="97" t="s">
        <v>4426</v>
      </c>
      <c r="F246" s="97">
        <v>0</v>
      </c>
      <c r="G246" s="36">
        <f t="shared" si="21"/>
        <v>116</v>
      </c>
      <c r="H246" s="97">
        <f t="shared" si="15"/>
        <v>0</v>
      </c>
      <c r="I246" s="97">
        <f t="shared" si="13"/>
        <v>-468721200</v>
      </c>
      <c r="J246" s="97">
        <f t="shared" si="20"/>
        <v>0</v>
      </c>
      <c r="K246" s="97">
        <f t="shared" si="17"/>
        <v>-468721200</v>
      </c>
    </row>
    <row r="247" spans="1:13">
      <c r="A247" s="97" t="s">
        <v>4399</v>
      </c>
      <c r="B247" s="18">
        <v>490000</v>
      </c>
      <c r="C247" s="18">
        <v>0</v>
      </c>
      <c r="D247" s="18">
        <f t="shared" si="18"/>
        <v>490000</v>
      </c>
      <c r="E247" s="97" t="s">
        <v>3873</v>
      </c>
      <c r="F247" s="97">
        <v>1</v>
      </c>
      <c r="G247" s="36">
        <f t="shared" si="21"/>
        <v>116</v>
      </c>
      <c r="H247" s="97">
        <f t="shared" si="15"/>
        <v>1</v>
      </c>
      <c r="I247" s="97">
        <f t="shared" si="13"/>
        <v>56350000</v>
      </c>
      <c r="J247" s="97">
        <f t="shared" si="20"/>
        <v>0</v>
      </c>
      <c r="K247" s="97">
        <f t="shared" si="17"/>
        <v>56350000</v>
      </c>
    </row>
    <row r="248" spans="1:13">
      <c r="A248" s="97" t="s">
        <v>4429</v>
      </c>
      <c r="B248" s="18">
        <v>1400000</v>
      </c>
      <c r="C248" s="18">
        <v>0</v>
      </c>
      <c r="D248" s="18">
        <f t="shared" si="18"/>
        <v>1400000</v>
      </c>
      <c r="E248" s="97" t="s">
        <v>3873</v>
      </c>
      <c r="F248" s="97">
        <v>0</v>
      </c>
      <c r="G248" s="36">
        <f t="shared" si="21"/>
        <v>115</v>
      </c>
      <c r="H248" s="97">
        <f t="shared" si="15"/>
        <v>1</v>
      </c>
      <c r="I248" s="97">
        <f t="shared" si="13"/>
        <v>159600000</v>
      </c>
      <c r="J248" s="97">
        <f t="shared" si="20"/>
        <v>0</v>
      </c>
      <c r="K248" s="97">
        <f t="shared" si="17"/>
        <v>159600000</v>
      </c>
      <c r="M248" t="s">
        <v>25</v>
      </c>
    </row>
    <row r="249" spans="1:13">
      <c r="A249" s="97" t="s">
        <v>4429</v>
      </c>
      <c r="B249" s="18">
        <v>-1500000</v>
      </c>
      <c r="C249" s="18">
        <v>0</v>
      </c>
      <c r="D249" s="18">
        <f t="shared" si="18"/>
        <v>-1500000</v>
      </c>
      <c r="E249" s="97" t="s">
        <v>3752</v>
      </c>
      <c r="F249" s="97">
        <v>1</v>
      </c>
      <c r="G249" s="36">
        <f t="shared" si="21"/>
        <v>115</v>
      </c>
      <c r="H249" s="97">
        <f t="shared" si="15"/>
        <v>0</v>
      </c>
      <c r="I249" s="97">
        <f t="shared" si="13"/>
        <v>-172500000</v>
      </c>
      <c r="J249" s="97">
        <f t="shared" si="20"/>
        <v>0</v>
      </c>
      <c r="K249" s="97">
        <f t="shared" si="17"/>
        <v>-172500000</v>
      </c>
    </row>
    <row r="250" spans="1:13">
      <c r="A250" s="97" t="s">
        <v>4435</v>
      </c>
      <c r="B250" s="18">
        <v>-100000</v>
      </c>
      <c r="C250" s="18">
        <v>0</v>
      </c>
      <c r="D250" s="18">
        <f t="shared" si="18"/>
        <v>-100000</v>
      </c>
      <c r="E250" s="97" t="s">
        <v>3752</v>
      </c>
      <c r="F250" s="97">
        <v>1</v>
      </c>
      <c r="G250" s="36">
        <f t="shared" si="21"/>
        <v>114</v>
      </c>
      <c r="H250" s="97">
        <f t="shared" si="15"/>
        <v>0</v>
      </c>
      <c r="I250" s="97">
        <f t="shared" si="13"/>
        <v>-11400000</v>
      </c>
      <c r="J250" s="97">
        <f t="shared" si="20"/>
        <v>0</v>
      </c>
      <c r="K250" s="97">
        <f t="shared" si="17"/>
        <v>-11400000</v>
      </c>
    </row>
    <row r="251" spans="1:13">
      <c r="A251" s="97" t="s">
        <v>4205</v>
      </c>
      <c r="B251" s="18">
        <v>-13900</v>
      </c>
      <c r="C251" s="18">
        <v>0</v>
      </c>
      <c r="D251" s="18">
        <f t="shared" si="18"/>
        <v>-13900</v>
      </c>
      <c r="E251" s="97" t="s">
        <v>3996</v>
      </c>
      <c r="F251" s="97">
        <v>0</v>
      </c>
      <c r="G251" s="36">
        <f t="shared" si="21"/>
        <v>113</v>
      </c>
      <c r="H251" s="97">
        <f t="shared" si="15"/>
        <v>0</v>
      </c>
      <c r="I251" s="97">
        <f t="shared" si="13"/>
        <v>-1570700</v>
      </c>
      <c r="J251" s="97">
        <f t="shared" si="20"/>
        <v>0</v>
      </c>
      <c r="K251" s="97">
        <f t="shared" si="17"/>
        <v>-1570700</v>
      </c>
    </row>
    <row r="252" spans="1:13">
      <c r="A252" s="97" t="s">
        <v>4205</v>
      </c>
      <c r="B252" s="18">
        <v>300000</v>
      </c>
      <c r="C252" s="18">
        <v>0</v>
      </c>
      <c r="D252" s="18">
        <f t="shared" si="18"/>
        <v>300000</v>
      </c>
      <c r="E252" s="97" t="s">
        <v>3873</v>
      </c>
      <c r="F252" s="97">
        <v>2</v>
      </c>
      <c r="G252" s="36">
        <f t="shared" si="21"/>
        <v>113</v>
      </c>
      <c r="H252" s="97">
        <f t="shared" si="15"/>
        <v>1</v>
      </c>
      <c r="I252" s="97">
        <f t="shared" si="13"/>
        <v>33600000</v>
      </c>
      <c r="J252" s="97">
        <f t="shared" si="20"/>
        <v>0</v>
      </c>
      <c r="K252" s="97">
        <f t="shared" si="17"/>
        <v>33600000</v>
      </c>
    </row>
    <row r="253" spans="1:13">
      <c r="A253" s="97" t="s">
        <v>4442</v>
      </c>
      <c r="B253" s="18">
        <v>12000000</v>
      </c>
      <c r="C253" s="18">
        <v>0</v>
      </c>
      <c r="D253" s="18">
        <f t="shared" si="18"/>
        <v>12000000</v>
      </c>
      <c r="E253" s="97" t="s">
        <v>4443</v>
      </c>
      <c r="F253" s="97">
        <v>1</v>
      </c>
      <c r="G253" s="36">
        <f t="shared" si="21"/>
        <v>111</v>
      </c>
      <c r="H253" s="97">
        <f t="shared" si="15"/>
        <v>1</v>
      </c>
      <c r="I253" s="97">
        <f t="shared" si="13"/>
        <v>1320000000</v>
      </c>
      <c r="J253" s="97">
        <f t="shared" si="20"/>
        <v>0</v>
      </c>
      <c r="K253" s="97">
        <f t="shared" si="17"/>
        <v>1320000000</v>
      </c>
    </row>
    <row r="254" spans="1:13">
      <c r="A254" s="97" t="s">
        <v>4444</v>
      </c>
      <c r="B254" s="18">
        <v>3000000</v>
      </c>
      <c r="C254" s="18">
        <v>0</v>
      </c>
      <c r="D254" s="18">
        <f t="shared" si="18"/>
        <v>3000000</v>
      </c>
      <c r="E254" s="97" t="s">
        <v>3873</v>
      </c>
      <c r="F254" s="97">
        <v>1</v>
      </c>
      <c r="G254" s="36">
        <f t="shared" si="21"/>
        <v>110</v>
      </c>
      <c r="H254" s="97">
        <f t="shared" si="15"/>
        <v>1</v>
      </c>
      <c r="I254" s="97">
        <f t="shared" si="13"/>
        <v>327000000</v>
      </c>
      <c r="J254" s="97">
        <f t="shared" si="20"/>
        <v>0</v>
      </c>
      <c r="K254" s="97">
        <f t="shared" si="17"/>
        <v>327000000</v>
      </c>
    </row>
    <row r="255" spans="1:13">
      <c r="A255" s="97" t="s">
        <v>4446</v>
      </c>
      <c r="B255" s="18">
        <v>-14000000</v>
      </c>
      <c r="C255" s="18">
        <v>0</v>
      </c>
      <c r="D255" s="18">
        <f t="shared" si="18"/>
        <v>-14000000</v>
      </c>
      <c r="E255" s="97" t="s">
        <v>3752</v>
      </c>
      <c r="F255" s="97">
        <v>1</v>
      </c>
      <c r="G255" s="36">
        <f t="shared" si="21"/>
        <v>109</v>
      </c>
      <c r="H255" s="97">
        <f t="shared" si="15"/>
        <v>0</v>
      </c>
      <c r="I255" s="97">
        <f t="shared" si="13"/>
        <v>-1526000000</v>
      </c>
      <c r="J255" s="97">
        <f t="shared" si="20"/>
        <v>0</v>
      </c>
      <c r="K255" s="97">
        <f t="shared" si="17"/>
        <v>-1526000000</v>
      </c>
    </row>
    <row r="256" spans="1:13">
      <c r="A256" s="97" t="s">
        <v>4447</v>
      </c>
      <c r="B256" s="18">
        <v>-124969</v>
      </c>
      <c r="C256" s="18">
        <v>0</v>
      </c>
      <c r="D256" s="18">
        <f t="shared" si="18"/>
        <v>-124969</v>
      </c>
      <c r="E256" s="97" t="s">
        <v>3996</v>
      </c>
      <c r="F256" s="97">
        <v>0</v>
      </c>
      <c r="G256" s="36">
        <f t="shared" si="21"/>
        <v>108</v>
      </c>
      <c r="H256" s="97">
        <f t="shared" si="15"/>
        <v>0</v>
      </c>
      <c r="I256" s="97">
        <f t="shared" si="13"/>
        <v>-13496652</v>
      </c>
      <c r="J256" s="97">
        <f t="shared" si="20"/>
        <v>0</v>
      </c>
      <c r="K256" s="97">
        <f t="shared" si="17"/>
        <v>-13496652</v>
      </c>
    </row>
    <row r="257" spans="1:13">
      <c r="A257" s="97" t="s">
        <v>4447</v>
      </c>
      <c r="B257" s="18">
        <v>0</v>
      </c>
      <c r="C257" s="39">
        <v>-7968789</v>
      </c>
      <c r="D257" s="39">
        <f t="shared" si="18"/>
        <v>7968789</v>
      </c>
      <c r="E257" s="97" t="s">
        <v>4448</v>
      </c>
      <c r="F257" s="97">
        <v>1</v>
      </c>
      <c r="G257" s="36">
        <f t="shared" si="21"/>
        <v>108</v>
      </c>
      <c r="H257" s="97">
        <f t="shared" si="15"/>
        <v>0</v>
      </c>
      <c r="I257" s="97">
        <f t="shared" si="13"/>
        <v>0</v>
      </c>
      <c r="J257" s="97">
        <f t="shared" si="20"/>
        <v>-860629212</v>
      </c>
      <c r="K257" s="97">
        <f t="shared" si="17"/>
        <v>860629212</v>
      </c>
    </row>
    <row r="258" spans="1:13">
      <c r="A258" s="97" t="s">
        <v>4450</v>
      </c>
      <c r="B258" s="18">
        <v>-1313000</v>
      </c>
      <c r="C258" s="18">
        <v>0</v>
      </c>
      <c r="D258" s="18">
        <f t="shared" si="18"/>
        <v>-1313000</v>
      </c>
      <c r="E258" s="97" t="s">
        <v>3752</v>
      </c>
      <c r="F258" s="97">
        <v>3</v>
      </c>
      <c r="G258" s="36">
        <f t="shared" si="21"/>
        <v>107</v>
      </c>
      <c r="H258" s="97">
        <f t="shared" si="15"/>
        <v>0</v>
      </c>
      <c r="I258" s="97">
        <f t="shared" si="13"/>
        <v>-140491000</v>
      </c>
      <c r="J258" s="97">
        <f t="shared" si="20"/>
        <v>0</v>
      </c>
      <c r="K258" s="97">
        <f t="shared" si="17"/>
        <v>-140491000</v>
      </c>
    </row>
    <row r="259" spans="1:13">
      <c r="A259" s="97" t="s">
        <v>4454</v>
      </c>
      <c r="B259" s="18">
        <v>2000000</v>
      </c>
      <c r="C259" s="18">
        <v>0</v>
      </c>
      <c r="D259" s="18">
        <f t="shared" si="18"/>
        <v>2000000</v>
      </c>
      <c r="E259" s="97" t="s">
        <v>3873</v>
      </c>
      <c r="F259" s="97">
        <v>1</v>
      </c>
      <c r="G259" s="36">
        <f t="shared" si="21"/>
        <v>104</v>
      </c>
      <c r="H259" s="97">
        <f t="shared" si="15"/>
        <v>1</v>
      </c>
      <c r="I259" s="97">
        <f t="shared" si="13"/>
        <v>206000000</v>
      </c>
      <c r="J259" s="97">
        <f t="shared" si="20"/>
        <v>0</v>
      </c>
      <c r="K259" s="97">
        <f t="shared" si="17"/>
        <v>206000000</v>
      </c>
      <c r="M259" t="s">
        <v>25</v>
      </c>
    </row>
    <row r="260" spans="1:13">
      <c r="A260" s="97" t="s">
        <v>4455</v>
      </c>
      <c r="B260" s="18">
        <v>-1900000</v>
      </c>
      <c r="C260" s="18">
        <v>0</v>
      </c>
      <c r="D260" s="18">
        <f t="shared" si="18"/>
        <v>-1900000</v>
      </c>
      <c r="E260" s="97" t="s">
        <v>3752</v>
      </c>
      <c r="F260" s="97">
        <v>0</v>
      </c>
      <c r="G260" s="36">
        <f t="shared" si="21"/>
        <v>103</v>
      </c>
      <c r="H260" s="97">
        <f t="shared" si="15"/>
        <v>0</v>
      </c>
      <c r="I260" s="97">
        <f t="shared" si="13"/>
        <v>-195700000</v>
      </c>
      <c r="J260" s="97">
        <f t="shared" si="20"/>
        <v>0</v>
      </c>
      <c r="K260" s="97">
        <f t="shared" si="17"/>
        <v>-195700000</v>
      </c>
    </row>
    <row r="261" spans="1:13">
      <c r="A261" s="97" t="s">
        <v>4455</v>
      </c>
      <c r="B261" s="18">
        <v>-100500</v>
      </c>
      <c r="C261" s="18">
        <v>0</v>
      </c>
      <c r="D261" s="18">
        <f t="shared" si="18"/>
        <v>-100500</v>
      </c>
      <c r="E261" s="97" t="s">
        <v>4457</v>
      </c>
      <c r="F261" s="97">
        <v>0</v>
      </c>
      <c r="G261" s="36">
        <f t="shared" si="21"/>
        <v>103</v>
      </c>
      <c r="H261" s="97">
        <f t="shared" si="15"/>
        <v>0</v>
      </c>
      <c r="I261" s="97">
        <f t="shared" si="13"/>
        <v>-10351500</v>
      </c>
      <c r="J261" s="97">
        <f t="shared" si="20"/>
        <v>0</v>
      </c>
      <c r="K261" s="97">
        <f t="shared" si="17"/>
        <v>-10351500</v>
      </c>
    </row>
    <row r="262" spans="1:13">
      <c r="A262" s="97" t="s">
        <v>4455</v>
      </c>
      <c r="B262" s="18">
        <v>-68670</v>
      </c>
      <c r="C262" s="18">
        <v>0</v>
      </c>
      <c r="D262" s="18">
        <f t="shared" si="18"/>
        <v>-68670</v>
      </c>
      <c r="E262" s="97" t="s">
        <v>4461</v>
      </c>
      <c r="F262" s="97">
        <v>1</v>
      </c>
      <c r="G262" s="36">
        <f t="shared" si="21"/>
        <v>103</v>
      </c>
      <c r="H262" s="97">
        <f t="shared" si="15"/>
        <v>0</v>
      </c>
      <c r="I262" s="97">
        <f t="shared" si="13"/>
        <v>-7073010</v>
      </c>
      <c r="J262" s="97">
        <f t="shared" si="20"/>
        <v>0</v>
      </c>
      <c r="K262" s="97">
        <f t="shared" si="17"/>
        <v>-7073010</v>
      </c>
    </row>
    <row r="263" spans="1:13">
      <c r="A263" s="97" t="s">
        <v>4458</v>
      </c>
      <c r="B263" s="18">
        <v>-118600</v>
      </c>
      <c r="C263" s="18">
        <v>0</v>
      </c>
      <c r="D263" s="18">
        <f t="shared" si="18"/>
        <v>-118600</v>
      </c>
      <c r="E263" s="97" t="s">
        <v>4364</v>
      </c>
      <c r="F263" s="97">
        <v>2</v>
      </c>
      <c r="G263" s="36">
        <f t="shared" si="21"/>
        <v>102</v>
      </c>
      <c r="H263" s="97">
        <f t="shared" si="15"/>
        <v>0</v>
      </c>
      <c r="I263" s="97">
        <f t="shared" si="13"/>
        <v>-12097200</v>
      </c>
      <c r="J263" s="97">
        <f t="shared" si="20"/>
        <v>0</v>
      </c>
      <c r="K263" s="97">
        <f t="shared" si="17"/>
        <v>-12097200</v>
      </c>
      <c r="L263" t="s">
        <v>25</v>
      </c>
    </row>
    <row r="264" spans="1:13">
      <c r="A264" s="97" t="s">
        <v>4468</v>
      </c>
      <c r="B264" s="18">
        <v>6779000</v>
      </c>
      <c r="C264" s="18">
        <v>0</v>
      </c>
      <c r="D264" s="18">
        <f t="shared" si="18"/>
        <v>6779000</v>
      </c>
      <c r="E264" s="97" t="s">
        <v>3873</v>
      </c>
      <c r="F264" s="97">
        <v>0</v>
      </c>
      <c r="G264" s="36">
        <f t="shared" si="21"/>
        <v>100</v>
      </c>
      <c r="H264" s="97">
        <f t="shared" si="15"/>
        <v>1</v>
      </c>
      <c r="I264" s="97">
        <f t="shared" si="13"/>
        <v>671121000</v>
      </c>
      <c r="J264" s="97">
        <f t="shared" si="20"/>
        <v>0</v>
      </c>
      <c r="K264" s="97">
        <f t="shared" si="17"/>
        <v>671121000</v>
      </c>
    </row>
    <row r="265" spans="1:13">
      <c r="A265" s="97" t="s">
        <v>4468</v>
      </c>
      <c r="B265" s="18">
        <v>-6400000</v>
      </c>
      <c r="C265" s="18">
        <v>0</v>
      </c>
      <c r="D265" s="18">
        <f t="shared" si="18"/>
        <v>-6400000</v>
      </c>
      <c r="E265" s="97" t="s">
        <v>3752</v>
      </c>
      <c r="F265" s="97">
        <v>0</v>
      </c>
      <c r="G265" s="36">
        <f t="shared" si="21"/>
        <v>100</v>
      </c>
      <c r="H265" s="97">
        <f t="shared" si="15"/>
        <v>0</v>
      </c>
      <c r="I265" s="97">
        <f t="shared" si="13"/>
        <v>-640000000</v>
      </c>
      <c r="J265" s="97">
        <f t="shared" si="20"/>
        <v>0</v>
      </c>
      <c r="K265" s="97">
        <f t="shared" si="17"/>
        <v>-640000000</v>
      </c>
    </row>
    <row r="266" spans="1:13">
      <c r="A266" s="97" t="s">
        <v>4468</v>
      </c>
      <c r="B266" s="18">
        <v>-389000</v>
      </c>
      <c r="C266" s="18">
        <v>0</v>
      </c>
      <c r="D266" s="18">
        <f t="shared" si="18"/>
        <v>-389000</v>
      </c>
      <c r="E266" s="97" t="s">
        <v>4471</v>
      </c>
      <c r="F266" s="97">
        <v>4</v>
      </c>
      <c r="G266" s="36">
        <f t="shared" si="21"/>
        <v>100</v>
      </c>
      <c r="H266" s="97">
        <f t="shared" si="15"/>
        <v>0</v>
      </c>
      <c r="I266" s="97">
        <f t="shared" si="13"/>
        <v>-38900000</v>
      </c>
      <c r="J266" s="97">
        <f t="shared" si="20"/>
        <v>0</v>
      </c>
      <c r="K266" s="97">
        <f t="shared" si="17"/>
        <v>-38900000</v>
      </c>
      <c r="M266" t="s">
        <v>25</v>
      </c>
    </row>
    <row r="267" spans="1:13">
      <c r="A267" s="97" t="s">
        <v>4490</v>
      </c>
      <c r="B267" s="18">
        <v>220000</v>
      </c>
      <c r="C267" s="18">
        <v>0</v>
      </c>
      <c r="D267" s="18">
        <f t="shared" si="18"/>
        <v>220000</v>
      </c>
      <c r="E267" s="97" t="s">
        <v>3873</v>
      </c>
      <c r="F267" s="97">
        <v>0</v>
      </c>
      <c r="G267" s="36">
        <f t="shared" si="21"/>
        <v>96</v>
      </c>
      <c r="H267" s="97">
        <f t="shared" si="15"/>
        <v>1</v>
      </c>
      <c r="I267" s="97">
        <f t="shared" si="13"/>
        <v>20900000</v>
      </c>
      <c r="J267" s="97">
        <f t="shared" si="20"/>
        <v>0</v>
      </c>
      <c r="K267" s="97">
        <f t="shared" si="17"/>
        <v>20900000</v>
      </c>
    </row>
    <row r="268" spans="1:13">
      <c r="A268" s="97" t="s">
        <v>4491</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4494</v>
      </c>
      <c r="B269" s="18">
        <v>100000</v>
      </c>
      <c r="C269" s="18">
        <v>0</v>
      </c>
      <c r="D269" s="18">
        <f t="shared" si="18"/>
        <v>100000</v>
      </c>
      <c r="E269" s="97" t="s">
        <v>3873</v>
      </c>
      <c r="F269" s="97">
        <v>0</v>
      </c>
      <c r="G269" s="36">
        <f t="shared" si="21"/>
        <v>94</v>
      </c>
      <c r="H269" s="97">
        <f t="shared" si="15"/>
        <v>1</v>
      </c>
      <c r="I269" s="97">
        <f t="shared" si="13"/>
        <v>9300000</v>
      </c>
      <c r="J269" s="97">
        <f t="shared" si="20"/>
        <v>0</v>
      </c>
      <c r="K269" s="97">
        <f t="shared" si="17"/>
        <v>9300000</v>
      </c>
    </row>
    <row r="270" spans="1:13">
      <c r="A270" s="97" t="s">
        <v>4494</v>
      </c>
      <c r="B270" s="18">
        <v>2600000</v>
      </c>
      <c r="C270" s="18">
        <v>0</v>
      </c>
      <c r="D270" s="18">
        <f t="shared" si="18"/>
        <v>2600000</v>
      </c>
      <c r="E270" s="97" t="s">
        <v>3873</v>
      </c>
      <c r="F270" s="97">
        <v>1</v>
      </c>
      <c r="G270" s="36">
        <f t="shared" si="21"/>
        <v>94</v>
      </c>
      <c r="H270" s="97">
        <f t="shared" si="15"/>
        <v>1</v>
      </c>
      <c r="I270" s="97">
        <f t="shared" si="13"/>
        <v>241800000</v>
      </c>
      <c r="J270" s="97">
        <f t="shared" si="20"/>
        <v>0</v>
      </c>
      <c r="K270" s="97">
        <f t="shared" si="17"/>
        <v>241800000</v>
      </c>
      <c r="L270" t="s">
        <v>25</v>
      </c>
    </row>
    <row r="271" spans="1:13">
      <c r="A271" s="97" t="s">
        <v>4497</v>
      </c>
      <c r="B271" s="18">
        <v>4400000</v>
      </c>
      <c r="C271" s="18">
        <v>0</v>
      </c>
      <c r="D271" s="18">
        <f t="shared" si="18"/>
        <v>4400000</v>
      </c>
      <c r="E271" s="97" t="s">
        <v>3873</v>
      </c>
      <c r="F271" s="97">
        <v>0</v>
      </c>
      <c r="G271" s="36">
        <f t="shared" si="21"/>
        <v>93</v>
      </c>
      <c r="H271" s="97">
        <f t="shared" si="15"/>
        <v>1</v>
      </c>
      <c r="I271" s="97">
        <f t="shared" si="13"/>
        <v>404800000</v>
      </c>
      <c r="J271" s="97">
        <f t="shared" si="20"/>
        <v>0</v>
      </c>
      <c r="K271" s="97">
        <f t="shared" si="17"/>
        <v>404800000</v>
      </c>
    </row>
    <row r="272" spans="1:13">
      <c r="A272" s="97" t="s">
        <v>4497</v>
      </c>
      <c r="B272" s="18">
        <v>-95000</v>
      </c>
      <c r="C272" s="18">
        <v>0</v>
      </c>
      <c r="D272" s="18">
        <f t="shared" si="18"/>
        <v>-95000</v>
      </c>
      <c r="E272" s="97" t="s">
        <v>1116</v>
      </c>
      <c r="F272" s="97">
        <v>1</v>
      </c>
      <c r="G272" s="36">
        <f t="shared" si="21"/>
        <v>93</v>
      </c>
      <c r="H272" s="97">
        <f t="shared" si="15"/>
        <v>0</v>
      </c>
      <c r="I272" s="97">
        <f t="shared" si="13"/>
        <v>-8835000</v>
      </c>
      <c r="J272" s="97">
        <f t="shared" si="20"/>
        <v>0</v>
      </c>
      <c r="K272" s="97">
        <f t="shared" si="17"/>
        <v>-8835000</v>
      </c>
    </row>
    <row r="273" spans="1:12">
      <c r="A273" s="97" t="s">
        <v>4500</v>
      </c>
      <c r="B273" s="18">
        <v>-900000</v>
      </c>
      <c r="C273" s="18">
        <v>0</v>
      </c>
      <c r="D273" s="18">
        <f t="shared" si="18"/>
        <v>-900000</v>
      </c>
      <c r="E273" s="97" t="s">
        <v>4506</v>
      </c>
      <c r="F273" s="97">
        <v>1</v>
      </c>
      <c r="G273" s="36">
        <f t="shared" si="21"/>
        <v>92</v>
      </c>
      <c r="H273" s="97">
        <f t="shared" si="15"/>
        <v>0</v>
      </c>
      <c r="I273" s="97">
        <f t="shared" si="13"/>
        <v>-82800000</v>
      </c>
      <c r="J273" s="97">
        <f t="shared" si="20"/>
        <v>0</v>
      </c>
      <c r="K273" s="97">
        <f t="shared" si="17"/>
        <v>-82800000</v>
      </c>
    </row>
    <row r="274" spans="1:12">
      <c r="A274" s="97" t="s">
        <v>4503</v>
      </c>
      <c r="B274" s="18">
        <v>2500000</v>
      </c>
      <c r="C274" s="18">
        <v>0</v>
      </c>
      <c r="D274" s="18">
        <f t="shared" si="18"/>
        <v>2500000</v>
      </c>
      <c r="E274" s="97" t="s">
        <v>3873</v>
      </c>
      <c r="F274" s="97">
        <v>0</v>
      </c>
      <c r="G274" s="36">
        <f t="shared" si="21"/>
        <v>91</v>
      </c>
      <c r="H274" s="97">
        <f t="shared" si="15"/>
        <v>1</v>
      </c>
      <c r="I274" s="97">
        <f t="shared" si="13"/>
        <v>225000000</v>
      </c>
      <c r="J274" s="97">
        <f t="shared" si="20"/>
        <v>0</v>
      </c>
      <c r="K274" s="97">
        <f t="shared" si="17"/>
        <v>225000000</v>
      </c>
    </row>
    <row r="275" spans="1:12">
      <c r="A275" s="97" t="s">
        <v>4503</v>
      </c>
      <c r="B275" s="18">
        <v>-1287000</v>
      </c>
      <c r="C275" s="18">
        <v>0</v>
      </c>
      <c r="D275" s="18">
        <f t="shared" si="18"/>
        <v>-1287000</v>
      </c>
      <c r="E275" s="97" t="s">
        <v>4504</v>
      </c>
      <c r="F275" s="97">
        <v>2</v>
      </c>
      <c r="G275" s="36">
        <f t="shared" si="21"/>
        <v>91</v>
      </c>
      <c r="H275" s="97">
        <f t="shared" si="15"/>
        <v>0</v>
      </c>
      <c r="I275" s="97">
        <f t="shared" si="13"/>
        <v>-117117000</v>
      </c>
      <c r="J275" s="97">
        <f t="shared" si="20"/>
        <v>0</v>
      </c>
      <c r="K275" s="97">
        <f t="shared" si="17"/>
        <v>-117117000</v>
      </c>
    </row>
    <row r="276" spans="1:12">
      <c r="A276" s="97" t="s">
        <v>4501</v>
      </c>
      <c r="B276" s="18">
        <v>3800000</v>
      </c>
      <c r="C276" s="18">
        <v>0</v>
      </c>
      <c r="D276" s="18">
        <f t="shared" si="18"/>
        <v>3800000</v>
      </c>
      <c r="E276" s="97" t="s">
        <v>3873</v>
      </c>
      <c r="F276" s="97">
        <v>1</v>
      </c>
      <c r="G276" s="36">
        <f t="shared" si="21"/>
        <v>89</v>
      </c>
      <c r="H276" s="97">
        <f t="shared" si="15"/>
        <v>1</v>
      </c>
      <c r="I276" s="97">
        <f t="shared" si="13"/>
        <v>334400000</v>
      </c>
      <c r="J276" s="97">
        <f t="shared" si="20"/>
        <v>0</v>
      </c>
      <c r="K276" s="97">
        <f t="shared" si="17"/>
        <v>334400000</v>
      </c>
    </row>
    <row r="277" spans="1:12">
      <c r="A277" s="97" t="s">
        <v>4511</v>
      </c>
      <c r="B277" s="18">
        <v>21000000</v>
      </c>
      <c r="C277" s="18">
        <v>0</v>
      </c>
      <c r="D277" s="18">
        <f t="shared" si="18"/>
        <v>21000000</v>
      </c>
      <c r="E277" s="97" t="s">
        <v>3873</v>
      </c>
      <c r="F277" s="97">
        <v>1</v>
      </c>
      <c r="G277" s="36">
        <f t="shared" si="21"/>
        <v>88</v>
      </c>
      <c r="H277" s="97">
        <f t="shared" si="15"/>
        <v>1</v>
      </c>
      <c r="I277" s="97">
        <f t="shared" si="13"/>
        <v>1827000000</v>
      </c>
      <c r="J277" s="97">
        <f t="shared" si="20"/>
        <v>0</v>
      </c>
      <c r="K277" s="97">
        <f t="shared" si="17"/>
        <v>1827000000</v>
      </c>
    </row>
    <row r="278" spans="1:12">
      <c r="A278" s="97" t="s">
        <v>977</v>
      </c>
      <c r="B278" s="18">
        <v>3000000</v>
      </c>
      <c r="C278" s="18">
        <v>0</v>
      </c>
      <c r="D278" s="18">
        <f t="shared" si="18"/>
        <v>3000000</v>
      </c>
      <c r="E278" s="97" t="s">
        <v>3873</v>
      </c>
      <c r="F278" s="97">
        <v>0</v>
      </c>
      <c r="G278" s="36">
        <f t="shared" si="21"/>
        <v>87</v>
      </c>
      <c r="H278" s="97">
        <f t="shared" si="15"/>
        <v>1</v>
      </c>
      <c r="I278" s="97">
        <f t="shared" si="13"/>
        <v>258000000</v>
      </c>
      <c r="J278" s="97">
        <f t="shared" si="20"/>
        <v>0</v>
      </c>
      <c r="K278" s="97">
        <f t="shared" si="17"/>
        <v>258000000</v>
      </c>
    </row>
    <row r="279" spans="1:12">
      <c r="A279" s="97" t="s">
        <v>977</v>
      </c>
      <c r="B279" s="18">
        <v>2000000</v>
      </c>
      <c r="C279" s="18">
        <v>0</v>
      </c>
      <c r="D279" s="18">
        <f t="shared" si="18"/>
        <v>2000000</v>
      </c>
      <c r="E279" s="97" t="s">
        <v>3873</v>
      </c>
      <c r="F279" s="97">
        <v>1</v>
      </c>
      <c r="G279" s="36">
        <f t="shared" si="21"/>
        <v>87</v>
      </c>
      <c r="H279" s="97">
        <f t="shared" si="15"/>
        <v>1</v>
      </c>
      <c r="I279" s="97">
        <f t="shared" si="13"/>
        <v>172000000</v>
      </c>
      <c r="J279" s="97">
        <f t="shared" si="20"/>
        <v>0</v>
      </c>
      <c r="K279" s="97">
        <f t="shared" si="17"/>
        <v>172000000</v>
      </c>
    </row>
    <row r="280" spans="1:12">
      <c r="A280" s="97" t="s">
        <v>4514</v>
      </c>
      <c r="B280" s="18">
        <v>-2000000</v>
      </c>
      <c r="C280" s="18">
        <v>0</v>
      </c>
      <c r="D280" s="18">
        <f t="shared" si="18"/>
        <v>-2000000</v>
      </c>
      <c r="E280" s="97" t="s">
        <v>3752</v>
      </c>
      <c r="F280" s="97">
        <v>1</v>
      </c>
      <c r="G280" s="36">
        <f t="shared" si="21"/>
        <v>86</v>
      </c>
      <c r="H280" s="97">
        <f t="shared" si="15"/>
        <v>0</v>
      </c>
      <c r="I280" s="97">
        <f t="shared" si="13"/>
        <v>-172000000</v>
      </c>
      <c r="J280" s="97">
        <f t="shared" si="20"/>
        <v>0</v>
      </c>
      <c r="K280" s="97">
        <f t="shared" si="17"/>
        <v>-172000000</v>
      </c>
    </row>
    <row r="281" spans="1:12">
      <c r="A281" s="97" t="s">
        <v>4515</v>
      </c>
      <c r="B281" s="18">
        <v>-10000000</v>
      </c>
      <c r="C281" s="18">
        <v>0</v>
      </c>
      <c r="D281" s="18">
        <f t="shared" si="18"/>
        <v>-10000000</v>
      </c>
      <c r="E281" s="97" t="s">
        <v>3752</v>
      </c>
      <c r="F281" s="97">
        <v>4</v>
      </c>
      <c r="G281" s="36">
        <f t="shared" si="21"/>
        <v>85</v>
      </c>
      <c r="H281" s="97">
        <f t="shared" si="15"/>
        <v>0</v>
      </c>
      <c r="I281" s="97">
        <f t="shared" si="13"/>
        <v>-850000000</v>
      </c>
      <c r="J281" s="97">
        <f t="shared" si="20"/>
        <v>0</v>
      </c>
      <c r="K281" s="97">
        <f t="shared" si="17"/>
        <v>-850000000</v>
      </c>
    </row>
    <row r="282" spans="1:12">
      <c r="A282" s="97" t="s">
        <v>4517</v>
      </c>
      <c r="B282" s="18">
        <v>-16700000</v>
      </c>
      <c r="C282" s="18">
        <v>0</v>
      </c>
      <c r="D282" s="18">
        <f t="shared" si="18"/>
        <v>-16700000</v>
      </c>
      <c r="E282" s="97" t="s">
        <v>3752</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957</v>
      </c>
      <c r="B283" s="18">
        <v>12000000</v>
      </c>
      <c r="C283" s="18">
        <v>0</v>
      </c>
      <c r="D283" s="18">
        <f t="shared" si="18"/>
        <v>12000000</v>
      </c>
      <c r="E283" s="97" t="s">
        <v>3873</v>
      </c>
      <c r="F283" s="97">
        <v>1</v>
      </c>
      <c r="G283" s="36">
        <f t="shared" si="21"/>
        <v>79</v>
      </c>
      <c r="H283" s="97">
        <f t="shared" si="15"/>
        <v>1</v>
      </c>
      <c r="I283" s="97">
        <f t="shared" si="13"/>
        <v>936000000</v>
      </c>
      <c r="J283" s="97">
        <f t="shared" si="22"/>
        <v>0</v>
      </c>
      <c r="K283" s="97">
        <f t="shared" si="23"/>
        <v>936000000</v>
      </c>
    </row>
    <row r="284" spans="1:12">
      <c r="A284" s="97" t="s">
        <v>4527</v>
      </c>
      <c r="B284" s="18">
        <v>1900000</v>
      </c>
      <c r="C284" s="18">
        <v>0</v>
      </c>
      <c r="D284" s="18">
        <f t="shared" si="18"/>
        <v>1900000</v>
      </c>
      <c r="E284" s="97" t="s">
        <v>3873</v>
      </c>
      <c r="F284" s="97">
        <v>0</v>
      </c>
      <c r="G284" s="36">
        <f t="shared" si="21"/>
        <v>78</v>
      </c>
      <c r="H284" s="97">
        <f t="shared" si="15"/>
        <v>1</v>
      </c>
      <c r="I284" s="97">
        <f t="shared" si="13"/>
        <v>146300000</v>
      </c>
      <c r="J284" s="97">
        <f t="shared" si="22"/>
        <v>0</v>
      </c>
      <c r="K284" s="97">
        <f t="shared" si="23"/>
        <v>146300000</v>
      </c>
    </row>
    <row r="285" spans="1:12">
      <c r="A285" s="97" t="s">
        <v>4527</v>
      </c>
      <c r="B285" s="18">
        <v>-3995000</v>
      </c>
      <c r="C285" s="18">
        <v>0</v>
      </c>
      <c r="D285" s="18">
        <f t="shared" si="18"/>
        <v>-3995000</v>
      </c>
      <c r="E285" s="97" t="s">
        <v>4528</v>
      </c>
      <c r="F285" s="97">
        <v>3</v>
      </c>
      <c r="G285" s="36">
        <f t="shared" si="21"/>
        <v>78</v>
      </c>
      <c r="H285" s="97">
        <f t="shared" si="15"/>
        <v>0</v>
      </c>
      <c r="I285" s="97">
        <f t="shared" si="13"/>
        <v>-311610000</v>
      </c>
      <c r="J285" s="97">
        <f t="shared" si="22"/>
        <v>0</v>
      </c>
      <c r="K285" s="97">
        <f t="shared" si="23"/>
        <v>-311610000</v>
      </c>
    </row>
    <row r="286" spans="1:12">
      <c r="A286" s="97" t="s">
        <v>4536</v>
      </c>
      <c r="B286" s="18">
        <v>-2010700</v>
      </c>
      <c r="C286" s="18">
        <v>0</v>
      </c>
      <c r="D286" s="18">
        <f t="shared" si="18"/>
        <v>-2010700</v>
      </c>
      <c r="E286" s="97" t="s">
        <v>4539</v>
      </c>
      <c r="F286" s="97">
        <v>0</v>
      </c>
      <c r="G286" s="36">
        <f t="shared" si="21"/>
        <v>75</v>
      </c>
      <c r="H286" s="97">
        <f t="shared" si="15"/>
        <v>0</v>
      </c>
      <c r="I286" s="97">
        <f t="shared" si="13"/>
        <v>-150802500</v>
      </c>
      <c r="J286" s="97">
        <f t="shared" si="22"/>
        <v>0</v>
      </c>
      <c r="K286" s="97">
        <f t="shared" si="23"/>
        <v>-150802500</v>
      </c>
    </row>
    <row r="287" spans="1:12">
      <c r="A287" s="97" t="s">
        <v>4536</v>
      </c>
      <c r="B287" s="18">
        <v>-4000000</v>
      </c>
      <c r="C287" s="18">
        <v>0</v>
      </c>
      <c r="D287" s="18">
        <f t="shared" si="18"/>
        <v>-4000000</v>
      </c>
      <c r="E287" s="97" t="s">
        <v>3752</v>
      </c>
      <c r="F287" s="97">
        <v>1</v>
      </c>
      <c r="G287" s="36">
        <f t="shared" si="21"/>
        <v>75</v>
      </c>
      <c r="H287" s="97">
        <f t="shared" si="15"/>
        <v>0</v>
      </c>
      <c r="I287" s="97">
        <f t="shared" si="13"/>
        <v>-300000000</v>
      </c>
      <c r="J287" s="97">
        <f t="shared" si="22"/>
        <v>0</v>
      </c>
      <c r="K287" s="97">
        <f t="shared" si="23"/>
        <v>-300000000</v>
      </c>
    </row>
    <row r="288" spans="1:12">
      <c r="A288" s="97" t="s">
        <v>4540</v>
      </c>
      <c r="B288" s="18">
        <v>-5700000</v>
      </c>
      <c r="C288" s="18">
        <v>0</v>
      </c>
      <c r="D288" s="18">
        <f t="shared" si="18"/>
        <v>-5700000</v>
      </c>
      <c r="E288" s="97" t="s">
        <v>3752</v>
      </c>
      <c r="F288" s="97">
        <v>2</v>
      </c>
      <c r="G288" s="36">
        <f t="shared" si="21"/>
        <v>74</v>
      </c>
      <c r="H288" s="97">
        <f t="shared" si="15"/>
        <v>0</v>
      </c>
      <c r="I288" s="97">
        <f t="shared" si="13"/>
        <v>-421800000</v>
      </c>
      <c r="J288" s="97">
        <f t="shared" si="22"/>
        <v>0</v>
      </c>
      <c r="K288" s="97">
        <f t="shared" si="23"/>
        <v>-421800000</v>
      </c>
      <c r="L288" t="s">
        <v>25</v>
      </c>
    </row>
    <row r="289" spans="1:13">
      <c r="A289" s="97" t="s">
        <v>4544</v>
      </c>
      <c r="B289" s="18">
        <v>8000000</v>
      </c>
      <c r="C289" s="18">
        <v>0</v>
      </c>
      <c r="D289" s="18">
        <f t="shared" si="18"/>
        <v>8000000</v>
      </c>
      <c r="E289" s="97" t="s">
        <v>3873</v>
      </c>
      <c r="F289" s="97">
        <v>1</v>
      </c>
      <c r="G289" s="36">
        <f t="shared" si="21"/>
        <v>72</v>
      </c>
      <c r="H289" s="97">
        <f t="shared" si="15"/>
        <v>1</v>
      </c>
      <c r="I289" s="97">
        <f t="shared" si="13"/>
        <v>568000000</v>
      </c>
      <c r="J289" s="97">
        <f t="shared" si="22"/>
        <v>0</v>
      </c>
      <c r="K289" s="97">
        <f t="shared" si="23"/>
        <v>568000000</v>
      </c>
    </row>
    <row r="290" spans="1:13">
      <c r="A290" s="97" t="s">
        <v>3673</v>
      </c>
      <c r="B290" s="18">
        <v>-8000000</v>
      </c>
      <c r="C290" s="18">
        <v>0</v>
      </c>
      <c r="D290" s="18">
        <f t="shared" si="18"/>
        <v>-8000000</v>
      </c>
      <c r="E290" s="97" t="s">
        <v>3752</v>
      </c>
      <c r="F290" s="97">
        <v>3</v>
      </c>
      <c r="G290" s="36">
        <f t="shared" si="21"/>
        <v>71</v>
      </c>
      <c r="H290" s="97">
        <f t="shared" si="15"/>
        <v>0</v>
      </c>
      <c r="I290" s="97">
        <f t="shared" si="13"/>
        <v>-568000000</v>
      </c>
      <c r="J290" s="97">
        <f t="shared" si="22"/>
        <v>0</v>
      </c>
      <c r="K290" s="97">
        <f t="shared" si="23"/>
        <v>-568000000</v>
      </c>
    </row>
    <row r="291" spans="1:13">
      <c r="A291" s="97" t="s">
        <v>4548</v>
      </c>
      <c r="B291" s="18">
        <v>-6000000</v>
      </c>
      <c r="C291" s="18">
        <v>0</v>
      </c>
      <c r="D291" s="18">
        <f t="shared" si="18"/>
        <v>-6000000</v>
      </c>
      <c r="E291" s="97" t="s">
        <v>3752</v>
      </c>
      <c r="F291" s="97">
        <v>0</v>
      </c>
      <c r="G291" s="36">
        <f t="shared" si="21"/>
        <v>68</v>
      </c>
      <c r="H291" s="97">
        <f t="shared" si="15"/>
        <v>0</v>
      </c>
      <c r="I291" s="97">
        <f t="shared" si="13"/>
        <v>-408000000</v>
      </c>
      <c r="J291" s="97">
        <f t="shared" si="22"/>
        <v>0</v>
      </c>
      <c r="K291" s="97">
        <f t="shared" si="23"/>
        <v>-408000000</v>
      </c>
    </row>
    <row r="292" spans="1:13">
      <c r="A292" s="97" t="s">
        <v>4548</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4552</v>
      </c>
      <c r="B293" s="18">
        <v>-96850</v>
      </c>
      <c r="C293" s="18">
        <v>0</v>
      </c>
      <c r="D293" s="18">
        <f t="shared" si="18"/>
        <v>-96850</v>
      </c>
      <c r="E293" s="97" t="s">
        <v>4556</v>
      </c>
      <c r="F293" s="97">
        <v>2</v>
      </c>
      <c r="G293" s="36">
        <f t="shared" si="21"/>
        <v>67</v>
      </c>
      <c r="H293" s="97">
        <f t="shared" si="15"/>
        <v>0</v>
      </c>
      <c r="I293" s="97">
        <f t="shared" si="13"/>
        <v>-6488950</v>
      </c>
      <c r="J293" s="97">
        <f t="shared" si="22"/>
        <v>0</v>
      </c>
      <c r="K293" s="97">
        <f t="shared" si="23"/>
        <v>-6488950</v>
      </c>
    </row>
    <row r="294" spans="1:13">
      <c r="A294" s="97" t="s">
        <v>4558</v>
      </c>
      <c r="B294" s="18">
        <v>-45000</v>
      </c>
      <c r="C294" s="18">
        <v>0</v>
      </c>
      <c r="D294" s="18">
        <f t="shared" si="18"/>
        <v>-45000</v>
      </c>
      <c r="E294" s="97" t="s">
        <v>3752</v>
      </c>
      <c r="F294" s="97">
        <v>0</v>
      </c>
      <c r="G294" s="36">
        <f t="shared" si="21"/>
        <v>65</v>
      </c>
      <c r="H294" s="97">
        <f t="shared" si="15"/>
        <v>0</v>
      </c>
      <c r="I294" s="97">
        <f t="shared" si="13"/>
        <v>-2925000</v>
      </c>
      <c r="J294" s="97">
        <f t="shared" si="22"/>
        <v>0</v>
      </c>
      <c r="K294" s="97">
        <f t="shared" si="23"/>
        <v>-2925000</v>
      </c>
    </row>
    <row r="295" spans="1:13">
      <c r="A295" s="97" t="s">
        <v>4558</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4569</v>
      </c>
      <c r="B296" s="18">
        <v>-200000</v>
      </c>
      <c r="C296" s="18">
        <v>0</v>
      </c>
      <c r="D296" s="18">
        <f t="shared" si="18"/>
        <v>-200000</v>
      </c>
      <c r="E296" s="97" t="s">
        <v>4570</v>
      </c>
      <c r="F296" s="97">
        <v>3</v>
      </c>
      <c r="G296" s="36">
        <f t="shared" si="21"/>
        <v>64</v>
      </c>
      <c r="H296" s="97">
        <f t="shared" si="15"/>
        <v>0</v>
      </c>
      <c r="I296" s="97">
        <f t="shared" si="13"/>
        <v>-12800000</v>
      </c>
      <c r="J296" s="97">
        <f t="shared" si="22"/>
        <v>0</v>
      </c>
      <c r="K296" s="97">
        <f t="shared" si="23"/>
        <v>-12800000</v>
      </c>
    </row>
    <row r="297" spans="1:13">
      <c r="A297" s="97" t="s">
        <v>4579</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4581</v>
      </c>
      <c r="B298" s="18">
        <v>-60000</v>
      </c>
      <c r="C298" s="18">
        <v>0</v>
      </c>
      <c r="D298" s="18">
        <f t="shared" si="18"/>
        <v>-60000</v>
      </c>
      <c r="E298" s="97" t="s">
        <v>3752</v>
      </c>
      <c r="F298" s="97">
        <v>0</v>
      </c>
      <c r="G298" s="36">
        <f t="shared" ref="G298:G307" si="27">G299+F298</f>
        <v>60</v>
      </c>
      <c r="H298" s="97">
        <f t="shared" si="15"/>
        <v>0</v>
      </c>
      <c r="I298" s="97">
        <f t="shared" si="24"/>
        <v>-3600000</v>
      </c>
      <c r="J298" s="97">
        <f t="shared" si="25"/>
        <v>0</v>
      </c>
      <c r="K298" s="97">
        <f t="shared" si="26"/>
        <v>-3600000</v>
      </c>
    </row>
    <row r="299" spans="1:13">
      <c r="A299" s="97" t="s">
        <v>4581</v>
      </c>
      <c r="B299" s="18">
        <v>2400000</v>
      </c>
      <c r="C299" s="18">
        <v>0</v>
      </c>
      <c r="D299" s="18">
        <f t="shared" si="18"/>
        <v>2400000</v>
      </c>
      <c r="E299" s="97" t="s">
        <v>3873</v>
      </c>
      <c r="F299" s="97">
        <v>0</v>
      </c>
      <c r="G299" s="36">
        <f t="shared" si="27"/>
        <v>60</v>
      </c>
      <c r="H299" s="97">
        <f t="shared" si="15"/>
        <v>1</v>
      </c>
      <c r="I299" s="97">
        <f t="shared" si="24"/>
        <v>141600000</v>
      </c>
      <c r="J299" s="97">
        <f t="shared" si="25"/>
        <v>0</v>
      </c>
      <c r="K299" s="97">
        <f t="shared" si="26"/>
        <v>141600000</v>
      </c>
    </row>
    <row r="300" spans="1:13">
      <c r="A300" s="97" t="s">
        <v>4581</v>
      </c>
      <c r="B300" s="18">
        <v>-137163</v>
      </c>
      <c r="C300" s="18">
        <v>0</v>
      </c>
      <c r="D300" s="18">
        <f t="shared" si="18"/>
        <v>-137163</v>
      </c>
      <c r="E300" s="97" t="s">
        <v>3996</v>
      </c>
      <c r="F300" s="97">
        <v>0</v>
      </c>
      <c r="G300" s="36">
        <f t="shared" si="27"/>
        <v>60</v>
      </c>
      <c r="H300" s="97">
        <f t="shared" si="15"/>
        <v>0</v>
      </c>
      <c r="I300" s="97">
        <f t="shared" si="24"/>
        <v>-8229780</v>
      </c>
      <c r="J300" s="97">
        <f t="shared" si="25"/>
        <v>0</v>
      </c>
      <c r="K300" s="97">
        <f t="shared" si="26"/>
        <v>-8229780</v>
      </c>
      <c r="L300" t="s">
        <v>25</v>
      </c>
      <c r="M300" t="s">
        <v>25</v>
      </c>
    </row>
    <row r="301" spans="1:13">
      <c r="A301" s="97" t="s">
        <v>4581</v>
      </c>
      <c r="B301" s="18">
        <v>-51400</v>
      </c>
      <c r="C301" s="18">
        <v>0</v>
      </c>
      <c r="D301" s="18">
        <f t="shared" si="18"/>
        <v>-51400</v>
      </c>
      <c r="E301" s="97" t="s">
        <v>4587</v>
      </c>
      <c r="F301" s="97">
        <v>1</v>
      </c>
      <c r="G301" s="36">
        <f t="shared" si="27"/>
        <v>60</v>
      </c>
      <c r="H301" s="97">
        <f t="shared" si="15"/>
        <v>0</v>
      </c>
      <c r="I301" s="97">
        <f t="shared" si="24"/>
        <v>-3084000</v>
      </c>
      <c r="J301" s="97">
        <f t="shared" si="25"/>
        <v>0</v>
      </c>
      <c r="K301" s="97">
        <f t="shared" si="26"/>
        <v>-3084000</v>
      </c>
    </row>
    <row r="302" spans="1:13">
      <c r="A302" s="97" t="s">
        <v>4590</v>
      </c>
      <c r="B302" s="18">
        <v>-2250000</v>
      </c>
      <c r="C302" s="18">
        <v>0</v>
      </c>
      <c r="D302" s="18">
        <f t="shared" si="18"/>
        <v>-2250000</v>
      </c>
      <c r="E302" s="97" t="s">
        <v>3752</v>
      </c>
      <c r="F302" s="97">
        <v>0</v>
      </c>
      <c r="G302" s="36">
        <f t="shared" si="27"/>
        <v>59</v>
      </c>
      <c r="H302" s="97">
        <f t="shared" si="15"/>
        <v>0</v>
      </c>
      <c r="I302" s="97">
        <f t="shared" si="24"/>
        <v>-132750000</v>
      </c>
      <c r="J302" s="97">
        <f t="shared" si="25"/>
        <v>0</v>
      </c>
      <c r="K302" s="97">
        <f t="shared" si="26"/>
        <v>-132750000</v>
      </c>
      <c r="M302" t="s">
        <v>25</v>
      </c>
    </row>
    <row r="303" spans="1:13">
      <c r="A303" s="97" t="s">
        <v>4590</v>
      </c>
      <c r="B303" s="18">
        <v>700000</v>
      </c>
      <c r="C303" s="18">
        <v>0</v>
      </c>
      <c r="D303" s="18">
        <f t="shared" si="18"/>
        <v>700000</v>
      </c>
      <c r="E303" s="97" t="s">
        <v>3873</v>
      </c>
      <c r="F303" s="97">
        <v>2</v>
      </c>
      <c r="G303" s="36">
        <f t="shared" si="27"/>
        <v>59</v>
      </c>
      <c r="H303" s="97">
        <f t="shared" si="15"/>
        <v>1</v>
      </c>
      <c r="I303" s="97">
        <f t="shared" si="24"/>
        <v>40600000</v>
      </c>
      <c r="J303" s="97">
        <f t="shared" si="25"/>
        <v>0</v>
      </c>
      <c r="K303" s="97">
        <f t="shared" si="26"/>
        <v>40600000</v>
      </c>
    </row>
    <row r="304" spans="1:13">
      <c r="A304" s="97" t="s">
        <v>4600</v>
      </c>
      <c r="B304" s="18">
        <v>570000</v>
      </c>
      <c r="C304" s="18">
        <v>0</v>
      </c>
      <c r="D304" s="18">
        <f t="shared" si="18"/>
        <v>570000</v>
      </c>
      <c r="E304" s="97" t="s">
        <v>3873</v>
      </c>
      <c r="F304" s="97">
        <v>0</v>
      </c>
      <c r="G304" s="36">
        <f t="shared" si="27"/>
        <v>57</v>
      </c>
      <c r="H304" s="97">
        <f t="shared" si="15"/>
        <v>1</v>
      </c>
      <c r="I304" s="97">
        <f t="shared" si="24"/>
        <v>31920000</v>
      </c>
      <c r="J304" s="97">
        <f t="shared" si="25"/>
        <v>0</v>
      </c>
      <c r="K304" s="97">
        <f t="shared" si="26"/>
        <v>31920000</v>
      </c>
    </row>
    <row r="305" spans="1:13">
      <c r="A305" s="97" t="s">
        <v>4600</v>
      </c>
      <c r="B305" s="18">
        <v>-276773</v>
      </c>
      <c r="C305" s="18">
        <v>0</v>
      </c>
      <c r="D305" s="18">
        <f t="shared" si="18"/>
        <v>-276773</v>
      </c>
      <c r="E305" s="97" t="s">
        <v>4602</v>
      </c>
      <c r="F305" s="97">
        <v>2</v>
      </c>
      <c r="G305" s="36">
        <f t="shared" si="27"/>
        <v>57</v>
      </c>
      <c r="H305" s="97">
        <f t="shared" si="15"/>
        <v>0</v>
      </c>
      <c r="I305" s="97">
        <f t="shared" si="24"/>
        <v>-15776061</v>
      </c>
      <c r="J305" s="97">
        <f t="shared" si="25"/>
        <v>0</v>
      </c>
      <c r="K305" s="97">
        <f t="shared" si="26"/>
        <v>-15776061</v>
      </c>
    </row>
    <row r="306" spans="1:13">
      <c r="A306" s="97" t="s">
        <v>4603</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4608</v>
      </c>
      <c r="B307" s="18">
        <v>-1000</v>
      </c>
      <c r="C307" s="18">
        <v>0</v>
      </c>
      <c r="D307" s="18">
        <f t="shared" si="18"/>
        <v>-1000</v>
      </c>
      <c r="E307" s="97" t="s">
        <v>3752</v>
      </c>
      <c r="F307" s="97">
        <v>1</v>
      </c>
      <c r="G307" s="36">
        <f t="shared" si="27"/>
        <v>51</v>
      </c>
      <c r="H307" s="97">
        <f t="shared" si="15"/>
        <v>0</v>
      </c>
      <c r="I307" s="97">
        <f t="shared" si="24"/>
        <v>-51000</v>
      </c>
      <c r="J307" s="97">
        <f t="shared" si="25"/>
        <v>0</v>
      </c>
      <c r="K307" s="97">
        <f t="shared" si="26"/>
        <v>-51000</v>
      </c>
    </row>
    <row r="308" spans="1:13">
      <c r="A308" s="97" t="s">
        <v>4614</v>
      </c>
      <c r="B308" s="18">
        <v>250000</v>
      </c>
      <c r="C308" s="18">
        <v>0</v>
      </c>
      <c r="D308" s="18">
        <f t="shared" si="18"/>
        <v>250000</v>
      </c>
      <c r="E308" s="97" t="s">
        <v>3873</v>
      </c>
      <c r="F308" s="97">
        <v>0</v>
      </c>
      <c r="G308" s="36">
        <f>G309+F308</f>
        <v>50</v>
      </c>
      <c r="H308" s="97">
        <f t="shared" si="15"/>
        <v>1</v>
      </c>
      <c r="I308" s="97">
        <f t="shared" si="24"/>
        <v>12250000</v>
      </c>
      <c r="J308" s="97">
        <f t="shared" si="25"/>
        <v>0</v>
      </c>
      <c r="K308" s="97">
        <f t="shared" si="26"/>
        <v>12250000</v>
      </c>
    </row>
    <row r="309" spans="1:13">
      <c r="A309" s="97" t="s">
        <v>4614</v>
      </c>
      <c r="B309" s="18">
        <v>-55120</v>
      </c>
      <c r="C309" s="18">
        <v>0</v>
      </c>
      <c r="D309" s="18">
        <f t="shared" si="18"/>
        <v>-55120</v>
      </c>
      <c r="E309" s="97" t="s">
        <v>3996</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4623</v>
      </c>
      <c r="B310" s="18">
        <v>-115000</v>
      </c>
      <c r="C310" s="18">
        <v>0</v>
      </c>
      <c r="D310" s="18">
        <f t="shared" si="18"/>
        <v>-115000</v>
      </c>
      <c r="E310" s="97" t="s">
        <v>805</v>
      </c>
      <c r="F310" s="97">
        <v>1</v>
      </c>
      <c r="G310" s="36">
        <f t="shared" si="28"/>
        <v>47</v>
      </c>
      <c r="H310" s="97">
        <f t="shared" si="29"/>
        <v>0</v>
      </c>
      <c r="I310" s="97">
        <f t="shared" si="30"/>
        <v>-5405000</v>
      </c>
      <c r="J310" s="97">
        <f t="shared" si="31"/>
        <v>0</v>
      </c>
      <c r="K310" s="97">
        <f t="shared" si="32"/>
        <v>-5405000</v>
      </c>
    </row>
    <row r="311" spans="1:13">
      <c r="A311" s="97" t="s">
        <v>4616</v>
      </c>
      <c r="B311" s="18">
        <v>-214549</v>
      </c>
      <c r="C311" s="18">
        <v>0</v>
      </c>
      <c r="D311" s="18">
        <f t="shared" si="18"/>
        <v>-214549</v>
      </c>
      <c r="E311" s="97" t="s">
        <v>3909</v>
      </c>
      <c r="F311" s="97">
        <v>2</v>
      </c>
      <c r="G311" s="36">
        <f t="shared" si="28"/>
        <v>46</v>
      </c>
      <c r="H311" s="97">
        <f t="shared" si="29"/>
        <v>0</v>
      </c>
      <c r="I311" s="97">
        <f t="shared" si="30"/>
        <v>-9869254</v>
      </c>
      <c r="J311" s="97">
        <f t="shared" si="31"/>
        <v>0</v>
      </c>
      <c r="K311" s="97">
        <f t="shared" si="32"/>
        <v>-9869254</v>
      </c>
      <c r="L311" t="s">
        <v>25</v>
      </c>
    </row>
    <row r="312" spans="1:13">
      <c r="A312" s="97" t="s">
        <v>4617</v>
      </c>
      <c r="B312" s="18">
        <v>-324747</v>
      </c>
      <c r="C312" s="18">
        <v>0</v>
      </c>
      <c r="D312" s="18">
        <f t="shared" si="18"/>
        <v>-324747</v>
      </c>
      <c r="E312" s="97" t="s">
        <v>4624</v>
      </c>
      <c r="F312" s="97">
        <v>3</v>
      </c>
      <c r="G312" s="36">
        <f t="shared" si="28"/>
        <v>44</v>
      </c>
      <c r="H312" s="97">
        <f t="shared" si="29"/>
        <v>0</v>
      </c>
      <c r="I312" s="97">
        <f t="shared" si="30"/>
        <v>-14288868</v>
      </c>
      <c r="J312" s="97">
        <f t="shared" si="31"/>
        <v>0</v>
      </c>
      <c r="K312" s="97">
        <f t="shared" si="32"/>
        <v>-14288868</v>
      </c>
      <c r="M312" t="s">
        <v>25</v>
      </c>
    </row>
    <row r="313" spans="1:13">
      <c r="A313" s="97" t="s">
        <v>4631</v>
      </c>
      <c r="B313" s="18">
        <v>-297992</v>
      </c>
      <c r="C313" s="18">
        <v>0</v>
      </c>
      <c r="D313" s="18">
        <f t="shared" si="18"/>
        <v>-297992</v>
      </c>
      <c r="E313" s="97" t="s">
        <v>4632</v>
      </c>
      <c r="F313" s="97">
        <v>2</v>
      </c>
      <c r="G313" s="36">
        <f t="shared" si="28"/>
        <v>41</v>
      </c>
      <c r="H313" s="97">
        <f t="shared" si="29"/>
        <v>0</v>
      </c>
      <c r="I313" s="97">
        <f t="shared" si="30"/>
        <v>-12217672</v>
      </c>
      <c r="J313" s="97">
        <f t="shared" si="31"/>
        <v>0</v>
      </c>
      <c r="K313" s="97">
        <f t="shared" si="32"/>
        <v>-12217672</v>
      </c>
    </row>
    <row r="314" spans="1:13">
      <c r="A314" s="97" t="s">
        <v>3666</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4639</v>
      </c>
      <c r="B315" s="18">
        <v>-40000</v>
      </c>
      <c r="C315" s="18">
        <v>0</v>
      </c>
      <c r="D315" s="18">
        <f t="shared" si="18"/>
        <v>-40000</v>
      </c>
      <c r="E315" s="97" t="s">
        <v>4645</v>
      </c>
      <c r="F315" s="97">
        <v>4</v>
      </c>
      <c r="G315" s="36">
        <f t="shared" si="28"/>
        <v>38</v>
      </c>
      <c r="H315" s="97">
        <f t="shared" si="29"/>
        <v>0</v>
      </c>
      <c r="I315" s="97">
        <f t="shared" si="30"/>
        <v>-1520000</v>
      </c>
      <c r="J315" s="97">
        <f t="shared" si="31"/>
        <v>0</v>
      </c>
      <c r="K315" s="97">
        <f t="shared" si="32"/>
        <v>-1520000</v>
      </c>
    </row>
    <row r="316" spans="1:13">
      <c r="A316" s="97" t="s">
        <v>4650</v>
      </c>
      <c r="B316" s="18">
        <v>1669690</v>
      </c>
      <c r="C316" s="18">
        <v>0</v>
      </c>
      <c r="D316" s="18">
        <f t="shared" si="18"/>
        <v>1669690</v>
      </c>
      <c r="E316" s="97" t="s">
        <v>3873</v>
      </c>
      <c r="F316" s="97">
        <v>4</v>
      </c>
      <c r="G316" s="36">
        <f t="shared" si="28"/>
        <v>34</v>
      </c>
      <c r="H316" s="97">
        <f t="shared" si="29"/>
        <v>1</v>
      </c>
      <c r="I316" s="97">
        <f t="shared" si="30"/>
        <v>55099770</v>
      </c>
      <c r="J316" s="97">
        <f t="shared" si="31"/>
        <v>0</v>
      </c>
      <c r="K316" s="97">
        <f t="shared" si="32"/>
        <v>55099770</v>
      </c>
    </row>
    <row r="317" spans="1:13">
      <c r="A317" s="11" t="s">
        <v>4667</v>
      </c>
      <c r="B317" s="18">
        <v>-548543</v>
      </c>
      <c r="C317" s="18">
        <v>0</v>
      </c>
      <c r="D317" s="18">
        <f t="shared" si="18"/>
        <v>-548543</v>
      </c>
      <c r="E317" s="97" t="s">
        <v>3909</v>
      </c>
      <c r="F317" s="97">
        <v>1</v>
      </c>
      <c r="G317" s="36">
        <f t="shared" si="28"/>
        <v>30</v>
      </c>
      <c r="H317" s="97">
        <f t="shared" si="29"/>
        <v>0</v>
      </c>
      <c r="I317" s="97">
        <f t="shared" si="30"/>
        <v>-16456290</v>
      </c>
      <c r="J317" s="97">
        <f t="shared" si="31"/>
        <v>0</v>
      </c>
      <c r="K317" s="97">
        <f t="shared" si="32"/>
        <v>-16456290</v>
      </c>
    </row>
    <row r="318" spans="1:13">
      <c r="A318" s="11" t="s">
        <v>4673</v>
      </c>
      <c r="B318" s="18">
        <v>2450000</v>
      </c>
      <c r="C318" s="18">
        <v>0</v>
      </c>
      <c r="D318" s="18">
        <f t="shared" si="18"/>
        <v>2450000</v>
      </c>
      <c r="E318" s="97" t="s">
        <v>3873</v>
      </c>
      <c r="F318" s="97">
        <v>0</v>
      </c>
      <c r="G318" s="36">
        <f t="shared" si="28"/>
        <v>29</v>
      </c>
      <c r="H318" s="97">
        <f t="shared" si="29"/>
        <v>1</v>
      </c>
      <c r="I318" s="97">
        <f t="shared" si="30"/>
        <v>68600000</v>
      </c>
      <c r="J318" s="97">
        <f t="shared" si="31"/>
        <v>0</v>
      </c>
      <c r="K318" s="97">
        <f t="shared" si="32"/>
        <v>68600000</v>
      </c>
    </row>
    <row r="319" spans="1:13">
      <c r="A319" s="11" t="s">
        <v>4673</v>
      </c>
      <c r="B319" s="18">
        <v>-1866154</v>
      </c>
      <c r="C319" s="18">
        <v>0</v>
      </c>
      <c r="D319" s="18">
        <f t="shared" si="18"/>
        <v>-1866154</v>
      </c>
      <c r="E319" s="19" t="s">
        <v>4679</v>
      </c>
      <c r="F319" s="97">
        <v>0</v>
      </c>
      <c r="G319" s="36">
        <f t="shared" si="28"/>
        <v>29</v>
      </c>
      <c r="H319" s="97">
        <f t="shared" si="29"/>
        <v>0</v>
      </c>
      <c r="I319" s="97">
        <f t="shared" si="30"/>
        <v>-54118466</v>
      </c>
      <c r="J319" s="97">
        <f t="shared" si="31"/>
        <v>0</v>
      </c>
      <c r="K319" s="97">
        <f t="shared" si="32"/>
        <v>-54118466</v>
      </c>
    </row>
    <row r="320" spans="1:13">
      <c r="A320" s="11" t="s">
        <v>4673</v>
      </c>
      <c r="B320" s="18">
        <v>-36600</v>
      </c>
      <c r="C320" s="18">
        <v>0</v>
      </c>
      <c r="D320" s="18">
        <f t="shared" si="18"/>
        <v>-36600</v>
      </c>
      <c r="E320" s="97" t="s">
        <v>4680</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4681</v>
      </c>
      <c r="B321" s="18">
        <v>-492000</v>
      </c>
      <c r="C321" s="18">
        <v>0</v>
      </c>
      <c r="D321" s="18">
        <f t="shared" si="18"/>
        <v>-492000</v>
      </c>
      <c r="E321" s="97" t="s">
        <v>4682</v>
      </c>
      <c r="F321" s="97">
        <v>0</v>
      </c>
      <c r="G321" s="36">
        <f t="shared" si="33"/>
        <v>28</v>
      </c>
      <c r="H321" s="97">
        <f t="shared" si="34"/>
        <v>0</v>
      </c>
      <c r="I321" s="97">
        <f t="shared" si="35"/>
        <v>-13776000</v>
      </c>
      <c r="J321" s="97">
        <f t="shared" si="36"/>
        <v>0</v>
      </c>
      <c r="K321" s="97">
        <f t="shared" si="37"/>
        <v>-13776000</v>
      </c>
      <c r="M321" t="s">
        <v>25</v>
      </c>
    </row>
    <row r="322" spans="1:14">
      <c r="A322" s="97" t="s">
        <v>4681</v>
      </c>
      <c r="B322" s="18">
        <v>-518000</v>
      </c>
      <c r="C322" s="18">
        <v>0</v>
      </c>
      <c r="D322" s="18">
        <f t="shared" si="18"/>
        <v>-518000</v>
      </c>
      <c r="E322" s="97" t="s">
        <v>3909</v>
      </c>
      <c r="F322" s="97">
        <v>0</v>
      </c>
      <c r="G322" s="36">
        <f t="shared" si="33"/>
        <v>28</v>
      </c>
      <c r="H322" s="97">
        <f t="shared" si="34"/>
        <v>0</v>
      </c>
      <c r="I322" s="97">
        <f t="shared" si="35"/>
        <v>-14504000</v>
      </c>
      <c r="J322" s="97">
        <f t="shared" si="36"/>
        <v>0</v>
      </c>
      <c r="K322" s="97">
        <f t="shared" si="37"/>
        <v>-14504000</v>
      </c>
    </row>
    <row r="323" spans="1:14">
      <c r="A323" s="97" t="s">
        <v>4681</v>
      </c>
      <c r="B323" s="18">
        <v>-40000</v>
      </c>
      <c r="C323" s="18">
        <v>0</v>
      </c>
      <c r="D323" s="18">
        <f t="shared" si="18"/>
        <v>-40000</v>
      </c>
      <c r="E323" s="97" t="s">
        <v>4684</v>
      </c>
      <c r="F323" s="97">
        <v>1</v>
      </c>
      <c r="G323" s="36">
        <f t="shared" si="33"/>
        <v>28</v>
      </c>
      <c r="H323" s="97">
        <f t="shared" si="34"/>
        <v>0</v>
      </c>
      <c r="I323" s="97">
        <f t="shared" si="35"/>
        <v>-1120000</v>
      </c>
      <c r="J323" s="97">
        <f t="shared" si="36"/>
        <v>0</v>
      </c>
      <c r="K323" s="97">
        <f t="shared" si="37"/>
        <v>-1120000</v>
      </c>
    </row>
    <row r="324" spans="1:14">
      <c r="A324" s="97" t="s">
        <v>4685</v>
      </c>
      <c r="B324" s="18">
        <v>-66000</v>
      </c>
      <c r="C324" s="18">
        <v>0</v>
      </c>
      <c r="D324" s="18">
        <f t="shared" si="18"/>
        <v>-66000</v>
      </c>
      <c r="E324" s="97" t="s">
        <v>4684</v>
      </c>
      <c r="F324" s="97">
        <v>1</v>
      </c>
      <c r="G324" s="36">
        <f t="shared" si="33"/>
        <v>27</v>
      </c>
      <c r="H324" s="97">
        <f t="shared" si="34"/>
        <v>0</v>
      </c>
      <c r="I324" s="97">
        <f t="shared" si="35"/>
        <v>-1782000</v>
      </c>
      <c r="J324" s="97">
        <f t="shared" si="36"/>
        <v>0</v>
      </c>
      <c r="K324" s="97">
        <f t="shared" si="37"/>
        <v>-1782000</v>
      </c>
    </row>
    <row r="325" spans="1:14">
      <c r="A325" s="97" t="s">
        <v>4686</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4686</v>
      </c>
      <c r="B326" s="18">
        <v>-200500</v>
      </c>
      <c r="C326" s="18">
        <v>0</v>
      </c>
      <c r="D326" s="18">
        <f t="shared" si="18"/>
        <v>-200500</v>
      </c>
      <c r="E326" s="97" t="s">
        <v>4687</v>
      </c>
      <c r="F326" s="97">
        <v>2</v>
      </c>
      <c r="G326" s="36">
        <f t="shared" si="33"/>
        <v>26</v>
      </c>
      <c r="H326" s="97">
        <f t="shared" si="34"/>
        <v>0</v>
      </c>
      <c r="I326" s="97">
        <f t="shared" si="35"/>
        <v>-5213000</v>
      </c>
      <c r="J326" s="97">
        <f t="shared" si="36"/>
        <v>0</v>
      </c>
      <c r="K326" s="97">
        <f t="shared" si="37"/>
        <v>-5213000</v>
      </c>
      <c r="M326" t="s">
        <v>25</v>
      </c>
    </row>
    <row r="327" spans="1:14">
      <c r="A327" s="97" t="s">
        <v>4691</v>
      </c>
      <c r="B327" s="18">
        <v>1563000</v>
      </c>
      <c r="C327" s="18">
        <v>0</v>
      </c>
      <c r="D327" s="18">
        <f t="shared" si="18"/>
        <v>1563000</v>
      </c>
      <c r="E327" s="97" t="s">
        <v>4693</v>
      </c>
      <c r="F327" s="97">
        <v>0</v>
      </c>
      <c r="G327" s="36">
        <f t="shared" si="33"/>
        <v>24</v>
      </c>
      <c r="H327" s="97">
        <f t="shared" si="34"/>
        <v>1</v>
      </c>
      <c r="I327" s="97">
        <f t="shared" si="35"/>
        <v>35949000</v>
      </c>
      <c r="J327" s="97">
        <f t="shared" si="36"/>
        <v>0</v>
      </c>
      <c r="K327" s="97">
        <f t="shared" si="37"/>
        <v>35949000</v>
      </c>
    </row>
    <row r="328" spans="1:14">
      <c r="A328" s="97" t="s">
        <v>4691</v>
      </c>
      <c r="B328" s="18">
        <v>-160000</v>
      </c>
      <c r="C328" s="18">
        <v>0</v>
      </c>
      <c r="D328" s="18">
        <f t="shared" si="18"/>
        <v>-160000</v>
      </c>
      <c r="E328" s="97" t="s">
        <v>4131</v>
      </c>
      <c r="F328" s="97">
        <v>2</v>
      </c>
      <c r="G328" s="36">
        <f t="shared" si="33"/>
        <v>24</v>
      </c>
      <c r="H328" s="97">
        <f t="shared" si="34"/>
        <v>0</v>
      </c>
      <c r="I328" s="97">
        <f t="shared" si="35"/>
        <v>-3840000</v>
      </c>
      <c r="J328" s="97">
        <f t="shared" si="36"/>
        <v>0</v>
      </c>
      <c r="K328" s="97">
        <f t="shared" si="37"/>
        <v>-3840000</v>
      </c>
      <c r="N328" t="s">
        <v>25</v>
      </c>
    </row>
    <row r="329" spans="1:14">
      <c r="A329" s="97" t="s">
        <v>4700</v>
      </c>
      <c r="B329" s="18">
        <v>-20000</v>
      </c>
      <c r="C329" s="18">
        <v>0</v>
      </c>
      <c r="D329" s="18">
        <f t="shared" si="18"/>
        <v>-20000</v>
      </c>
      <c r="E329" s="97" t="s">
        <v>4703</v>
      </c>
      <c r="F329" s="97">
        <v>3</v>
      </c>
      <c r="G329" s="36">
        <f t="shared" si="33"/>
        <v>22</v>
      </c>
      <c r="H329" s="97">
        <f t="shared" si="34"/>
        <v>0</v>
      </c>
      <c r="I329" s="97">
        <f t="shared" si="35"/>
        <v>-440000</v>
      </c>
      <c r="J329" s="97">
        <f t="shared" si="36"/>
        <v>0</v>
      </c>
      <c r="K329" s="97">
        <f t="shared" si="37"/>
        <v>-440000</v>
      </c>
    </row>
    <row r="330" spans="1:14">
      <c r="A330" s="97" t="s">
        <v>957</v>
      </c>
      <c r="B330" s="18">
        <v>-30000</v>
      </c>
      <c r="C330" s="18">
        <v>0</v>
      </c>
      <c r="D330" s="18">
        <f t="shared" si="18"/>
        <v>-30000</v>
      </c>
      <c r="E330" s="97" t="s">
        <v>4712</v>
      </c>
      <c r="F330" s="97">
        <v>0</v>
      </c>
      <c r="G330" s="36">
        <f t="shared" si="33"/>
        <v>19</v>
      </c>
      <c r="H330" s="97">
        <f t="shared" si="34"/>
        <v>0</v>
      </c>
      <c r="I330" s="97">
        <f t="shared" si="35"/>
        <v>-570000</v>
      </c>
      <c r="J330" s="97">
        <f t="shared" si="36"/>
        <v>0</v>
      </c>
      <c r="K330" s="97">
        <f t="shared" si="37"/>
        <v>-570000</v>
      </c>
    </row>
    <row r="331" spans="1:14">
      <c r="A331" s="97" t="s">
        <v>957</v>
      </c>
      <c r="B331" s="18">
        <v>-790500</v>
      </c>
      <c r="C331" s="18">
        <v>0</v>
      </c>
      <c r="D331" s="18">
        <f t="shared" si="18"/>
        <v>-790500</v>
      </c>
      <c r="E331" s="97" t="s">
        <v>4717</v>
      </c>
      <c r="F331" s="97">
        <v>2</v>
      </c>
      <c r="G331" s="36">
        <f t="shared" si="33"/>
        <v>19</v>
      </c>
      <c r="H331" s="97">
        <f t="shared" si="34"/>
        <v>0</v>
      </c>
      <c r="I331" s="97">
        <f t="shared" si="35"/>
        <v>-15019500</v>
      </c>
      <c r="J331" s="97">
        <f t="shared" si="36"/>
        <v>0</v>
      </c>
      <c r="K331" s="97">
        <f t="shared" si="37"/>
        <v>-15019500</v>
      </c>
    </row>
    <row r="332" spans="1:14">
      <c r="A332" s="97" t="s">
        <v>4721</v>
      </c>
      <c r="B332" s="18">
        <v>-10932</v>
      </c>
      <c r="C332" s="18">
        <v>0</v>
      </c>
      <c r="D332" s="18">
        <f t="shared" si="18"/>
        <v>-10932</v>
      </c>
      <c r="E332" s="97" t="s">
        <v>3909</v>
      </c>
      <c r="F332" s="97">
        <v>2</v>
      </c>
      <c r="G332" s="36">
        <f t="shared" si="33"/>
        <v>17</v>
      </c>
      <c r="H332" s="97">
        <f t="shared" si="34"/>
        <v>0</v>
      </c>
      <c r="I332" s="97">
        <f t="shared" si="35"/>
        <v>-185844</v>
      </c>
      <c r="J332" s="97">
        <f t="shared" si="36"/>
        <v>0</v>
      </c>
      <c r="K332" s="97">
        <f t="shared" si="37"/>
        <v>-185844</v>
      </c>
    </row>
    <row r="333" spans="1:14">
      <c r="A333" s="97" t="s">
        <v>4726</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4729</v>
      </c>
      <c r="B334" s="18">
        <v>360000</v>
      </c>
      <c r="C334" s="18">
        <v>0</v>
      </c>
      <c r="D334" s="18">
        <f t="shared" si="18"/>
        <v>360000</v>
      </c>
      <c r="E334" s="97" t="s">
        <v>3873</v>
      </c>
      <c r="F334" s="97">
        <v>0</v>
      </c>
      <c r="G334" s="36">
        <f t="shared" si="33"/>
        <v>14</v>
      </c>
      <c r="H334" s="97">
        <f t="shared" si="34"/>
        <v>1</v>
      </c>
      <c r="I334" s="97">
        <f t="shared" si="35"/>
        <v>4680000</v>
      </c>
      <c r="J334" s="97">
        <f t="shared" si="36"/>
        <v>0</v>
      </c>
      <c r="K334" s="97">
        <f t="shared" si="37"/>
        <v>4680000</v>
      </c>
    </row>
    <row r="335" spans="1:14">
      <c r="A335" s="97" t="s">
        <v>4729</v>
      </c>
      <c r="B335" s="18">
        <v>-438200</v>
      </c>
      <c r="C335" s="18">
        <v>0</v>
      </c>
      <c r="D335" s="18">
        <f t="shared" si="18"/>
        <v>-438200</v>
      </c>
      <c r="E335" s="97" t="s">
        <v>3996</v>
      </c>
      <c r="F335" s="97">
        <v>0</v>
      </c>
      <c r="G335" s="36">
        <f t="shared" si="33"/>
        <v>14</v>
      </c>
      <c r="H335" s="97">
        <f t="shared" si="34"/>
        <v>0</v>
      </c>
      <c r="I335" s="97">
        <f t="shared" si="35"/>
        <v>-6134800</v>
      </c>
      <c r="J335" s="97">
        <f t="shared" si="36"/>
        <v>0</v>
      </c>
      <c r="K335" s="97">
        <f t="shared" si="37"/>
        <v>-6134800</v>
      </c>
    </row>
    <row r="336" spans="1:14">
      <c r="A336" s="11" t="s">
        <v>4729</v>
      </c>
      <c r="B336" s="18">
        <v>-299000</v>
      </c>
      <c r="C336" s="18">
        <v>0</v>
      </c>
      <c r="D336" s="18">
        <f t="shared" si="18"/>
        <v>-299000</v>
      </c>
      <c r="E336" s="97" t="s">
        <v>3909</v>
      </c>
      <c r="F336" s="97">
        <v>1</v>
      </c>
      <c r="G336" s="36">
        <f t="shared" si="33"/>
        <v>14</v>
      </c>
      <c r="H336" s="97">
        <f t="shared" si="34"/>
        <v>0</v>
      </c>
      <c r="I336" s="97">
        <f t="shared" si="35"/>
        <v>-4186000</v>
      </c>
      <c r="J336" s="97">
        <f t="shared" si="36"/>
        <v>0</v>
      </c>
      <c r="K336" s="97">
        <f t="shared" si="37"/>
        <v>-4186000</v>
      </c>
    </row>
    <row r="337" spans="1:13">
      <c r="A337" s="11" t="s">
        <v>4731</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4731</v>
      </c>
      <c r="B338" s="18">
        <v>-360000</v>
      </c>
      <c r="C338" s="18">
        <v>0</v>
      </c>
      <c r="D338" s="18">
        <f t="shared" si="18"/>
        <v>-360000</v>
      </c>
      <c r="E338" s="97" t="s">
        <v>3909</v>
      </c>
      <c r="F338" s="97">
        <v>1</v>
      </c>
      <c r="G338" s="36">
        <f>G339+F338</f>
        <v>13</v>
      </c>
      <c r="H338" s="97">
        <f>IF(B338&gt;0,1,0)</f>
        <v>0</v>
      </c>
      <c r="I338" s="97">
        <f>B338*(G338-H338)</f>
        <v>-4680000</v>
      </c>
      <c r="J338" s="97">
        <f>C338*(G338-H338)</f>
        <v>0</v>
      </c>
      <c r="K338" s="97">
        <f>D338*(G338-H338)</f>
        <v>-4680000</v>
      </c>
    </row>
    <row r="339" spans="1:13">
      <c r="A339" s="97" t="s">
        <v>4732</v>
      </c>
      <c r="B339" s="18">
        <v>-2000000</v>
      </c>
      <c r="C339" s="18">
        <v>0</v>
      </c>
      <c r="D339" s="18">
        <f t="shared" si="18"/>
        <v>-2000000</v>
      </c>
      <c r="E339" s="97" t="s">
        <v>4232</v>
      </c>
      <c r="F339" s="97">
        <v>0</v>
      </c>
      <c r="G339" s="36">
        <f>G340+F339</f>
        <v>12</v>
      </c>
      <c r="H339" s="97">
        <f>IF(B339&gt;0,1,0)</f>
        <v>0</v>
      </c>
      <c r="I339" s="97">
        <f>B339*(G339-H339)</f>
        <v>-24000000</v>
      </c>
      <c r="J339" s="97">
        <f>C339*(G339-H339)</f>
        <v>0</v>
      </c>
      <c r="K339" s="97">
        <f>D339*(G339-H339)</f>
        <v>-24000000</v>
      </c>
    </row>
    <row r="340" spans="1:13">
      <c r="A340" s="97" t="s">
        <v>4732</v>
      </c>
      <c r="B340" s="18">
        <v>280000</v>
      </c>
      <c r="C340" s="18">
        <v>0</v>
      </c>
      <c r="D340" s="18">
        <f t="shared" si="18"/>
        <v>280000</v>
      </c>
      <c r="E340" s="97" t="s">
        <v>3873</v>
      </c>
      <c r="F340" s="97">
        <v>1</v>
      </c>
      <c r="G340" s="36">
        <f>G341+F340</f>
        <v>12</v>
      </c>
      <c r="H340" s="97">
        <f>IF(B340&gt;0,1,0)</f>
        <v>1</v>
      </c>
      <c r="I340" s="97">
        <f>B340*(G340-H340)</f>
        <v>3080000</v>
      </c>
      <c r="J340" s="97">
        <f>C340*(G340-H340)</f>
        <v>0</v>
      </c>
      <c r="K340" s="97">
        <f>D340*(G340-H340)</f>
        <v>3080000</v>
      </c>
    </row>
    <row r="341" spans="1:13">
      <c r="A341" s="97" t="s">
        <v>4737</v>
      </c>
      <c r="B341" s="18">
        <v>433375</v>
      </c>
      <c r="C341" s="18">
        <v>0</v>
      </c>
      <c r="D341" s="18">
        <f t="shared" si="18"/>
        <v>433375</v>
      </c>
      <c r="E341" s="97" t="s">
        <v>4740</v>
      </c>
      <c r="F341" s="97">
        <v>1</v>
      </c>
      <c r="G341" s="36">
        <f>G342+F341</f>
        <v>11</v>
      </c>
      <c r="H341" s="97">
        <f>IF(B341&gt;0,1,0)</f>
        <v>1</v>
      </c>
      <c r="I341" s="97">
        <f>B341*(G341-H341)</f>
        <v>4333750</v>
      </c>
      <c r="J341" s="97">
        <f>C341*(G341-H341)</f>
        <v>0</v>
      </c>
      <c r="K341" s="97">
        <f>D341*(G341-H341)</f>
        <v>4333750</v>
      </c>
      <c r="M341" t="s">
        <v>25</v>
      </c>
    </row>
    <row r="342" spans="1:13">
      <c r="A342" s="97" t="s">
        <v>4746</v>
      </c>
      <c r="B342" s="18">
        <v>2000000</v>
      </c>
      <c r="C342" s="18">
        <v>0</v>
      </c>
      <c r="D342" s="18">
        <f t="shared" si="18"/>
        <v>2000000</v>
      </c>
      <c r="E342" s="97" t="s">
        <v>3873</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4746</v>
      </c>
      <c r="B343" s="18">
        <v>-300000</v>
      </c>
      <c r="C343" s="18">
        <v>0</v>
      </c>
      <c r="D343" s="18">
        <f t="shared" si="18"/>
        <v>-300000</v>
      </c>
      <c r="E343" s="97" t="s">
        <v>4748</v>
      </c>
      <c r="F343" s="97">
        <v>0</v>
      </c>
      <c r="G343" s="36">
        <f t="shared" si="38"/>
        <v>10</v>
      </c>
      <c r="H343" s="97">
        <f t="shared" si="39"/>
        <v>0</v>
      </c>
      <c r="I343" s="97">
        <f t="shared" si="40"/>
        <v>-3000000</v>
      </c>
      <c r="J343" s="97">
        <f t="shared" si="41"/>
        <v>0</v>
      </c>
      <c r="K343" s="97">
        <f t="shared" si="42"/>
        <v>-3000000</v>
      </c>
    </row>
    <row r="344" spans="1:13">
      <c r="A344" s="97" t="s">
        <v>4746</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964</v>
      </c>
      <c r="B345" s="18">
        <v>-1417727</v>
      </c>
      <c r="C345" s="18">
        <v>0</v>
      </c>
      <c r="D345" s="18">
        <f t="shared" si="18"/>
        <v>-1417727</v>
      </c>
      <c r="E345" s="97" t="s">
        <v>4750</v>
      </c>
      <c r="F345" s="97">
        <v>3</v>
      </c>
      <c r="G345" s="36">
        <f t="shared" si="38"/>
        <v>9</v>
      </c>
      <c r="H345" s="97">
        <f t="shared" si="39"/>
        <v>0</v>
      </c>
      <c r="I345" s="97">
        <f t="shared" si="40"/>
        <v>-12759543</v>
      </c>
      <c r="J345" s="97">
        <f t="shared" si="41"/>
        <v>0</v>
      </c>
      <c r="K345" s="97">
        <f t="shared" si="42"/>
        <v>-12759543</v>
      </c>
      <c r="L345" t="s">
        <v>25</v>
      </c>
    </row>
    <row r="346" spans="1:13">
      <c r="A346" s="97" t="s">
        <v>4755</v>
      </c>
      <c r="B346" s="18">
        <v>-80575</v>
      </c>
      <c r="C346" s="18">
        <v>0</v>
      </c>
      <c r="D346" s="18">
        <f t="shared" si="18"/>
        <v>-80575</v>
      </c>
      <c r="E346" s="97" t="s">
        <v>3996</v>
      </c>
      <c r="F346" s="97">
        <v>5</v>
      </c>
      <c r="G346" s="36">
        <f t="shared" si="38"/>
        <v>6</v>
      </c>
      <c r="H346" s="97">
        <f t="shared" si="39"/>
        <v>0</v>
      </c>
      <c r="I346" s="97">
        <f t="shared" si="40"/>
        <v>-483450</v>
      </c>
      <c r="J346" s="97">
        <f t="shared" si="41"/>
        <v>0</v>
      </c>
      <c r="K346" s="97">
        <f t="shared" si="42"/>
        <v>-483450</v>
      </c>
    </row>
    <row r="347" spans="1:13">
      <c r="A347" s="97" t="s">
        <v>4752</v>
      </c>
      <c r="B347" s="18">
        <v>-960200</v>
      </c>
      <c r="C347" s="18">
        <v>0</v>
      </c>
      <c r="D347" s="18">
        <f t="shared" si="18"/>
        <v>-960200</v>
      </c>
      <c r="E347" s="97" t="s">
        <v>4756</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838</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745</v>
      </c>
      <c r="B158" s="3">
        <v>24295200</v>
      </c>
      <c r="C158" s="11">
        <v>0</v>
      </c>
      <c r="D158" s="11">
        <f t="shared" si="6"/>
        <v>968</v>
      </c>
      <c r="E158" s="11">
        <f t="shared" si="7"/>
        <v>1</v>
      </c>
      <c r="F158" s="11">
        <f t="shared" si="5"/>
        <v>23493458400</v>
      </c>
      <c r="G158" s="11" t="s">
        <v>742</v>
      </c>
    </row>
    <row r="159" spans="1:11">
      <c r="A159" s="11" t="s">
        <v>745</v>
      </c>
      <c r="B159" s="3">
        <v>-201000</v>
      </c>
      <c r="C159" s="11">
        <v>5</v>
      </c>
      <c r="D159" s="11">
        <f t="shared" si="6"/>
        <v>968</v>
      </c>
      <c r="E159" s="11">
        <f t="shared" si="7"/>
        <v>0</v>
      </c>
      <c r="F159" s="11">
        <f t="shared" si="5"/>
        <v>-194568000</v>
      </c>
      <c r="G159" s="11" t="s">
        <v>748</v>
      </c>
    </row>
    <row r="160" spans="1:11">
      <c r="A160" s="11" t="s">
        <v>749</v>
      </c>
      <c r="B160" s="3">
        <v>-200000</v>
      </c>
      <c r="C160" s="11">
        <v>3</v>
      </c>
      <c r="D160" s="11">
        <f t="shared" si="6"/>
        <v>963</v>
      </c>
      <c r="E160" s="11">
        <f t="shared" si="7"/>
        <v>0</v>
      </c>
      <c r="F160" s="11">
        <f t="shared" si="5"/>
        <v>-192600000</v>
      </c>
      <c r="G160" s="11" t="s">
        <v>750</v>
      </c>
    </row>
    <row r="161" spans="1:7">
      <c r="A161" s="11" t="s">
        <v>756</v>
      </c>
      <c r="B161" s="3">
        <v>-200000</v>
      </c>
      <c r="C161" s="11">
        <v>4</v>
      </c>
      <c r="D161" s="11">
        <f t="shared" si="6"/>
        <v>960</v>
      </c>
      <c r="E161" s="11">
        <f t="shared" si="7"/>
        <v>0</v>
      </c>
      <c r="F161" s="11">
        <f t="shared" si="5"/>
        <v>-192000000</v>
      </c>
      <c r="G161" s="11" t="s">
        <v>750</v>
      </c>
    </row>
    <row r="162" spans="1:7">
      <c r="A162" s="11" t="s">
        <v>758</v>
      </c>
      <c r="B162" s="3">
        <v>-200000</v>
      </c>
      <c r="C162" s="11">
        <v>3</v>
      </c>
      <c r="D162" s="11">
        <f t="shared" si="6"/>
        <v>956</v>
      </c>
      <c r="E162" s="11">
        <f t="shared" si="7"/>
        <v>0</v>
      </c>
      <c r="F162" s="11">
        <f t="shared" si="5"/>
        <v>-191200000</v>
      </c>
      <c r="G162" s="11" t="s">
        <v>750</v>
      </c>
    </row>
    <row r="163" spans="1:7">
      <c r="A163" s="11" t="s">
        <v>759</v>
      </c>
      <c r="B163" s="3">
        <v>-200000</v>
      </c>
      <c r="C163" s="11">
        <v>7</v>
      </c>
      <c r="D163" s="11">
        <f t="shared" si="6"/>
        <v>953</v>
      </c>
      <c r="E163" s="11">
        <f t="shared" si="7"/>
        <v>0</v>
      </c>
      <c r="F163" s="11">
        <f t="shared" si="5"/>
        <v>-190600000</v>
      </c>
      <c r="G163" s="11" t="s">
        <v>750</v>
      </c>
    </row>
    <row r="164" spans="1:7">
      <c r="A164" s="11" t="s">
        <v>627</v>
      </c>
      <c r="B164" s="3">
        <v>457674</v>
      </c>
      <c r="C164" s="11">
        <v>3</v>
      </c>
      <c r="D164" s="11">
        <f t="shared" si="6"/>
        <v>946</v>
      </c>
      <c r="E164" s="11">
        <f t="shared" si="7"/>
        <v>1</v>
      </c>
      <c r="F164" s="11">
        <f t="shared" si="5"/>
        <v>432501930</v>
      </c>
      <c r="G164" s="11" t="s">
        <v>763</v>
      </c>
    </row>
    <row r="165" spans="1:7">
      <c r="A165" s="11" t="s">
        <v>768</v>
      </c>
      <c r="B165" s="3">
        <v>2700000</v>
      </c>
      <c r="C165" s="11">
        <v>0</v>
      </c>
      <c r="D165" s="11">
        <f t="shared" si="6"/>
        <v>943</v>
      </c>
      <c r="E165" s="11">
        <f t="shared" si="7"/>
        <v>1</v>
      </c>
      <c r="F165" s="11">
        <f t="shared" si="5"/>
        <v>2543400000</v>
      </c>
      <c r="G165" s="11" t="s">
        <v>769</v>
      </c>
    </row>
    <row r="166" spans="1:7">
      <c r="A166" s="11" t="s">
        <v>768</v>
      </c>
      <c r="B166" s="3">
        <v>2500000</v>
      </c>
      <c r="C166" s="11">
        <v>7</v>
      </c>
      <c r="D166" s="11">
        <f t="shared" si="6"/>
        <v>943</v>
      </c>
      <c r="E166" s="11">
        <f t="shared" si="7"/>
        <v>1</v>
      </c>
      <c r="F166" s="11">
        <f t="shared" si="5"/>
        <v>2355000000</v>
      </c>
      <c r="G166" s="11" t="s">
        <v>770</v>
      </c>
    </row>
    <row r="167" spans="1:7">
      <c r="A167" s="11" t="s">
        <v>776</v>
      </c>
      <c r="B167" s="3">
        <v>-200000</v>
      </c>
      <c r="C167" s="11">
        <v>2</v>
      </c>
      <c r="D167" s="11">
        <f t="shared" si="6"/>
        <v>936</v>
      </c>
      <c r="E167" s="11">
        <f t="shared" si="7"/>
        <v>0</v>
      </c>
      <c r="F167" s="11">
        <f t="shared" si="5"/>
        <v>-187200000</v>
      </c>
      <c r="G167" s="11" t="s">
        <v>499</v>
      </c>
    </row>
    <row r="168" spans="1:7">
      <c r="A168" s="11" t="s">
        <v>777</v>
      </c>
      <c r="B168" s="3">
        <v>-200000</v>
      </c>
      <c r="C168" s="11">
        <v>6</v>
      </c>
      <c r="D168" s="11">
        <f t="shared" si="6"/>
        <v>934</v>
      </c>
      <c r="E168" s="11">
        <f t="shared" si="7"/>
        <v>0</v>
      </c>
      <c r="F168" s="11">
        <f t="shared" si="5"/>
        <v>-186800000</v>
      </c>
      <c r="G168" s="11" t="s">
        <v>499</v>
      </c>
    </row>
    <row r="169" spans="1:7">
      <c r="A169" s="11" t="s">
        <v>779</v>
      </c>
      <c r="B169" s="3">
        <v>-200000</v>
      </c>
      <c r="C169" s="11">
        <v>3</v>
      </c>
      <c r="D169" s="11">
        <f t="shared" si="6"/>
        <v>928</v>
      </c>
      <c r="E169" s="11">
        <f t="shared" si="7"/>
        <v>0</v>
      </c>
      <c r="F169" s="11">
        <f t="shared" si="5"/>
        <v>-185600000</v>
      </c>
      <c r="G169" s="11" t="s">
        <v>499</v>
      </c>
    </row>
    <row r="170" spans="1:7">
      <c r="A170" s="11" t="s">
        <v>784</v>
      </c>
      <c r="B170" s="3">
        <v>-200000</v>
      </c>
      <c r="C170" s="11">
        <v>0</v>
      </c>
      <c r="D170" s="11">
        <f t="shared" si="6"/>
        <v>925</v>
      </c>
      <c r="E170" s="11">
        <f t="shared" si="7"/>
        <v>0</v>
      </c>
      <c r="F170" s="11">
        <f t="shared" si="5"/>
        <v>-185000000</v>
      </c>
      <c r="G170" s="11" t="s">
        <v>499</v>
      </c>
    </row>
    <row r="171" spans="1:7">
      <c r="A171" s="11" t="s">
        <v>784</v>
      </c>
      <c r="B171" s="3">
        <v>3000000</v>
      </c>
      <c r="C171" s="11">
        <v>3</v>
      </c>
      <c r="D171" s="11">
        <f t="shared" si="6"/>
        <v>925</v>
      </c>
      <c r="E171" s="11">
        <f t="shared" si="7"/>
        <v>1</v>
      </c>
      <c r="F171" s="11">
        <f t="shared" si="5"/>
        <v>2772000000</v>
      </c>
      <c r="G171" s="11" t="s">
        <v>785</v>
      </c>
    </row>
    <row r="172" spans="1:7">
      <c r="A172" s="11" t="s">
        <v>786</v>
      </c>
      <c r="B172" s="3">
        <v>-200000</v>
      </c>
      <c r="C172" s="11">
        <v>1</v>
      </c>
      <c r="D172" s="11">
        <f t="shared" si="6"/>
        <v>922</v>
      </c>
      <c r="E172" s="11">
        <f t="shared" si="7"/>
        <v>0</v>
      </c>
      <c r="F172" s="11">
        <f t="shared" si="5"/>
        <v>-184400000</v>
      </c>
      <c r="G172" s="11" t="s">
        <v>158</v>
      </c>
    </row>
    <row r="173" spans="1:7">
      <c r="A173" s="11" t="s">
        <v>786</v>
      </c>
      <c r="B173" s="3">
        <v>3000000</v>
      </c>
      <c r="C173" s="11">
        <v>1</v>
      </c>
      <c r="D173" s="11">
        <f t="shared" si="6"/>
        <v>921</v>
      </c>
      <c r="E173" s="11">
        <f t="shared" si="7"/>
        <v>1</v>
      </c>
      <c r="F173" s="11">
        <f t="shared" si="5"/>
        <v>2760000000</v>
      </c>
      <c r="G173" s="11" t="s">
        <v>788</v>
      </c>
    </row>
    <row r="174" spans="1:7">
      <c r="A174" s="11" t="s">
        <v>787</v>
      </c>
      <c r="B174" s="3">
        <v>2000000</v>
      </c>
      <c r="C174" s="11">
        <v>1</v>
      </c>
      <c r="D174" s="11">
        <f t="shared" si="6"/>
        <v>920</v>
      </c>
      <c r="E174" s="11">
        <f t="shared" si="7"/>
        <v>1</v>
      </c>
      <c r="F174" s="11">
        <f t="shared" si="5"/>
        <v>1838000000</v>
      </c>
      <c r="G174" s="11" t="s">
        <v>789</v>
      </c>
    </row>
    <row r="175" spans="1:7">
      <c r="A175" s="11" t="s">
        <v>787</v>
      </c>
      <c r="B175" s="3">
        <v>1300000</v>
      </c>
      <c r="C175" s="11">
        <v>2</v>
      </c>
      <c r="D175" s="11">
        <f t="shared" si="6"/>
        <v>919</v>
      </c>
      <c r="E175" s="11">
        <f t="shared" si="7"/>
        <v>1</v>
      </c>
      <c r="F175" s="11">
        <f t="shared" si="5"/>
        <v>1193400000</v>
      </c>
      <c r="G175" s="11" t="s">
        <v>790</v>
      </c>
    </row>
    <row r="176" spans="1:7">
      <c r="A176" s="11" t="s">
        <v>791</v>
      </c>
      <c r="B176" s="3">
        <v>-200000</v>
      </c>
      <c r="C176" s="11">
        <v>0</v>
      </c>
      <c r="D176" s="11">
        <f t="shared" si="6"/>
        <v>917</v>
      </c>
      <c r="E176" s="11">
        <f t="shared" si="7"/>
        <v>0</v>
      </c>
      <c r="F176" s="11">
        <f t="shared" si="5"/>
        <v>-183400000</v>
      </c>
      <c r="G176" s="11" t="s">
        <v>750</v>
      </c>
    </row>
    <row r="177" spans="1:7">
      <c r="A177" s="11" t="s">
        <v>791</v>
      </c>
      <c r="B177" s="3">
        <v>1700000</v>
      </c>
      <c r="C177" s="11">
        <v>1</v>
      </c>
      <c r="D177" s="11">
        <f t="shared" si="6"/>
        <v>917</v>
      </c>
      <c r="E177" s="11">
        <f t="shared" si="7"/>
        <v>1</v>
      </c>
      <c r="F177" s="11">
        <f t="shared" si="5"/>
        <v>1557200000</v>
      </c>
      <c r="G177" s="11" t="s">
        <v>792</v>
      </c>
    </row>
    <row r="178" spans="1:7">
      <c r="A178" s="11" t="s">
        <v>793</v>
      </c>
      <c r="B178" s="3">
        <v>-200000</v>
      </c>
      <c r="C178" s="11">
        <v>1</v>
      </c>
      <c r="D178" s="11">
        <f t="shared" si="6"/>
        <v>916</v>
      </c>
      <c r="E178" s="11">
        <f t="shared" si="7"/>
        <v>0</v>
      </c>
      <c r="F178" s="11">
        <f t="shared" si="5"/>
        <v>-183200000</v>
      </c>
      <c r="G178" s="11" t="s">
        <v>499</v>
      </c>
    </row>
    <row r="179" spans="1:7">
      <c r="A179" s="11" t="s">
        <v>795</v>
      </c>
      <c r="B179" s="3">
        <v>571492</v>
      </c>
      <c r="C179" s="11">
        <v>3</v>
      </c>
      <c r="D179" s="11">
        <f t="shared" si="6"/>
        <v>915</v>
      </c>
      <c r="E179" s="11">
        <f t="shared" si="7"/>
        <v>1</v>
      </c>
      <c r="F179" s="11">
        <f t="shared" si="5"/>
        <v>522343688</v>
      </c>
      <c r="G179" s="11" t="s">
        <v>242</v>
      </c>
    </row>
    <row r="180" spans="1:7">
      <c r="A180" s="11" t="s">
        <v>800</v>
      </c>
      <c r="B180" s="3">
        <v>3000000</v>
      </c>
      <c r="C180" s="11">
        <v>7</v>
      </c>
      <c r="D180" s="11">
        <f t="shared" si="6"/>
        <v>912</v>
      </c>
      <c r="E180" s="11">
        <f t="shared" si="7"/>
        <v>1</v>
      </c>
      <c r="F180" s="11">
        <f t="shared" si="5"/>
        <v>2733000000</v>
      </c>
      <c r="G180" s="11" t="s">
        <v>803</v>
      </c>
    </row>
    <row r="181" spans="1:7">
      <c r="A181" s="11" t="s">
        <v>812</v>
      </c>
      <c r="B181" s="3">
        <v>2000000</v>
      </c>
      <c r="C181" s="11">
        <v>8</v>
      </c>
      <c r="D181" s="11">
        <f t="shared" si="6"/>
        <v>905</v>
      </c>
      <c r="E181" s="11">
        <f t="shared" si="7"/>
        <v>1</v>
      </c>
      <c r="F181" s="11">
        <f t="shared" si="5"/>
        <v>1808000000</v>
      </c>
      <c r="G181" s="11" t="s">
        <v>813</v>
      </c>
    </row>
    <row r="182" spans="1:7">
      <c r="A182" s="11" t="s">
        <v>824</v>
      </c>
      <c r="B182" s="3">
        <v>-2200700</v>
      </c>
      <c r="C182" s="11">
        <v>12</v>
      </c>
      <c r="D182" s="11">
        <f t="shared" si="6"/>
        <v>897</v>
      </c>
      <c r="E182" s="11">
        <f t="shared" si="7"/>
        <v>0</v>
      </c>
      <c r="F182" s="11">
        <f t="shared" si="5"/>
        <v>-1974027900</v>
      </c>
      <c r="G182" s="11" t="s">
        <v>826</v>
      </c>
    </row>
    <row r="183" spans="1:7">
      <c r="A183" s="11" t="s">
        <v>834</v>
      </c>
      <c r="B183" s="3">
        <v>675087</v>
      </c>
      <c r="C183" s="11">
        <v>30</v>
      </c>
      <c r="D183" s="11">
        <f t="shared" si="6"/>
        <v>885</v>
      </c>
      <c r="E183" s="11">
        <f t="shared" si="7"/>
        <v>1</v>
      </c>
      <c r="F183" s="11">
        <f t="shared" si="5"/>
        <v>596776908</v>
      </c>
      <c r="G183" s="11" t="s">
        <v>264</v>
      </c>
    </row>
    <row r="184" spans="1:7">
      <c r="A184" s="11" t="s">
        <v>870</v>
      </c>
      <c r="B184" s="3">
        <v>677000</v>
      </c>
      <c r="C184" s="11">
        <v>15</v>
      </c>
      <c r="D184" s="11">
        <f>D185+C184</f>
        <v>855</v>
      </c>
      <c r="E184" s="11">
        <f t="shared" si="7"/>
        <v>1</v>
      </c>
      <c r="F184" s="11">
        <f t="shared" si="5"/>
        <v>578158000</v>
      </c>
      <c r="G184" s="11" t="s">
        <v>400</v>
      </c>
    </row>
    <row r="185" spans="1:7">
      <c r="A185" s="11" t="s">
        <v>895</v>
      </c>
      <c r="B185" s="3">
        <v>-10000</v>
      </c>
      <c r="C185" s="11">
        <v>5</v>
      </c>
      <c r="D185" s="11">
        <f t="shared" si="6"/>
        <v>840</v>
      </c>
      <c r="E185" s="11">
        <f t="shared" si="7"/>
        <v>0</v>
      </c>
      <c r="F185" s="11">
        <f t="shared" si="5"/>
        <v>-8400000</v>
      </c>
      <c r="G185" s="11" t="s">
        <v>901</v>
      </c>
    </row>
    <row r="186" spans="1:7">
      <c r="A186" s="11" t="s">
        <v>912</v>
      </c>
      <c r="B186" s="3">
        <v>-80500000</v>
      </c>
      <c r="C186" s="11">
        <v>5</v>
      </c>
      <c r="D186" s="11">
        <f t="shared" ref="D186:D275" si="8">D187+C186</f>
        <v>835</v>
      </c>
      <c r="E186" s="11">
        <f t="shared" si="7"/>
        <v>0</v>
      </c>
      <c r="F186" s="11">
        <f t="shared" si="5"/>
        <v>-67217500000</v>
      </c>
      <c r="G186" s="11" t="s">
        <v>1001</v>
      </c>
    </row>
    <row r="187" spans="1:7">
      <c r="A187" s="11" t="s">
        <v>1000</v>
      </c>
      <c r="B187" s="3">
        <v>-1100000</v>
      </c>
      <c r="C187" s="11">
        <v>0</v>
      </c>
      <c r="D187" s="11">
        <f t="shared" si="8"/>
        <v>830</v>
      </c>
      <c r="E187" s="11">
        <f t="shared" si="7"/>
        <v>0</v>
      </c>
      <c r="F187" s="11">
        <f t="shared" si="5"/>
        <v>-913000000</v>
      </c>
      <c r="G187" s="11" t="s">
        <v>1001</v>
      </c>
    </row>
    <row r="188" spans="1:7">
      <c r="A188" s="11" t="s">
        <v>1000</v>
      </c>
      <c r="B188" s="3">
        <v>3000000</v>
      </c>
      <c r="C188" s="11">
        <v>1</v>
      </c>
      <c r="D188" s="11">
        <f t="shared" si="8"/>
        <v>830</v>
      </c>
      <c r="E188" s="11">
        <f t="shared" si="7"/>
        <v>1</v>
      </c>
      <c r="F188" s="11">
        <f t="shared" si="5"/>
        <v>2487000000</v>
      </c>
      <c r="G188" s="11" t="s">
        <v>1012</v>
      </c>
    </row>
    <row r="189" spans="1:7">
      <c r="A189" s="11" t="s">
        <v>1011</v>
      </c>
      <c r="B189" s="3">
        <v>2000000</v>
      </c>
      <c r="C189" s="11">
        <v>0</v>
      </c>
      <c r="D189" s="11">
        <f t="shared" si="8"/>
        <v>829</v>
      </c>
      <c r="E189" s="11">
        <f t="shared" si="7"/>
        <v>1</v>
      </c>
      <c r="F189" s="11">
        <f t="shared" si="5"/>
        <v>1656000000</v>
      </c>
      <c r="G189" s="11" t="s">
        <v>1012</v>
      </c>
    </row>
    <row r="190" spans="1:7">
      <c r="A190" s="11" t="s">
        <v>1011</v>
      </c>
      <c r="B190" s="3">
        <v>-5000000</v>
      </c>
      <c r="C190" s="11">
        <v>1</v>
      </c>
      <c r="D190" s="11">
        <f t="shared" si="8"/>
        <v>829</v>
      </c>
      <c r="E190" s="11">
        <f t="shared" si="7"/>
        <v>0</v>
      </c>
      <c r="F190" s="11">
        <f t="shared" si="5"/>
        <v>-4145000000</v>
      </c>
      <c r="G190" s="11" t="s">
        <v>1001</v>
      </c>
    </row>
    <row r="191" spans="1:7">
      <c r="A191" s="11" t="s">
        <v>1017</v>
      </c>
      <c r="B191" s="3">
        <v>483248</v>
      </c>
      <c r="C191" s="11">
        <v>4</v>
      </c>
      <c r="D191" s="11">
        <f t="shared" si="8"/>
        <v>828</v>
      </c>
      <c r="E191" s="11">
        <f t="shared" si="7"/>
        <v>1</v>
      </c>
      <c r="F191" s="11">
        <f t="shared" si="5"/>
        <v>399646096</v>
      </c>
      <c r="G191" s="11" t="s">
        <v>1019</v>
      </c>
    </row>
    <row r="192" spans="1:7">
      <c r="A192" s="11" t="s">
        <v>1045</v>
      </c>
      <c r="B192" s="3">
        <v>-115300</v>
      </c>
      <c r="C192" s="11">
        <v>4</v>
      </c>
      <c r="D192" s="11">
        <f t="shared" si="8"/>
        <v>824</v>
      </c>
      <c r="E192" s="11">
        <f t="shared" si="7"/>
        <v>0</v>
      </c>
      <c r="F192" s="11">
        <f t="shared" si="5"/>
        <v>-95007200</v>
      </c>
      <c r="G192" s="11" t="s">
        <v>1046</v>
      </c>
    </row>
    <row r="193" spans="1:7">
      <c r="A193" s="11" t="s">
        <v>1056</v>
      </c>
      <c r="B193" s="3">
        <v>90000000</v>
      </c>
      <c r="C193" s="11">
        <v>7</v>
      </c>
      <c r="D193" s="11">
        <f t="shared" si="8"/>
        <v>820</v>
      </c>
      <c r="E193" s="11">
        <f t="shared" si="7"/>
        <v>1</v>
      </c>
      <c r="F193" s="11">
        <f t="shared" si="5"/>
        <v>73710000000</v>
      </c>
      <c r="G193" s="11" t="s">
        <v>1057</v>
      </c>
    </row>
    <row r="194" spans="1:7">
      <c r="A194" s="11" t="s">
        <v>1060</v>
      </c>
      <c r="B194" s="3">
        <v>52000000</v>
      </c>
      <c r="C194" s="11">
        <v>0</v>
      </c>
      <c r="D194" s="11">
        <f t="shared" si="8"/>
        <v>813</v>
      </c>
      <c r="E194" s="11">
        <f t="shared" si="7"/>
        <v>1</v>
      </c>
      <c r="F194" s="11">
        <f t="shared" si="5"/>
        <v>42224000000</v>
      </c>
      <c r="G194" s="11" t="s">
        <v>1065</v>
      </c>
    </row>
    <row r="195" spans="1:7">
      <c r="A195" s="11" t="s">
        <v>1060</v>
      </c>
      <c r="B195" s="3">
        <v>25000000</v>
      </c>
      <c r="C195" s="11">
        <v>0</v>
      </c>
      <c r="D195" s="11">
        <f t="shared" si="8"/>
        <v>813</v>
      </c>
      <c r="E195" s="11">
        <f t="shared" si="7"/>
        <v>1</v>
      </c>
      <c r="F195" s="97">
        <f t="shared" si="5"/>
        <v>20300000000</v>
      </c>
      <c r="G195" s="11" t="s">
        <v>1066</v>
      </c>
    </row>
    <row r="196" spans="1:7">
      <c r="A196" s="11" t="s">
        <v>1060</v>
      </c>
      <c r="B196" s="3">
        <v>-168000000</v>
      </c>
      <c r="C196" s="11">
        <v>7</v>
      </c>
      <c r="D196" s="97">
        <f t="shared" si="8"/>
        <v>813</v>
      </c>
      <c r="E196" s="97">
        <f t="shared" si="7"/>
        <v>0</v>
      </c>
      <c r="F196" s="97">
        <f t="shared" si="5"/>
        <v>-136584000000</v>
      </c>
      <c r="G196" s="11" t="s">
        <v>1067</v>
      </c>
    </row>
    <row r="197" spans="1:7">
      <c r="A197" s="11" t="s">
        <v>1113</v>
      </c>
      <c r="B197" s="3">
        <v>-165500</v>
      </c>
      <c r="C197" s="11">
        <v>4</v>
      </c>
      <c r="D197" s="97">
        <f t="shared" si="8"/>
        <v>806</v>
      </c>
      <c r="E197" s="97">
        <f t="shared" si="7"/>
        <v>0</v>
      </c>
      <c r="F197" s="97">
        <f t="shared" si="5"/>
        <v>-133393000</v>
      </c>
      <c r="G197" s="11" t="s">
        <v>1114</v>
      </c>
    </row>
    <row r="198" spans="1:7">
      <c r="A198" s="97" t="s">
        <v>1115</v>
      </c>
      <c r="B198" s="111">
        <v>-200000</v>
      </c>
      <c r="C198" s="97">
        <v>0</v>
      </c>
      <c r="D198" s="97">
        <f t="shared" si="8"/>
        <v>802</v>
      </c>
      <c r="E198" s="97">
        <f t="shared" si="7"/>
        <v>0</v>
      </c>
      <c r="F198" s="97">
        <f t="shared" si="5"/>
        <v>-160400000</v>
      </c>
      <c r="G198" s="97" t="s">
        <v>1116</v>
      </c>
    </row>
    <row r="199" spans="1:7">
      <c r="A199" s="97" t="s">
        <v>1115</v>
      </c>
      <c r="B199" s="111">
        <v>-46981</v>
      </c>
      <c r="C199" s="97">
        <v>3</v>
      </c>
      <c r="D199" s="97">
        <f t="shared" si="8"/>
        <v>802</v>
      </c>
      <c r="E199" s="97">
        <f t="shared" si="7"/>
        <v>0</v>
      </c>
      <c r="F199" s="97">
        <f t="shared" si="5"/>
        <v>-37678762</v>
      </c>
      <c r="G199" s="97" t="s">
        <v>855</v>
      </c>
    </row>
    <row r="200" spans="1:7">
      <c r="A200" s="97" t="s">
        <v>1125</v>
      </c>
      <c r="B200" s="111">
        <v>-4650</v>
      </c>
      <c r="C200" s="97">
        <v>2</v>
      </c>
      <c r="D200" s="97">
        <f t="shared" si="8"/>
        <v>799</v>
      </c>
      <c r="E200" s="97">
        <f t="shared" si="7"/>
        <v>0</v>
      </c>
      <c r="F200" s="97">
        <f t="shared" si="5"/>
        <v>-3715350</v>
      </c>
      <c r="G200" s="97" t="s">
        <v>855</v>
      </c>
    </row>
    <row r="201" spans="1:7">
      <c r="A201" s="97" t="s">
        <v>1127</v>
      </c>
      <c r="B201" s="111">
        <v>159828</v>
      </c>
      <c r="C201" s="97">
        <v>3</v>
      </c>
      <c r="D201" s="97">
        <f t="shared" si="8"/>
        <v>797</v>
      </c>
      <c r="E201" s="97">
        <f t="shared" si="7"/>
        <v>1</v>
      </c>
      <c r="F201" s="97">
        <f t="shared" si="5"/>
        <v>127223088</v>
      </c>
      <c r="G201" s="97" t="s">
        <v>507</v>
      </c>
    </row>
    <row r="202" spans="1:7">
      <c r="A202" s="97" t="s">
        <v>1138</v>
      </c>
      <c r="B202" s="111">
        <v>-300500</v>
      </c>
      <c r="C202" s="97">
        <v>0</v>
      </c>
      <c r="D202" s="97">
        <f t="shared" si="8"/>
        <v>794</v>
      </c>
      <c r="E202" s="97">
        <f t="shared" si="7"/>
        <v>0</v>
      </c>
      <c r="F202" s="97">
        <f t="shared" si="5"/>
        <v>-238597000</v>
      </c>
      <c r="G202" s="97" t="s">
        <v>1142</v>
      </c>
    </row>
    <row r="203" spans="1:7">
      <c r="A203" s="97" t="s">
        <v>1138</v>
      </c>
      <c r="B203" s="111">
        <v>6000000</v>
      </c>
      <c r="C203" s="97">
        <v>2</v>
      </c>
      <c r="D203" s="97">
        <f t="shared" si="8"/>
        <v>794</v>
      </c>
      <c r="E203" s="97">
        <f t="shared" si="7"/>
        <v>1</v>
      </c>
      <c r="F203" s="97">
        <f t="shared" si="5"/>
        <v>4758000000</v>
      </c>
      <c r="G203" s="97" t="s">
        <v>1143</v>
      </c>
    </row>
    <row r="204" spans="1:7">
      <c r="A204" s="97" t="s">
        <v>1147</v>
      </c>
      <c r="B204" s="111">
        <v>-685000</v>
      </c>
      <c r="C204" s="97">
        <v>1</v>
      </c>
      <c r="D204" s="97">
        <f t="shared" si="8"/>
        <v>792</v>
      </c>
      <c r="E204" s="97">
        <f t="shared" si="7"/>
        <v>0</v>
      </c>
      <c r="F204" s="97">
        <f t="shared" si="5"/>
        <v>-542520000</v>
      </c>
      <c r="G204" s="97" t="s">
        <v>1148</v>
      </c>
    </row>
    <row r="205" spans="1:7">
      <c r="A205" s="97" t="s">
        <v>1149</v>
      </c>
      <c r="B205" s="111">
        <v>-3000000</v>
      </c>
      <c r="C205" s="97">
        <v>1</v>
      </c>
      <c r="D205" s="97">
        <f t="shared" si="8"/>
        <v>791</v>
      </c>
      <c r="E205" s="97">
        <f t="shared" si="7"/>
        <v>0</v>
      </c>
      <c r="F205" s="97">
        <f t="shared" si="5"/>
        <v>-2373000000</v>
      </c>
      <c r="G205" s="97" t="s">
        <v>716</v>
      </c>
    </row>
    <row r="206" spans="1:7">
      <c r="A206" s="97" t="s">
        <v>1154</v>
      </c>
      <c r="B206" s="111">
        <v>-156000</v>
      </c>
      <c r="C206" s="97">
        <v>1</v>
      </c>
      <c r="D206" s="97">
        <f t="shared" si="8"/>
        <v>790</v>
      </c>
      <c r="E206" s="97">
        <f t="shared" si="7"/>
        <v>0</v>
      </c>
      <c r="F206" s="97">
        <f t="shared" si="5"/>
        <v>-123240000</v>
      </c>
      <c r="G206" s="97" t="s">
        <v>1155</v>
      </c>
    </row>
    <row r="207" spans="1:7">
      <c r="A207" s="97" t="s">
        <v>1157</v>
      </c>
      <c r="B207" s="111">
        <v>-66000</v>
      </c>
      <c r="C207" s="97">
        <v>1</v>
      </c>
      <c r="D207" s="97">
        <f t="shared" si="8"/>
        <v>789</v>
      </c>
      <c r="E207" s="97">
        <f t="shared" si="7"/>
        <v>0</v>
      </c>
      <c r="F207" s="97">
        <f t="shared" si="5"/>
        <v>-52074000</v>
      </c>
      <c r="G207" s="97" t="s">
        <v>1162</v>
      </c>
    </row>
    <row r="208" spans="1:7">
      <c r="A208" s="97" t="s">
        <v>1163</v>
      </c>
      <c r="B208" s="111">
        <v>-2500900</v>
      </c>
      <c r="C208" s="97">
        <v>2</v>
      </c>
      <c r="D208" s="97">
        <f t="shared" si="8"/>
        <v>788</v>
      </c>
      <c r="E208" s="97">
        <f t="shared" si="7"/>
        <v>0</v>
      </c>
      <c r="F208" s="97">
        <f t="shared" si="5"/>
        <v>-1970709200</v>
      </c>
      <c r="G208" s="97" t="s">
        <v>1170</v>
      </c>
    </row>
    <row r="209" spans="1:7">
      <c r="A209" s="97" t="s">
        <v>1179</v>
      </c>
      <c r="B209" s="111">
        <v>3000000</v>
      </c>
      <c r="C209" s="97">
        <v>0</v>
      </c>
      <c r="D209" s="97">
        <f t="shared" si="8"/>
        <v>786</v>
      </c>
      <c r="E209" s="97">
        <f t="shared" si="7"/>
        <v>1</v>
      </c>
      <c r="F209" s="97">
        <f t="shared" si="5"/>
        <v>2355000000</v>
      </c>
      <c r="G209" s="97" t="s">
        <v>1185</v>
      </c>
    </row>
    <row r="210" spans="1:7">
      <c r="A210" s="97" t="s">
        <v>1179</v>
      </c>
      <c r="B210" s="111">
        <v>-2601400</v>
      </c>
      <c r="C210" s="97">
        <v>2</v>
      </c>
      <c r="D210" s="97">
        <f t="shared" si="8"/>
        <v>786</v>
      </c>
      <c r="E210" s="97">
        <f t="shared" si="7"/>
        <v>0</v>
      </c>
      <c r="F210" s="97">
        <f t="shared" si="5"/>
        <v>-2044700400</v>
      </c>
      <c r="G210" s="97" t="s">
        <v>1186</v>
      </c>
    </row>
    <row r="211" spans="1:7">
      <c r="A211" s="97" t="s">
        <v>1188</v>
      </c>
      <c r="B211" s="111">
        <v>1000000</v>
      </c>
      <c r="C211" s="97">
        <v>2</v>
      </c>
      <c r="D211" s="97">
        <f t="shared" si="8"/>
        <v>784</v>
      </c>
      <c r="E211" s="97">
        <f t="shared" si="7"/>
        <v>1</v>
      </c>
      <c r="F211" s="97">
        <f t="shared" si="5"/>
        <v>783000000</v>
      </c>
      <c r="G211" s="97" t="s">
        <v>1185</v>
      </c>
    </row>
    <row r="212" spans="1:7">
      <c r="A212" s="97" t="s">
        <v>1191</v>
      </c>
      <c r="B212" s="111">
        <v>1350000</v>
      </c>
      <c r="C212" s="97">
        <v>1</v>
      </c>
      <c r="D212" s="97">
        <f t="shared" si="8"/>
        <v>782</v>
      </c>
      <c r="E212" s="97">
        <f t="shared" si="7"/>
        <v>1</v>
      </c>
      <c r="F212" s="97">
        <f t="shared" si="5"/>
        <v>1054350000</v>
      </c>
      <c r="G212" s="97" t="s">
        <v>1194</v>
      </c>
    </row>
    <row r="213" spans="1:7">
      <c r="A213" s="97" t="s">
        <v>1197</v>
      </c>
      <c r="B213" s="111">
        <v>-2200000</v>
      </c>
      <c r="C213" s="97">
        <v>0</v>
      </c>
      <c r="D213" s="97">
        <f t="shared" si="8"/>
        <v>781</v>
      </c>
      <c r="E213" s="97">
        <f t="shared" si="7"/>
        <v>0</v>
      </c>
      <c r="F213" s="97">
        <f t="shared" si="5"/>
        <v>-1718200000</v>
      </c>
      <c r="G213" s="97" t="s">
        <v>1198</v>
      </c>
    </row>
    <row r="214" spans="1:7">
      <c r="A214" s="97" t="s">
        <v>1195</v>
      </c>
      <c r="B214" s="111">
        <v>-500500</v>
      </c>
      <c r="C214" s="97">
        <v>3</v>
      </c>
      <c r="D214" s="97">
        <f t="shared" si="8"/>
        <v>781</v>
      </c>
      <c r="E214" s="97">
        <f t="shared" si="7"/>
        <v>0</v>
      </c>
      <c r="F214" s="97">
        <f t="shared" si="5"/>
        <v>-390890500</v>
      </c>
      <c r="G214" s="97" t="s">
        <v>1202</v>
      </c>
    </row>
    <row r="215" spans="1:7">
      <c r="A215" s="97" t="s">
        <v>1205</v>
      </c>
      <c r="B215" s="111">
        <v>-45000</v>
      </c>
      <c r="C215" s="97">
        <v>0</v>
      </c>
      <c r="D215" s="97">
        <f t="shared" si="8"/>
        <v>778</v>
      </c>
      <c r="E215" s="97">
        <f t="shared" si="7"/>
        <v>0</v>
      </c>
      <c r="F215" s="97">
        <f t="shared" si="5"/>
        <v>-35010000</v>
      </c>
      <c r="G215" s="97" t="s">
        <v>1208</v>
      </c>
    </row>
    <row r="216" spans="1:7">
      <c r="A216" s="97" t="s">
        <v>1205</v>
      </c>
      <c r="B216" s="111">
        <v>1000000</v>
      </c>
      <c r="C216" s="97">
        <v>0</v>
      </c>
      <c r="D216" s="97">
        <f t="shared" si="8"/>
        <v>778</v>
      </c>
      <c r="E216" s="97">
        <f t="shared" si="7"/>
        <v>1</v>
      </c>
      <c r="F216" s="97">
        <f t="shared" si="5"/>
        <v>777000000</v>
      </c>
      <c r="G216" s="97" t="s">
        <v>1209</v>
      </c>
    </row>
    <row r="217" spans="1:7">
      <c r="A217" s="97" t="s">
        <v>1205</v>
      </c>
      <c r="B217" s="111">
        <v>-100000</v>
      </c>
      <c r="C217" s="97">
        <v>1</v>
      </c>
      <c r="D217" s="97">
        <f t="shared" si="8"/>
        <v>778</v>
      </c>
      <c r="E217" s="97">
        <f t="shared" si="7"/>
        <v>0</v>
      </c>
      <c r="F217" s="97">
        <f t="shared" si="5"/>
        <v>-77800000</v>
      </c>
      <c r="G217" s="97" t="s">
        <v>499</v>
      </c>
    </row>
    <row r="218" spans="1:7">
      <c r="A218" s="97" t="s">
        <v>1211</v>
      </c>
      <c r="B218" s="111">
        <v>-300000</v>
      </c>
      <c r="C218" s="97">
        <v>3</v>
      </c>
      <c r="D218" s="97">
        <f t="shared" si="8"/>
        <v>777</v>
      </c>
      <c r="E218" s="97">
        <f t="shared" si="7"/>
        <v>0</v>
      </c>
      <c r="F218" s="97">
        <f t="shared" si="5"/>
        <v>-233100000</v>
      </c>
      <c r="G218" s="97" t="s">
        <v>1212</v>
      </c>
    </row>
    <row r="219" spans="1:7">
      <c r="A219" s="97" t="s">
        <v>1224</v>
      </c>
      <c r="B219" s="111">
        <v>-50910</v>
      </c>
      <c r="C219" s="97">
        <v>0</v>
      </c>
      <c r="D219" s="97">
        <f t="shared" si="8"/>
        <v>774</v>
      </c>
      <c r="E219" s="97">
        <f t="shared" si="7"/>
        <v>0</v>
      </c>
      <c r="F219" s="97">
        <f t="shared" si="5"/>
        <v>-39404340</v>
      </c>
      <c r="G219" s="97" t="s">
        <v>1225</v>
      </c>
    </row>
    <row r="220" spans="1:7">
      <c r="A220" s="97" t="s">
        <v>1224</v>
      </c>
      <c r="B220" s="111">
        <v>-550500</v>
      </c>
      <c r="C220" s="97">
        <v>2</v>
      </c>
      <c r="D220" s="97">
        <f t="shared" si="8"/>
        <v>774</v>
      </c>
      <c r="E220" s="97">
        <f t="shared" si="7"/>
        <v>0</v>
      </c>
      <c r="F220" s="97">
        <f t="shared" si="5"/>
        <v>-426087000</v>
      </c>
      <c r="G220" s="97" t="s">
        <v>1226</v>
      </c>
    </row>
    <row r="221" spans="1:7">
      <c r="A221" s="97" t="s">
        <v>3642</v>
      </c>
      <c r="B221" s="111">
        <v>1600000</v>
      </c>
      <c r="C221" s="97">
        <v>1</v>
      </c>
      <c r="D221" s="97">
        <f t="shared" si="8"/>
        <v>772</v>
      </c>
      <c r="E221" s="97">
        <f t="shared" si="7"/>
        <v>1</v>
      </c>
      <c r="F221" s="97">
        <f t="shared" si="5"/>
        <v>1233600000</v>
      </c>
      <c r="G221" s="97" t="s">
        <v>3643</v>
      </c>
    </row>
    <row r="222" spans="1:7">
      <c r="A222" s="97" t="s">
        <v>3644</v>
      </c>
      <c r="B222" s="111">
        <v>-1500700</v>
      </c>
      <c r="C222" s="97">
        <v>5</v>
      </c>
      <c r="D222" s="97">
        <f t="shared" si="8"/>
        <v>771</v>
      </c>
      <c r="E222" s="97">
        <f t="shared" si="7"/>
        <v>0</v>
      </c>
      <c r="F222" s="97">
        <f t="shared" si="5"/>
        <v>-1157039700</v>
      </c>
      <c r="G222" s="97" t="s">
        <v>3646</v>
      </c>
    </row>
    <row r="223" spans="1:7">
      <c r="A223" s="97" t="s">
        <v>3654</v>
      </c>
      <c r="B223" s="111">
        <v>8619</v>
      </c>
      <c r="C223" s="97">
        <v>3</v>
      </c>
      <c r="D223" s="97">
        <f t="shared" si="8"/>
        <v>766</v>
      </c>
      <c r="E223" s="97">
        <f t="shared" si="7"/>
        <v>1</v>
      </c>
      <c r="F223" s="97">
        <f t="shared" si="5"/>
        <v>6593535</v>
      </c>
      <c r="G223" s="97" t="s">
        <v>3657</v>
      </c>
    </row>
    <row r="224" spans="1:7">
      <c r="A224" s="11" t="s">
        <v>3661</v>
      </c>
      <c r="B224" s="3">
        <v>3000000</v>
      </c>
      <c r="C224" s="11">
        <v>2</v>
      </c>
      <c r="D224" s="97">
        <f t="shared" si="8"/>
        <v>763</v>
      </c>
      <c r="E224" s="97">
        <f t="shared" si="7"/>
        <v>1</v>
      </c>
      <c r="F224" s="97">
        <f t="shared" si="5"/>
        <v>2286000000</v>
      </c>
      <c r="G224" s="11" t="s">
        <v>1185</v>
      </c>
    </row>
    <row r="225" spans="1:7">
      <c r="A225" s="11" t="s">
        <v>3677</v>
      </c>
      <c r="B225" s="3">
        <v>-3000900</v>
      </c>
      <c r="C225" s="11">
        <v>1</v>
      </c>
      <c r="D225" s="97">
        <f t="shared" si="8"/>
        <v>761</v>
      </c>
      <c r="E225" s="97">
        <f t="shared" si="7"/>
        <v>0</v>
      </c>
      <c r="F225" s="97">
        <f t="shared" si="5"/>
        <v>-2283684900</v>
      </c>
      <c r="G225" s="11" t="s">
        <v>3678</v>
      </c>
    </row>
    <row r="226" spans="1:7">
      <c r="A226" s="97" t="s">
        <v>3683</v>
      </c>
      <c r="B226" s="111">
        <v>3000000</v>
      </c>
      <c r="C226" s="97">
        <v>0</v>
      </c>
      <c r="D226" s="97">
        <f t="shared" si="8"/>
        <v>760</v>
      </c>
      <c r="E226" s="97">
        <f t="shared" si="7"/>
        <v>1</v>
      </c>
      <c r="F226" s="97">
        <f t="shared" si="5"/>
        <v>2277000000</v>
      </c>
      <c r="G226" s="97" t="s">
        <v>610</v>
      </c>
    </row>
    <row r="227" spans="1:7">
      <c r="A227" s="97" t="s">
        <v>3683</v>
      </c>
      <c r="B227" s="111">
        <v>-175400</v>
      </c>
      <c r="C227" s="97">
        <v>1</v>
      </c>
      <c r="D227" s="97">
        <f t="shared" si="8"/>
        <v>760</v>
      </c>
      <c r="E227" s="97">
        <f t="shared" si="7"/>
        <v>0</v>
      </c>
      <c r="F227" s="97">
        <f t="shared" si="5"/>
        <v>-133304000</v>
      </c>
      <c r="G227" s="97" t="s">
        <v>3684</v>
      </c>
    </row>
    <row r="228" spans="1:7">
      <c r="A228" s="97" t="s">
        <v>3687</v>
      </c>
      <c r="B228" s="111">
        <v>-1200500</v>
      </c>
      <c r="C228" s="97">
        <v>0</v>
      </c>
      <c r="D228" s="97">
        <f t="shared" si="8"/>
        <v>759</v>
      </c>
      <c r="E228" s="97">
        <f t="shared" si="7"/>
        <v>0</v>
      </c>
      <c r="F228" s="97">
        <f t="shared" si="5"/>
        <v>-911179500</v>
      </c>
      <c r="G228" s="97" t="s">
        <v>3688</v>
      </c>
    </row>
    <row r="229" spans="1:7">
      <c r="A229" s="97" t="s">
        <v>3687</v>
      </c>
      <c r="B229" s="111">
        <v>-20555</v>
      </c>
      <c r="C229" s="97">
        <v>1</v>
      </c>
      <c r="D229" s="97">
        <f t="shared" si="8"/>
        <v>759</v>
      </c>
      <c r="E229" s="97">
        <f t="shared" si="7"/>
        <v>0</v>
      </c>
      <c r="F229" s="97">
        <f t="shared" si="5"/>
        <v>-15601245</v>
      </c>
      <c r="G229" s="97" t="s">
        <v>647</v>
      </c>
    </row>
    <row r="230" spans="1:7">
      <c r="A230" s="97" t="s">
        <v>3690</v>
      </c>
      <c r="B230" s="111">
        <v>-1014466</v>
      </c>
      <c r="C230" s="97">
        <v>1</v>
      </c>
      <c r="D230" s="97">
        <f t="shared" si="8"/>
        <v>758</v>
      </c>
      <c r="E230" s="97">
        <f t="shared" si="7"/>
        <v>0</v>
      </c>
      <c r="F230" s="97">
        <f t="shared" si="5"/>
        <v>-768965228</v>
      </c>
      <c r="G230" s="97" t="s">
        <v>3691</v>
      </c>
    </row>
    <row r="231" spans="1:7">
      <c r="A231" s="97" t="s">
        <v>3698</v>
      </c>
      <c r="B231" s="111">
        <v>-24225</v>
      </c>
      <c r="C231" s="97">
        <v>1</v>
      </c>
      <c r="D231" s="97">
        <f t="shared" si="8"/>
        <v>757</v>
      </c>
      <c r="E231" s="97">
        <f t="shared" si="7"/>
        <v>0</v>
      </c>
      <c r="F231" s="97">
        <f t="shared" si="5"/>
        <v>-18338325</v>
      </c>
      <c r="G231" s="97" t="s">
        <v>647</v>
      </c>
    </row>
    <row r="232" spans="1:7">
      <c r="A232" s="97" t="s">
        <v>3699</v>
      </c>
      <c r="B232" s="111">
        <v>1100000</v>
      </c>
      <c r="C232" s="97">
        <v>0</v>
      </c>
      <c r="D232" s="97">
        <f t="shared" si="8"/>
        <v>756</v>
      </c>
      <c r="E232" s="97">
        <f t="shared" si="7"/>
        <v>1</v>
      </c>
      <c r="F232" s="97">
        <f t="shared" si="5"/>
        <v>830500000</v>
      </c>
      <c r="G232" s="97" t="s">
        <v>3700</v>
      </c>
    </row>
    <row r="233" spans="1:7">
      <c r="A233" s="97" t="s">
        <v>3699</v>
      </c>
      <c r="B233" s="111">
        <v>-147900</v>
      </c>
      <c r="C233" s="97">
        <v>4</v>
      </c>
      <c r="D233" s="97">
        <f t="shared" si="8"/>
        <v>756</v>
      </c>
      <c r="E233" s="97">
        <f t="shared" si="7"/>
        <v>0</v>
      </c>
      <c r="F233" s="97">
        <f t="shared" si="5"/>
        <v>-111812400</v>
      </c>
      <c r="G233" s="97" t="s">
        <v>3706</v>
      </c>
    </row>
    <row r="234" spans="1:7">
      <c r="A234" s="97" t="s">
        <v>3713</v>
      </c>
      <c r="B234" s="111">
        <v>-67965</v>
      </c>
      <c r="C234" s="97">
        <v>5</v>
      </c>
      <c r="D234" s="97">
        <f t="shared" si="8"/>
        <v>752</v>
      </c>
      <c r="E234" s="97">
        <f t="shared" si="7"/>
        <v>0</v>
      </c>
      <c r="F234" s="97">
        <f t="shared" si="5"/>
        <v>-51109680</v>
      </c>
      <c r="G234" s="97" t="s">
        <v>647</v>
      </c>
    </row>
    <row r="235" spans="1:7">
      <c r="A235" s="97" t="s">
        <v>3739</v>
      </c>
      <c r="B235" s="111">
        <v>-114734</v>
      </c>
      <c r="C235" s="97">
        <v>1</v>
      </c>
      <c r="D235" s="97">
        <f t="shared" si="8"/>
        <v>747</v>
      </c>
      <c r="E235" s="97">
        <f t="shared" si="7"/>
        <v>0</v>
      </c>
      <c r="F235" s="97">
        <f t="shared" si="5"/>
        <v>-85706298</v>
      </c>
      <c r="G235" s="97" t="s">
        <v>3740</v>
      </c>
    </row>
    <row r="236" spans="1:7">
      <c r="A236" s="97" t="s">
        <v>1126</v>
      </c>
      <c r="B236" s="111">
        <v>-360000</v>
      </c>
      <c r="C236" s="97">
        <v>0</v>
      </c>
      <c r="D236" s="97">
        <f t="shared" si="8"/>
        <v>746</v>
      </c>
      <c r="E236" s="97">
        <f t="shared" si="7"/>
        <v>0</v>
      </c>
      <c r="F236" s="97">
        <f t="shared" si="5"/>
        <v>-268560000</v>
      </c>
      <c r="G236" s="97" t="s">
        <v>3741</v>
      </c>
    </row>
    <row r="237" spans="1:7">
      <c r="A237" s="97" t="s">
        <v>1126</v>
      </c>
      <c r="B237" s="111">
        <v>-211000</v>
      </c>
      <c r="C237" s="97">
        <v>0</v>
      </c>
      <c r="D237" s="97">
        <f t="shared" si="8"/>
        <v>746</v>
      </c>
      <c r="E237" s="97">
        <f t="shared" si="7"/>
        <v>0</v>
      </c>
      <c r="F237" s="97">
        <f t="shared" si="5"/>
        <v>-157406000</v>
      </c>
      <c r="G237" s="97" t="s">
        <v>3743</v>
      </c>
    </row>
    <row r="238" spans="1:7">
      <c r="A238" s="97" t="s">
        <v>1126</v>
      </c>
      <c r="B238" s="111">
        <v>-189700</v>
      </c>
      <c r="C238" s="97">
        <v>1</v>
      </c>
      <c r="D238" s="97">
        <f t="shared" si="8"/>
        <v>746</v>
      </c>
      <c r="E238" s="97">
        <f t="shared" si="7"/>
        <v>0</v>
      </c>
      <c r="F238" s="97">
        <f t="shared" si="5"/>
        <v>-141516200</v>
      </c>
      <c r="G238" s="97" t="s">
        <v>3746</v>
      </c>
    </row>
    <row r="239" spans="1:7">
      <c r="A239" s="97" t="s">
        <v>3747</v>
      </c>
      <c r="B239" s="111">
        <v>-400500</v>
      </c>
      <c r="C239" s="97">
        <v>0</v>
      </c>
      <c r="D239" s="97">
        <f t="shared" si="8"/>
        <v>745</v>
      </c>
      <c r="E239" s="97">
        <f t="shared" si="7"/>
        <v>0</v>
      </c>
      <c r="F239" s="97">
        <f t="shared" si="5"/>
        <v>-298372500</v>
      </c>
      <c r="G239" s="97" t="s">
        <v>3748</v>
      </c>
    </row>
    <row r="240" spans="1:7">
      <c r="A240" s="97" t="s">
        <v>3747</v>
      </c>
      <c r="B240" s="111">
        <v>400000</v>
      </c>
      <c r="C240" s="97">
        <v>3</v>
      </c>
      <c r="D240" s="97">
        <f t="shared" si="8"/>
        <v>745</v>
      </c>
      <c r="E240" s="97">
        <f t="shared" si="7"/>
        <v>1</v>
      </c>
      <c r="F240" s="97">
        <f t="shared" si="5"/>
        <v>297600000</v>
      </c>
      <c r="G240" s="97" t="s">
        <v>3749</v>
      </c>
    </row>
    <row r="241" spans="1:7">
      <c r="A241" s="97" t="s">
        <v>3764</v>
      </c>
      <c r="B241" s="111">
        <v>-320875</v>
      </c>
      <c r="C241" s="97">
        <v>7</v>
      </c>
      <c r="D241" s="97">
        <f t="shared" si="8"/>
        <v>742</v>
      </c>
      <c r="E241" s="97">
        <f t="shared" si="7"/>
        <v>0</v>
      </c>
      <c r="F241" s="97">
        <f t="shared" si="5"/>
        <v>-238089250</v>
      </c>
      <c r="G241" s="97" t="s">
        <v>3765</v>
      </c>
    </row>
    <row r="242" spans="1:7">
      <c r="A242" s="97" t="s">
        <v>3774</v>
      </c>
      <c r="B242" s="111">
        <v>6074</v>
      </c>
      <c r="C242" s="97">
        <v>2</v>
      </c>
      <c r="D242" s="97">
        <f t="shared" si="8"/>
        <v>735</v>
      </c>
      <c r="E242" s="97">
        <f t="shared" si="7"/>
        <v>1</v>
      </c>
      <c r="F242" s="97">
        <f t="shared" si="5"/>
        <v>4458316</v>
      </c>
      <c r="G242" s="97" t="s">
        <v>579</v>
      </c>
    </row>
    <row r="243" spans="1:7">
      <c r="A243" s="97" t="s">
        <v>3776</v>
      </c>
      <c r="B243" s="111">
        <v>-370500</v>
      </c>
      <c r="C243" s="97">
        <v>15</v>
      </c>
      <c r="D243" s="97">
        <f t="shared" si="8"/>
        <v>733</v>
      </c>
      <c r="E243" s="97">
        <f t="shared" si="7"/>
        <v>0</v>
      </c>
      <c r="F243" s="97">
        <f t="shared" si="5"/>
        <v>-271576500</v>
      </c>
      <c r="G243" s="97" t="s">
        <v>3777</v>
      </c>
    </row>
    <row r="244" spans="1:7">
      <c r="A244" s="97" t="s">
        <v>3885</v>
      </c>
      <c r="B244" s="111">
        <v>3000000</v>
      </c>
      <c r="C244" s="97">
        <v>2</v>
      </c>
      <c r="D244" s="97">
        <f t="shared" si="8"/>
        <v>718</v>
      </c>
      <c r="E244" s="97">
        <f t="shared" si="7"/>
        <v>1</v>
      </c>
      <c r="F244" s="97">
        <f t="shared" si="5"/>
        <v>2151000000</v>
      </c>
      <c r="G244" s="97" t="s">
        <v>3886</v>
      </c>
    </row>
    <row r="245" spans="1:7">
      <c r="A245" s="97" t="s">
        <v>3893</v>
      </c>
      <c r="B245" s="111">
        <v>-80000</v>
      </c>
      <c r="C245" s="97">
        <v>1</v>
      </c>
      <c r="D245" s="97">
        <f t="shared" si="8"/>
        <v>716</v>
      </c>
      <c r="E245" s="97">
        <f t="shared" si="7"/>
        <v>0</v>
      </c>
      <c r="F245" s="97">
        <f t="shared" si="5"/>
        <v>-57280000</v>
      </c>
      <c r="G245" s="97" t="s">
        <v>499</v>
      </c>
    </row>
    <row r="246" spans="1:7">
      <c r="A246" s="97" t="s">
        <v>3894</v>
      </c>
      <c r="B246" s="111">
        <v>-2700000</v>
      </c>
      <c r="C246" s="97">
        <v>0</v>
      </c>
      <c r="D246" s="97">
        <f t="shared" si="8"/>
        <v>715</v>
      </c>
      <c r="E246" s="97">
        <f t="shared" si="7"/>
        <v>0</v>
      </c>
      <c r="F246" s="97">
        <f t="shared" si="5"/>
        <v>-1930500000</v>
      </c>
      <c r="G246" s="97" t="s">
        <v>3896</v>
      </c>
    </row>
    <row r="247" spans="1:7">
      <c r="A247" s="97" t="s">
        <v>3894</v>
      </c>
      <c r="B247" s="111">
        <v>-30000</v>
      </c>
      <c r="C247" s="97">
        <v>2</v>
      </c>
      <c r="D247" s="97">
        <f t="shared" si="8"/>
        <v>715</v>
      </c>
      <c r="E247" s="97">
        <f t="shared" si="7"/>
        <v>0</v>
      </c>
      <c r="F247" s="97">
        <f t="shared" si="5"/>
        <v>-21450000</v>
      </c>
      <c r="G247" s="97" t="s">
        <v>3896</v>
      </c>
    </row>
    <row r="248" spans="1:7">
      <c r="A248" s="97" t="s">
        <v>3900</v>
      </c>
      <c r="B248" s="111">
        <v>-120000</v>
      </c>
      <c r="C248" s="97">
        <v>1</v>
      </c>
      <c r="D248" s="97">
        <f t="shared" si="8"/>
        <v>713</v>
      </c>
      <c r="E248" s="97">
        <f t="shared" si="7"/>
        <v>0</v>
      </c>
      <c r="F248" s="97">
        <f t="shared" si="5"/>
        <v>-85560000</v>
      </c>
      <c r="G248" s="97" t="s">
        <v>3901</v>
      </c>
    </row>
    <row r="249" spans="1:7">
      <c r="A249" s="72" t="s">
        <v>3918</v>
      </c>
      <c r="B249" s="161">
        <v>-56425</v>
      </c>
      <c r="C249" s="97">
        <v>1</v>
      </c>
      <c r="D249" s="97">
        <f t="shared" si="8"/>
        <v>712</v>
      </c>
      <c r="E249" s="97">
        <f>IF(B250&gt;0,1,0)</f>
        <v>1</v>
      </c>
      <c r="F249" s="97">
        <f t="shared" si="5"/>
        <v>-40118175</v>
      </c>
      <c r="G249" s="72" t="s">
        <v>647</v>
      </c>
    </row>
    <row r="250" spans="1:7">
      <c r="A250" s="97" t="s">
        <v>3908</v>
      </c>
      <c r="B250" s="111">
        <v>800000</v>
      </c>
      <c r="C250" s="97">
        <v>1</v>
      </c>
      <c r="D250" s="97">
        <f t="shared" si="8"/>
        <v>711</v>
      </c>
      <c r="E250" s="97">
        <f>IF(B251&gt;0,1,0)</f>
        <v>0</v>
      </c>
      <c r="F250" s="97">
        <f t="shared" ref="F250:F313" si="9">B250*(D250-E250)</f>
        <v>568800000</v>
      </c>
      <c r="G250" s="97" t="s">
        <v>3873</v>
      </c>
    </row>
    <row r="251" spans="1:7">
      <c r="A251" s="97" t="s">
        <v>3913</v>
      </c>
      <c r="B251" s="111">
        <v>-19450</v>
      </c>
      <c r="C251" s="97">
        <v>0</v>
      </c>
      <c r="D251" s="97">
        <f t="shared" si="8"/>
        <v>710</v>
      </c>
      <c r="E251" s="97">
        <f>IF(B252&gt;0,1,0)</f>
        <v>0</v>
      </c>
      <c r="F251" s="97">
        <f t="shared" si="9"/>
        <v>-13809500</v>
      </c>
      <c r="G251" s="97" t="s">
        <v>3916</v>
      </c>
    </row>
    <row r="252" spans="1:7">
      <c r="A252" s="97" t="s">
        <v>3913</v>
      </c>
      <c r="B252" s="111">
        <v>-500000</v>
      </c>
      <c r="C252" s="97">
        <v>0</v>
      </c>
      <c r="D252" s="97">
        <f t="shared" si="8"/>
        <v>710</v>
      </c>
      <c r="E252" s="97">
        <f>IF(B253&gt;0,1,0)</f>
        <v>1</v>
      </c>
      <c r="F252" s="97">
        <f t="shared" si="9"/>
        <v>-354500000</v>
      </c>
      <c r="G252" s="97" t="s">
        <v>3917</v>
      </c>
    </row>
    <row r="253" spans="1:7">
      <c r="A253" s="97" t="s">
        <v>3913</v>
      </c>
      <c r="B253" s="111">
        <v>500000</v>
      </c>
      <c r="C253" s="97">
        <v>0</v>
      </c>
      <c r="D253" s="97">
        <f t="shared" si="8"/>
        <v>710</v>
      </c>
      <c r="E253" s="97">
        <f t="shared" ref="E253:E275" si="10">IF(B254&gt;0,1,0)</f>
        <v>0</v>
      </c>
      <c r="F253" s="97">
        <f t="shared" si="9"/>
        <v>355000000</v>
      </c>
      <c r="G253" s="97" t="s">
        <v>3917</v>
      </c>
    </row>
    <row r="254" spans="1:7">
      <c r="A254" s="97" t="s">
        <v>3913</v>
      </c>
      <c r="B254" s="111">
        <v>-454613</v>
      </c>
      <c r="C254" s="97">
        <v>1</v>
      </c>
      <c r="D254" s="97">
        <f t="shared" si="8"/>
        <v>710</v>
      </c>
      <c r="E254" s="97">
        <f t="shared" si="10"/>
        <v>0</v>
      </c>
      <c r="F254" s="97">
        <f t="shared" si="9"/>
        <v>-322775230</v>
      </c>
      <c r="G254" s="97" t="s">
        <v>3919</v>
      </c>
    </row>
    <row r="255" spans="1:7">
      <c r="A255" s="97" t="s">
        <v>3921</v>
      </c>
      <c r="B255" s="111">
        <v>-19600</v>
      </c>
      <c r="C255" s="97">
        <v>0</v>
      </c>
      <c r="D255" s="97">
        <f t="shared" si="8"/>
        <v>709</v>
      </c>
      <c r="E255" s="97">
        <f t="shared" si="10"/>
        <v>0</v>
      </c>
      <c r="F255" s="97">
        <f t="shared" si="9"/>
        <v>-13896400</v>
      </c>
      <c r="G255" s="97" t="s">
        <v>3923</v>
      </c>
    </row>
    <row r="256" spans="1:7">
      <c r="A256" s="97" t="s">
        <v>3921</v>
      </c>
      <c r="B256" s="111">
        <v>-25220</v>
      </c>
      <c r="C256" s="97">
        <v>1</v>
      </c>
      <c r="D256" s="97">
        <f t="shared" si="8"/>
        <v>709</v>
      </c>
      <c r="E256" s="97">
        <f t="shared" si="10"/>
        <v>0</v>
      </c>
      <c r="F256" s="97">
        <f t="shared" si="9"/>
        <v>-17880980</v>
      </c>
      <c r="G256" s="97" t="s">
        <v>3740</v>
      </c>
    </row>
    <row r="257" spans="1:11">
      <c r="A257" s="97" t="s">
        <v>3925</v>
      </c>
      <c r="B257" s="111">
        <v>-149500</v>
      </c>
      <c r="C257" s="97">
        <v>0</v>
      </c>
      <c r="D257" s="97">
        <f t="shared" si="8"/>
        <v>708</v>
      </c>
      <c r="E257" s="97">
        <f t="shared" si="10"/>
        <v>0</v>
      </c>
      <c r="F257" s="97">
        <f t="shared" si="9"/>
        <v>-105846000</v>
      </c>
      <c r="G257" s="97" t="s">
        <v>3926</v>
      </c>
    </row>
    <row r="258" spans="1:11">
      <c r="A258" s="97" t="s">
        <v>3925</v>
      </c>
      <c r="B258" s="111">
        <v>-155000</v>
      </c>
      <c r="C258" s="97">
        <v>82</v>
      </c>
      <c r="D258" s="97">
        <f t="shared" si="8"/>
        <v>708</v>
      </c>
      <c r="E258" s="97">
        <f t="shared" si="10"/>
        <v>0</v>
      </c>
      <c r="F258" s="97">
        <f t="shared" si="9"/>
        <v>-109740000</v>
      </c>
      <c r="G258" s="97" t="s">
        <v>3927</v>
      </c>
    </row>
    <row r="259" spans="1:11">
      <c r="A259" s="97" t="s">
        <v>4214</v>
      </c>
      <c r="B259" s="111">
        <v>-5000</v>
      </c>
      <c r="C259" s="97">
        <v>82</v>
      </c>
      <c r="D259" s="97">
        <f t="shared" si="8"/>
        <v>626</v>
      </c>
      <c r="E259" s="97">
        <f t="shared" si="10"/>
        <v>1</v>
      </c>
      <c r="F259" s="97">
        <f t="shared" si="9"/>
        <v>-3125000</v>
      </c>
      <c r="G259" s="97" t="s">
        <v>4221</v>
      </c>
    </row>
    <row r="260" spans="1:11">
      <c r="A260" s="97" t="s">
        <v>4511</v>
      </c>
      <c r="B260" s="111">
        <v>100000</v>
      </c>
      <c r="C260" s="97">
        <v>1</v>
      </c>
      <c r="D260" s="97">
        <f t="shared" si="8"/>
        <v>544</v>
      </c>
      <c r="E260" s="97">
        <f t="shared" si="10"/>
        <v>1</v>
      </c>
      <c r="F260" s="97">
        <f t="shared" si="9"/>
        <v>54300000</v>
      </c>
      <c r="G260" s="97" t="s">
        <v>3873</v>
      </c>
    </row>
    <row r="261" spans="1:11">
      <c r="A261" s="97" t="s">
        <v>977</v>
      </c>
      <c r="B261" s="111">
        <v>3000000</v>
      </c>
      <c r="C261" s="97">
        <v>3</v>
      </c>
      <c r="D261" s="97">
        <f t="shared" si="8"/>
        <v>543</v>
      </c>
      <c r="E261" s="97">
        <f t="shared" si="10"/>
        <v>0</v>
      </c>
      <c r="F261" s="97">
        <f t="shared" si="9"/>
        <v>1629000000</v>
      </c>
      <c r="G261" s="97" t="s">
        <v>3873</v>
      </c>
    </row>
    <row r="262" spans="1:11">
      <c r="A262" s="97" t="s">
        <v>4521</v>
      </c>
      <c r="B262" s="111">
        <v>-66500</v>
      </c>
      <c r="C262" s="97">
        <v>2</v>
      </c>
      <c r="D262" s="97">
        <f t="shared" si="8"/>
        <v>540</v>
      </c>
      <c r="E262" s="97">
        <f t="shared" si="10"/>
        <v>0</v>
      </c>
      <c r="F262" s="97">
        <f t="shared" si="9"/>
        <v>-35910000</v>
      </c>
      <c r="G262" s="97" t="s">
        <v>3946</v>
      </c>
      <c r="K262" t="s">
        <v>25</v>
      </c>
    </row>
    <row r="263" spans="1:11">
      <c r="A263" s="97" t="s">
        <v>4522</v>
      </c>
      <c r="B263" s="111">
        <v>-37878</v>
      </c>
      <c r="C263" s="97">
        <v>2</v>
      </c>
      <c r="D263" s="97">
        <f t="shared" si="8"/>
        <v>538</v>
      </c>
      <c r="E263" s="97">
        <f t="shared" si="10"/>
        <v>0</v>
      </c>
      <c r="F263" s="97">
        <f t="shared" si="9"/>
        <v>-20378364</v>
      </c>
      <c r="G263" s="97" t="s">
        <v>4523</v>
      </c>
      <c r="J263" t="s">
        <v>25</v>
      </c>
      <c r="K263" t="s">
        <v>25</v>
      </c>
    </row>
    <row r="264" spans="1:11">
      <c r="A264" s="97" t="s">
        <v>4518</v>
      </c>
      <c r="B264" s="111">
        <v>-41500</v>
      </c>
      <c r="C264" s="97">
        <v>3</v>
      </c>
      <c r="D264" s="97">
        <f t="shared" si="8"/>
        <v>536</v>
      </c>
      <c r="E264" s="97">
        <f t="shared" si="10"/>
        <v>0</v>
      </c>
      <c r="F264" s="97">
        <f t="shared" si="9"/>
        <v>-22244000</v>
      </c>
      <c r="G264" s="97" t="s">
        <v>1022</v>
      </c>
      <c r="J264" t="s">
        <v>25</v>
      </c>
    </row>
    <row r="265" spans="1:11">
      <c r="A265" s="97" t="s">
        <v>4543</v>
      </c>
      <c r="B265" s="111">
        <v>-190000</v>
      </c>
      <c r="C265" s="97">
        <v>1</v>
      </c>
      <c r="D265" s="97">
        <f t="shared" si="8"/>
        <v>533</v>
      </c>
      <c r="E265" s="97">
        <f t="shared" si="10"/>
        <v>0</v>
      </c>
      <c r="F265" s="97">
        <f t="shared" si="9"/>
        <v>-101270000</v>
      </c>
      <c r="G265" s="97"/>
    </row>
    <row r="266" spans="1:11">
      <c r="A266" s="97" t="s">
        <v>4542</v>
      </c>
      <c r="B266" s="111">
        <v>-55000</v>
      </c>
      <c r="C266" s="97">
        <v>1</v>
      </c>
      <c r="D266" s="97">
        <f t="shared" si="8"/>
        <v>532</v>
      </c>
      <c r="E266" s="97">
        <f t="shared" si="10"/>
        <v>0</v>
      </c>
      <c r="F266" s="97">
        <f t="shared" si="9"/>
        <v>-29260000</v>
      </c>
      <c r="G266" s="97"/>
    </row>
    <row r="267" spans="1:11">
      <c r="A267" s="97" t="s">
        <v>4536</v>
      </c>
      <c r="B267" s="111">
        <v>-29395</v>
      </c>
      <c r="C267" s="97">
        <v>2</v>
      </c>
      <c r="D267" s="97">
        <f t="shared" si="8"/>
        <v>531</v>
      </c>
      <c r="E267" s="97">
        <f t="shared" si="10"/>
        <v>0</v>
      </c>
      <c r="F267" s="97">
        <f t="shared" si="9"/>
        <v>-15608745</v>
      </c>
      <c r="G267" s="97"/>
    </row>
    <row r="268" spans="1:11">
      <c r="A268" s="97" t="s">
        <v>4207</v>
      </c>
      <c r="B268" s="111">
        <v>-50000</v>
      </c>
      <c r="C268" s="97">
        <v>1</v>
      </c>
      <c r="D268" s="97">
        <f t="shared" si="8"/>
        <v>529</v>
      </c>
      <c r="E268" s="97">
        <f t="shared" si="10"/>
        <v>0</v>
      </c>
      <c r="F268" s="97">
        <f t="shared" si="9"/>
        <v>-26450000</v>
      </c>
      <c r="G268" s="97"/>
    </row>
    <row r="269" spans="1:11">
      <c r="A269" s="97" t="s">
        <v>4544</v>
      </c>
      <c r="B269" s="111">
        <v>-80000</v>
      </c>
      <c r="C269" s="97">
        <v>1</v>
      </c>
      <c r="D269" s="97">
        <f t="shared" si="8"/>
        <v>528</v>
      </c>
      <c r="E269" s="97">
        <f t="shared" si="10"/>
        <v>0</v>
      </c>
      <c r="F269" s="97">
        <f t="shared" si="9"/>
        <v>-42240000</v>
      </c>
      <c r="G269" s="97"/>
    </row>
    <row r="270" spans="1:11">
      <c r="A270" s="97" t="s">
        <v>3673</v>
      </c>
      <c r="B270" s="111">
        <v>-98909</v>
      </c>
      <c r="C270" s="97">
        <v>3</v>
      </c>
      <c r="D270" s="97">
        <f t="shared" si="8"/>
        <v>527</v>
      </c>
      <c r="E270" s="97">
        <f t="shared" si="10"/>
        <v>0</v>
      </c>
      <c r="F270" s="97">
        <f t="shared" si="9"/>
        <v>-52125043</v>
      </c>
      <c r="G270" s="97"/>
    </row>
    <row r="271" spans="1:11">
      <c r="A271" s="97" t="s">
        <v>4548</v>
      </c>
      <c r="B271" s="111">
        <v>-9380</v>
      </c>
      <c r="C271" s="97">
        <v>0</v>
      </c>
      <c r="D271" s="97">
        <f t="shared" si="8"/>
        <v>524</v>
      </c>
      <c r="E271" s="97">
        <f t="shared" si="10"/>
        <v>0</v>
      </c>
      <c r="F271" s="97">
        <f t="shared" si="9"/>
        <v>-4915120</v>
      </c>
      <c r="G271" s="97"/>
    </row>
    <row r="272" spans="1:11">
      <c r="A272" s="97" t="s">
        <v>4548</v>
      </c>
      <c r="B272" s="111">
        <v>-2400000</v>
      </c>
      <c r="C272" s="97">
        <v>3</v>
      </c>
      <c r="D272" s="97">
        <f t="shared" si="8"/>
        <v>524</v>
      </c>
      <c r="E272" s="97">
        <f t="shared" si="10"/>
        <v>1</v>
      </c>
      <c r="F272" s="97">
        <f t="shared" si="9"/>
        <v>-1255200000</v>
      </c>
      <c r="G272" s="97"/>
    </row>
    <row r="273" spans="1:11">
      <c r="A273" s="97" t="s">
        <v>4558</v>
      </c>
      <c r="B273" s="111">
        <v>15000</v>
      </c>
      <c r="C273" s="97">
        <v>93</v>
      </c>
      <c r="D273" s="97">
        <f t="shared" si="8"/>
        <v>521</v>
      </c>
      <c r="E273" s="97">
        <f t="shared" si="10"/>
        <v>1</v>
      </c>
      <c r="F273" s="97">
        <f t="shared" si="9"/>
        <v>7800000</v>
      </c>
      <c r="G273" s="97"/>
    </row>
    <row r="274" spans="1:11">
      <c r="A274" s="97" t="s">
        <v>4820</v>
      </c>
      <c r="B274" s="111">
        <v>3500000</v>
      </c>
      <c r="C274" s="97">
        <v>0</v>
      </c>
      <c r="D274" s="97">
        <f t="shared" si="8"/>
        <v>428</v>
      </c>
      <c r="E274" s="97">
        <f t="shared" si="10"/>
        <v>0</v>
      </c>
      <c r="F274" s="97">
        <f t="shared" si="9"/>
        <v>1498000000</v>
      </c>
      <c r="G274" s="97"/>
    </row>
    <row r="275" spans="1:11">
      <c r="A275" s="97" t="s">
        <v>4820</v>
      </c>
      <c r="B275" s="111">
        <v>-224012</v>
      </c>
      <c r="C275" s="97">
        <v>2</v>
      </c>
      <c r="D275" s="97">
        <f t="shared" si="8"/>
        <v>428</v>
      </c>
      <c r="E275" s="97">
        <f t="shared" si="10"/>
        <v>0</v>
      </c>
      <c r="F275" s="97">
        <f t="shared" si="9"/>
        <v>-95877136</v>
      </c>
      <c r="G275" s="97"/>
    </row>
    <row r="276" spans="1:11">
      <c r="A276" s="97" t="s">
        <v>4832</v>
      </c>
      <c r="B276" s="111">
        <v>-104671</v>
      </c>
      <c r="C276" s="97">
        <v>1</v>
      </c>
      <c r="D276" s="97">
        <f>D277+C276</f>
        <v>426</v>
      </c>
      <c r="E276" s="97">
        <f>IF(B277&gt;0,1,0)</f>
        <v>0</v>
      </c>
      <c r="F276" s="97">
        <f t="shared" si="9"/>
        <v>-44589846</v>
      </c>
      <c r="G276" s="97"/>
    </row>
    <row r="277" spans="1:11">
      <c r="A277" s="97" t="s">
        <v>4833</v>
      </c>
      <c r="B277" s="111">
        <v>-272000</v>
      </c>
      <c r="C277" s="97">
        <v>1</v>
      </c>
      <c r="D277" s="97">
        <f>D278+C277</f>
        <v>425</v>
      </c>
      <c r="E277" s="97">
        <f>IF(B278&gt;0,1,0)</f>
        <v>0</v>
      </c>
      <c r="F277" s="97">
        <f t="shared" si="9"/>
        <v>-115600000</v>
      </c>
      <c r="G277" s="97"/>
    </row>
    <row r="278" spans="1:11">
      <c r="A278" s="97" t="s">
        <v>4835</v>
      </c>
      <c r="B278" s="111">
        <v>-2565078</v>
      </c>
      <c r="C278" s="97">
        <v>2</v>
      </c>
      <c r="D278" s="97">
        <f>D279+C278</f>
        <v>424</v>
      </c>
      <c r="E278" s="97">
        <f>IF(B279&gt;0,1,0)</f>
        <v>0</v>
      </c>
      <c r="F278" s="97">
        <f t="shared" si="9"/>
        <v>-1087593072</v>
      </c>
      <c r="G278" s="97"/>
    </row>
    <row r="279" spans="1:11">
      <c r="A279" s="97" t="s">
        <v>4792</v>
      </c>
      <c r="B279" s="111">
        <v>-213500</v>
      </c>
      <c r="C279" s="97">
        <v>1</v>
      </c>
      <c r="D279" s="97">
        <f>D280+C279</f>
        <v>422</v>
      </c>
      <c r="E279" s="97">
        <f>IF(B280&gt;0,1,0)</f>
        <v>0</v>
      </c>
      <c r="F279" s="97">
        <f t="shared" si="9"/>
        <v>-90097000</v>
      </c>
      <c r="G279" s="97"/>
    </row>
    <row r="280" spans="1:11">
      <c r="A280" s="97" t="s">
        <v>4851</v>
      </c>
      <c r="B280" s="111">
        <v>-3810</v>
      </c>
      <c r="C280" s="97">
        <v>1</v>
      </c>
      <c r="D280" s="97">
        <f>D281+C280</f>
        <v>421</v>
      </c>
      <c r="E280" s="97">
        <f>IF(B281&gt;0,1,0)</f>
        <v>0</v>
      </c>
      <c r="F280" s="97">
        <f t="shared" si="9"/>
        <v>-1604010</v>
      </c>
      <c r="G280" s="97"/>
      <c r="J280" t="s">
        <v>25</v>
      </c>
    </row>
    <row r="281" spans="1:11">
      <c r="A281" s="97" t="s">
        <v>4852</v>
      </c>
      <c r="B281" s="111">
        <v>-120632</v>
      </c>
      <c r="C281" s="97">
        <v>1</v>
      </c>
      <c r="D281" s="97">
        <f t="shared" ref="D281:D288" si="11">D282+C281</f>
        <v>420</v>
      </c>
      <c r="E281" s="97">
        <f t="shared" ref="E281:E288" si="12">IF(B282&gt;0,1,0)</f>
        <v>1</v>
      </c>
      <c r="F281" s="97">
        <f t="shared" si="9"/>
        <v>-50544808</v>
      </c>
      <c r="G281" s="97"/>
      <c r="J281" t="s">
        <v>25</v>
      </c>
    </row>
    <row r="282" spans="1:11">
      <c r="A282" s="97" t="s">
        <v>4841</v>
      </c>
      <c r="B282" s="111">
        <v>80000</v>
      </c>
      <c r="C282" s="97">
        <v>0</v>
      </c>
      <c r="D282" s="97">
        <f t="shared" si="11"/>
        <v>419</v>
      </c>
      <c r="E282" s="97">
        <f t="shared" si="12"/>
        <v>0</v>
      </c>
      <c r="F282" s="97">
        <f t="shared" si="9"/>
        <v>33520000</v>
      </c>
      <c r="G282" s="97"/>
    </row>
    <row r="283" spans="1:11">
      <c r="A283" s="97" t="s">
        <v>4841</v>
      </c>
      <c r="B283" s="111">
        <v>-2500</v>
      </c>
      <c r="C283" s="97">
        <v>1</v>
      </c>
      <c r="D283" s="97">
        <f t="shared" si="11"/>
        <v>419</v>
      </c>
      <c r="E283" s="97">
        <f t="shared" si="12"/>
        <v>0</v>
      </c>
      <c r="F283" s="97">
        <f t="shared" si="9"/>
        <v>-1047500</v>
      </c>
      <c r="G283" s="97"/>
      <c r="J283" s="112">
        <f>B422-498804</f>
        <v>4142795</v>
      </c>
    </row>
    <row r="284" spans="1:11">
      <c r="A284" s="97" t="s">
        <v>4845</v>
      </c>
      <c r="B284" s="111">
        <v>-30000</v>
      </c>
      <c r="C284" s="97">
        <v>1</v>
      </c>
      <c r="D284" s="97">
        <f t="shared" si="11"/>
        <v>418</v>
      </c>
      <c r="E284" s="97">
        <f t="shared" si="12"/>
        <v>0</v>
      </c>
      <c r="F284" s="97">
        <f t="shared" si="9"/>
        <v>-12540000</v>
      </c>
      <c r="G284" s="97"/>
    </row>
    <row r="285" spans="1:11">
      <c r="A285" s="97" t="s">
        <v>4853</v>
      </c>
      <c r="B285" s="111">
        <v>-19800</v>
      </c>
      <c r="C285" s="97">
        <v>1</v>
      </c>
      <c r="D285" s="97">
        <f t="shared" si="11"/>
        <v>417</v>
      </c>
      <c r="E285" s="97">
        <f t="shared" si="12"/>
        <v>1</v>
      </c>
      <c r="F285" s="97">
        <f t="shared" si="9"/>
        <v>-8236800</v>
      </c>
      <c r="G285" s="97"/>
      <c r="K285" t="s">
        <v>25</v>
      </c>
    </row>
    <row r="286" spans="1:11">
      <c r="A286" s="97" t="s">
        <v>4844</v>
      </c>
      <c r="B286" s="111">
        <v>940000</v>
      </c>
      <c r="C286" s="97">
        <v>0</v>
      </c>
      <c r="D286" s="97">
        <f t="shared" si="11"/>
        <v>416</v>
      </c>
      <c r="E286" s="97">
        <f t="shared" si="12"/>
        <v>0</v>
      </c>
      <c r="F286" s="97">
        <f t="shared" si="9"/>
        <v>391040000</v>
      </c>
      <c r="G286" s="97"/>
    </row>
    <row r="287" spans="1:11">
      <c r="A287" s="97" t="s">
        <v>4844</v>
      </c>
      <c r="B287" s="111">
        <v>-201000</v>
      </c>
      <c r="C287" s="97">
        <v>1</v>
      </c>
      <c r="D287" s="97">
        <f t="shared" si="11"/>
        <v>416</v>
      </c>
      <c r="E287" s="97">
        <f t="shared" si="12"/>
        <v>0</v>
      </c>
      <c r="F287" s="97">
        <f t="shared" si="9"/>
        <v>-83616000</v>
      </c>
      <c r="G287" s="97"/>
    </row>
    <row r="288" spans="1:11">
      <c r="A288" s="97" t="s">
        <v>4849</v>
      </c>
      <c r="B288" s="111">
        <v>-320930</v>
      </c>
      <c r="C288" s="97">
        <v>3</v>
      </c>
      <c r="D288" s="97">
        <f t="shared" si="11"/>
        <v>415</v>
      </c>
      <c r="E288" s="97">
        <f t="shared" si="12"/>
        <v>0</v>
      </c>
      <c r="F288" s="97">
        <f t="shared" si="9"/>
        <v>-133185950</v>
      </c>
      <c r="G288" s="97"/>
    </row>
    <row r="289" spans="1:10">
      <c r="A289" s="97" t="s">
        <v>4850</v>
      </c>
      <c r="B289" s="111">
        <v>-400000</v>
      </c>
      <c r="C289" s="97">
        <v>1</v>
      </c>
      <c r="D289" s="97">
        <f t="shared" ref="D289:D306" si="13">D290+C289</f>
        <v>412</v>
      </c>
      <c r="E289" s="97">
        <f t="shared" ref="E289:E306" si="14">IF(B290&gt;0,1,0)</f>
        <v>0</v>
      </c>
      <c r="F289" s="97">
        <f t="shared" si="9"/>
        <v>-164800000</v>
      </c>
      <c r="G289" s="97"/>
    </row>
    <row r="290" spans="1:10">
      <c r="A290" s="97" t="s">
        <v>4855</v>
      </c>
      <c r="B290" s="111">
        <v>-16500</v>
      </c>
      <c r="C290" s="97">
        <v>11</v>
      </c>
      <c r="D290" s="97">
        <f t="shared" si="13"/>
        <v>411</v>
      </c>
      <c r="E290" s="97">
        <f t="shared" si="14"/>
        <v>1</v>
      </c>
      <c r="F290" s="97">
        <f t="shared" si="9"/>
        <v>-6765000</v>
      </c>
      <c r="G290" s="97"/>
    </row>
    <row r="291" spans="1:10">
      <c r="A291" s="97" t="s">
        <v>4871</v>
      </c>
      <c r="B291" s="111">
        <v>2600000</v>
      </c>
      <c r="C291" s="97">
        <v>2</v>
      </c>
      <c r="D291" s="97">
        <f t="shared" si="13"/>
        <v>400</v>
      </c>
      <c r="E291" s="97">
        <f t="shared" si="14"/>
        <v>0</v>
      </c>
      <c r="F291" s="97">
        <f t="shared" si="9"/>
        <v>1040000000</v>
      </c>
      <c r="G291" s="97"/>
      <c r="I291" t="s">
        <v>25</v>
      </c>
    </row>
    <row r="292" spans="1:10">
      <c r="A292" s="97" t="s">
        <v>4872</v>
      </c>
      <c r="B292" s="111">
        <v>-1170000</v>
      </c>
      <c r="C292" s="97">
        <v>0</v>
      </c>
      <c r="D292" s="97">
        <f t="shared" si="13"/>
        <v>398</v>
      </c>
      <c r="E292" s="97">
        <f t="shared" si="14"/>
        <v>0</v>
      </c>
      <c r="F292" s="97">
        <f t="shared" si="9"/>
        <v>-465660000</v>
      </c>
      <c r="G292" s="97" t="s">
        <v>4873</v>
      </c>
      <c r="J292" t="s">
        <v>25</v>
      </c>
    </row>
    <row r="293" spans="1:10">
      <c r="A293" s="97" t="s">
        <v>4872</v>
      </c>
      <c r="B293" s="111">
        <v>-9000</v>
      </c>
      <c r="C293" s="97">
        <v>1</v>
      </c>
      <c r="D293" s="97">
        <f t="shared" si="13"/>
        <v>398</v>
      </c>
      <c r="E293" s="97">
        <f t="shared" si="14"/>
        <v>0</v>
      </c>
      <c r="F293" s="97">
        <f t="shared" si="9"/>
        <v>-3582000</v>
      </c>
      <c r="G293" s="97"/>
    </row>
    <row r="294" spans="1:10">
      <c r="A294" s="97" t="s">
        <v>4874</v>
      </c>
      <c r="B294" s="111">
        <v>-1145000</v>
      </c>
      <c r="C294" s="97">
        <v>0</v>
      </c>
      <c r="D294" s="97">
        <f t="shared" si="13"/>
        <v>397</v>
      </c>
      <c r="E294" s="97">
        <f t="shared" si="14"/>
        <v>0</v>
      </c>
      <c r="F294" s="97">
        <f t="shared" si="9"/>
        <v>-454565000</v>
      </c>
      <c r="G294" s="97" t="s">
        <v>4875</v>
      </c>
    </row>
    <row r="295" spans="1:10">
      <c r="A295" s="97" t="s">
        <v>4874</v>
      </c>
      <c r="B295" s="111">
        <v>-94549</v>
      </c>
      <c r="C295" s="97">
        <v>2</v>
      </c>
      <c r="D295" s="97">
        <f t="shared" si="13"/>
        <v>397</v>
      </c>
      <c r="E295" s="97">
        <f t="shared" si="14"/>
        <v>0</v>
      </c>
      <c r="F295" s="97">
        <f t="shared" si="9"/>
        <v>-37535953</v>
      </c>
      <c r="G295" s="97" t="s">
        <v>503</v>
      </c>
      <c r="J295" t="s">
        <v>25</v>
      </c>
    </row>
    <row r="296" spans="1:10">
      <c r="A296" s="97" t="s">
        <v>5021</v>
      </c>
      <c r="B296" s="111">
        <v>-3500</v>
      </c>
      <c r="C296" s="97">
        <v>1</v>
      </c>
      <c r="D296" s="97">
        <f t="shared" si="13"/>
        <v>395</v>
      </c>
      <c r="E296" s="97">
        <f t="shared" si="14"/>
        <v>0</v>
      </c>
      <c r="F296" s="97">
        <f t="shared" si="9"/>
        <v>-1382500</v>
      </c>
      <c r="G296" s="97"/>
      <c r="I296" s="112">
        <f>B422-735892</f>
        <v>3905707</v>
      </c>
    </row>
    <row r="297" spans="1:10">
      <c r="A297" s="97" t="s">
        <v>4882</v>
      </c>
      <c r="B297" s="111">
        <v>-44900</v>
      </c>
      <c r="C297" s="97">
        <v>0</v>
      </c>
      <c r="D297" s="97">
        <f t="shared" si="13"/>
        <v>394</v>
      </c>
      <c r="E297" s="97">
        <f t="shared" si="14"/>
        <v>0</v>
      </c>
      <c r="F297" s="97">
        <f t="shared" si="9"/>
        <v>-17690600</v>
      </c>
      <c r="G297" s="97"/>
    </row>
    <row r="298" spans="1:10">
      <c r="A298" s="97" t="s">
        <v>4882</v>
      </c>
      <c r="B298" s="111">
        <v>-50000</v>
      </c>
      <c r="C298" s="97">
        <v>10</v>
      </c>
      <c r="D298" s="97">
        <f t="shared" si="13"/>
        <v>394</v>
      </c>
      <c r="E298" s="97">
        <f t="shared" si="14"/>
        <v>0</v>
      </c>
      <c r="F298" s="97">
        <f t="shared" si="9"/>
        <v>-19700000</v>
      </c>
      <c r="G298" s="97" t="s">
        <v>503</v>
      </c>
    </row>
    <row r="299" spans="1:10">
      <c r="A299" s="97" t="s">
        <v>4897</v>
      </c>
      <c r="B299" s="111">
        <v>-19850</v>
      </c>
      <c r="C299" s="97">
        <v>1</v>
      </c>
      <c r="D299" s="97">
        <f t="shared" si="13"/>
        <v>384</v>
      </c>
      <c r="E299" s="97">
        <f t="shared" si="14"/>
        <v>0</v>
      </c>
      <c r="F299" s="97">
        <f t="shared" si="9"/>
        <v>-7622400</v>
      </c>
      <c r="G299" s="97"/>
    </row>
    <row r="300" spans="1:10">
      <c r="A300" s="97" t="s">
        <v>4898</v>
      </c>
      <c r="B300" s="111">
        <v>-39770</v>
      </c>
      <c r="C300" s="97">
        <v>6</v>
      </c>
      <c r="D300" s="97">
        <f t="shared" si="13"/>
        <v>383</v>
      </c>
      <c r="E300" s="97">
        <f t="shared" si="14"/>
        <v>0</v>
      </c>
      <c r="F300" s="97">
        <f t="shared" si="9"/>
        <v>-15231910</v>
      </c>
      <c r="G300" s="97"/>
    </row>
    <row r="301" spans="1:10">
      <c r="A301" s="97" t="s">
        <v>4912</v>
      </c>
      <c r="B301" s="111">
        <v>-40000</v>
      </c>
      <c r="C301" s="97">
        <v>71</v>
      </c>
      <c r="D301" s="97">
        <f t="shared" si="13"/>
        <v>377</v>
      </c>
      <c r="E301" s="97">
        <f t="shared" si="14"/>
        <v>1</v>
      </c>
      <c r="F301" s="97">
        <f t="shared" si="9"/>
        <v>-15040000</v>
      </c>
      <c r="G301" s="97"/>
    </row>
    <row r="302" spans="1:10">
      <c r="A302" s="97" t="s">
        <v>5010</v>
      </c>
      <c r="B302" s="111">
        <v>4000000</v>
      </c>
      <c r="C302" s="97">
        <v>1</v>
      </c>
      <c r="D302" s="97">
        <f t="shared" si="13"/>
        <v>306</v>
      </c>
      <c r="E302" s="97">
        <f t="shared" si="14"/>
        <v>0</v>
      </c>
      <c r="F302" s="97">
        <f t="shared" si="9"/>
        <v>1224000000</v>
      </c>
      <c r="G302" s="97"/>
    </row>
    <row r="303" spans="1:10">
      <c r="A303" s="97" t="s">
        <v>5014</v>
      </c>
      <c r="B303" s="111">
        <v>-123860</v>
      </c>
      <c r="C303" s="97">
        <v>1</v>
      </c>
      <c r="D303" s="97">
        <f t="shared" si="13"/>
        <v>305</v>
      </c>
      <c r="E303" s="97">
        <f t="shared" si="14"/>
        <v>0</v>
      </c>
      <c r="F303" s="97">
        <f t="shared" si="9"/>
        <v>-37777300</v>
      </c>
      <c r="G303" s="97"/>
    </row>
    <row r="304" spans="1:10">
      <c r="A304" s="97" t="s">
        <v>4981</v>
      </c>
      <c r="B304" s="111">
        <v>-1660000</v>
      </c>
      <c r="C304" s="97">
        <v>1</v>
      </c>
      <c r="D304" s="97">
        <f t="shared" si="13"/>
        <v>304</v>
      </c>
      <c r="E304" s="97">
        <f t="shared" si="14"/>
        <v>0</v>
      </c>
      <c r="F304" s="97">
        <f t="shared" si="9"/>
        <v>-504640000</v>
      </c>
      <c r="G304" s="97"/>
    </row>
    <row r="305" spans="1:11">
      <c r="A305" s="97" t="s">
        <v>5020</v>
      </c>
      <c r="B305" s="111">
        <v>-63857</v>
      </c>
      <c r="C305" s="97">
        <v>0</v>
      </c>
      <c r="D305" s="97">
        <f t="shared" si="13"/>
        <v>303</v>
      </c>
      <c r="E305" s="97">
        <f t="shared" si="14"/>
        <v>0</v>
      </c>
      <c r="F305" s="97">
        <f t="shared" si="9"/>
        <v>-19348671</v>
      </c>
      <c r="G305" s="97"/>
    </row>
    <row r="306" spans="1:11">
      <c r="A306" s="97" t="s">
        <v>5022</v>
      </c>
      <c r="B306" s="111">
        <v>-631</v>
      </c>
      <c r="C306" s="97">
        <v>2</v>
      </c>
      <c r="D306" s="97">
        <f t="shared" si="13"/>
        <v>303</v>
      </c>
      <c r="E306" s="97">
        <f t="shared" si="14"/>
        <v>0</v>
      </c>
      <c r="F306" s="97">
        <f t="shared" si="9"/>
        <v>-191193</v>
      </c>
      <c r="G306" s="97" t="s">
        <v>503</v>
      </c>
      <c r="J306" t="s">
        <v>25</v>
      </c>
    </row>
    <row r="307" spans="1:11">
      <c r="A307" s="97" t="s">
        <v>5026</v>
      </c>
      <c r="B307" s="111">
        <v>-248905</v>
      </c>
      <c r="C307" s="97">
        <v>2</v>
      </c>
      <c r="D307" s="97">
        <f t="shared" ref="D307:D318" si="15">D308+C307</f>
        <v>301</v>
      </c>
      <c r="E307" s="97">
        <f t="shared" ref="E307:E318" si="16">IF(B308&gt;0,1,0)</f>
        <v>0</v>
      </c>
      <c r="F307" s="97">
        <f t="shared" si="9"/>
        <v>-74920405</v>
      </c>
      <c r="G307" s="97"/>
    </row>
    <row r="308" spans="1:11">
      <c r="A308" s="97" t="s">
        <v>5024</v>
      </c>
      <c r="B308" s="111">
        <v>-200000</v>
      </c>
      <c r="C308" s="97">
        <v>0</v>
      </c>
      <c r="D308" s="97">
        <f t="shared" si="15"/>
        <v>299</v>
      </c>
      <c r="E308" s="97">
        <f t="shared" si="16"/>
        <v>0</v>
      </c>
      <c r="F308" s="97">
        <f t="shared" si="9"/>
        <v>-59800000</v>
      </c>
      <c r="G308" s="97"/>
    </row>
    <row r="309" spans="1:11">
      <c r="A309" s="97" t="s">
        <v>5024</v>
      </c>
      <c r="B309" s="111">
        <v>-200000</v>
      </c>
      <c r="C309" s="97">
        <v>3</v>
      </c>
      <c r="D309" s="97">
        <f t="shared" si="15"/>
        <v>299</v>
      </c>
      <c r="E309" s="97">
        <f t="shared" si="16"/>
        <v>0</v>
      </c>
      <c r="F309" s="97">
        <f t="shared" si="9"/>
        <v>-59800000</v>
      </c>
      <c r="G309" s="97"/>
    </row>
    <row r="310" spans="1:11">
      <c r="A310" s="97" t="s">
        <v>5031</v>
      </c>
      <c r="B310" s="111">
        <v>-832590</v>
      </c>
      <c r="C310" s="97">
        <v>0</v>
      </c>
      <c r="D310" s="97">
        <f t="shared" si="15"/>
        <v>296</v>
      </c>
      <c r="E310" s="97">
        <f t="shared" si="16"/>
        <v>0</v>
      </c>
      <c r="F310" s="97">
        <f t="shared" si="9"/>
        <v>-246446640</v>
      </c>
      <c r="G310" s="97"/>
    </row>
    <row r="311" spans="1:11">
      <c r="A311" s="97" t="s">
        <v>5031</v>
      </c>
      <c r="B311" s="111">
        <v>-29950</v>
      </c>
      <c r="C311" s="97">
        <v>1</v>
      </c>
      <c r="D311" s="97">
        <f t="shared" si="15"/>
        <v>296</v>
      </c>
      <c r="E311" s="97">
        <f t="shared" si="16"/>
        <v>0</v>
      </c>
      <c r="F311" s="97">
        <f t="shared" si="9"/>
        <v>-8865200</v>
      </c>
      <c r="G311" s="97"/>
      <c r="K311" t="s">
        <v>25</v>
      </c>
    </row>
    <row r="312" spans="1:11">
      <c r="A312" s="97" t="s">
        <v>5068</v>
      </c>
      <c r="B312" s="111">
        <v>-8500</v>
      </c>
      <c r="C312" s="97">
        <v>1</v>
      </c>
      <c r="D312" s="97">
        <f t="shared" si="15"/>
        <v>295</v>
      </c>
      <c r="E312" s="97">
        <f t="shared" si="16"/>
        <v>0</v>
      </c>
      <c r="F312" s="97">
        <f t="shared" si="9"/>
        <v>-2507500</v>
      </c>
      <c r="G312" s="97"/>
    </row>
    <row r="313" spans="1:11">
      <c r="A313" s="97" t="s">
        <v>5048</v>
      </c>
      <c r="B313" s="111">
        <v>-116300</v>
      </c>
      <c r="C313" s="97">
        <v>1</v>
      </c>
      <c r="D313" s="97">
        <f t="shared" si="15"/>
        <v>294</v>
      </c>
      <c r="E313" s="97">
        <f t="shared" si="16"/>
        <v>0</v>
      </c>
      <c r="F313" s="97">
        <f t="shared" si="9"/>
        <v>-34192200</v>
      </c>
      <c r="G313" s="97"/>
    </row>
    <row r="314" spans="1:11">
      <c r="A314" s="97" t="s">
        <v>5034</v>
      </c>
      <c r="B314" s="111">
        <v>-75500</v>
      </c>
      <c r="C314" s="97">
        <v>1</v>
      </c>
      <c r="D314" s="97">
        <f t="shared" si="15"/>
        <v>293</v>
      </c>
      <c r="E314" s="97">
        <f t="shared" si="16"/>
        <v>0</v>
      </c>
      <c r="F314" s="97">
        <f t="shared" ref="F314:F331" si="17">B314*(D314-E314)</f>
        <v>-22121500</v>
      </c>
      <c r="G314" s="97"/>
    </row>
    <row r="315" spans="1:11">
      <c r="A315" s="97" t="s">
        <v>5044</v>
      </c>
      <c r="B315" s="111">
        <v>-331250</v>
      </c>
      <c r="C315" s="97">
        <v>2</v>
      </c>
      <c r="D315" s="97">
        <f t="shared" si="15"/>
        <v>292</v>
      </c>
      <c r="E315" s="97">
        <f t="shared" si="16"/>
        <v>0</v>
      </c>
      <c r="F315" s="97">
        <f t="shared" si="17"/>
        <v>-96725000</v>
      </c>
      <c r="G315" s="97"/>
    </row>
    <row r="316" spans="1:11">
      <c r="A316" s="97" t="s">
        <v>5069</v>
      </c>
      <c r="B316" s="111">
        <v>-39000</v>
      </c>
      <c r="C316" s="97">
        <v>1</v>
      </c>
      <c r="D316" s="97">
        <f t="shared" si="15"/>
        <v>290</v>
      </c>
      <c r="E316" s="97">
        <f t="shared" si="16"/>
        <v>0</v>
      </c>
      <c r="F316" s="97">
        <f t="shared" si="17"/>
        <v>-11310000</v>
      </c>
      <c r="G316" s="97"/>
      <c r="I316" s="112"/>
    </row>
    <row r="317" spans="1:11">
      <c r="A317" s="97" t="s">
        <v>5046</v>
      </c>
      <c r="B317" s="111">
        <v>-44000</v>
      </c>
      <c r="C317" s="97">
        <v>3</v>
      </c>
      <c r="D317" s="97">
        <f t="shared" si="15"/>
        <v>289</v>
      </c>
      <c r="E317" s="97">
        <f t="shared" si="16"/>
        <v>0</v>
      </c>
      <c r="F317" s="97">
        <f t="shared" si="17"/>
        <v>-12716000</v>
      </c>
      <c r="G317" s="97"/>
      <c r="J317" t="s">
        <v>25</v>
      </c>
    </row>
    <row r="318" spans="1:11">
      <c r="A318" s="97" t="s">
        <v>4993</v>
      </c>
      <c r="B318" s="111">
        <v>-30476</v>
      </c>
      <c r="C318" s="97">
        <v>1</v>
      </c>
      <c r="D318" s="97">
        <f t="shared" si="15"/>
        <v>286</v>
      </c>
      <c r="E318" s="97">
        <f t="shared" si="16"/>
        <v>0</v>
      </c>
      <c r="F318" s="97">
        <f t="shared" si="17"/>
        <v>-8716136</v>
      </c>
      <c r="G318" s="97"/>
    </row>
    <row r="319" spans="1:11">
      <c r="A319" s="97" t="s">
        <v>5050</v>
      </c>
      <c r="B319" s="111">
        <v>-4000</v>
      </c>
      <c r="C319" s="97">
        <v>11</v>
      </c>
      <c r="D319" s="97">
        <f t="shared" ref="D319:D326" si="18">D320+C319</f>
        <v>285</v>
      </c>
      <c r="E319" s="97">
        <f t="shared" ref="E319:E326" si="19">IF(B320&gt;0,1,0)</f>
        <v>1</v>
      </c>
      <c r="F319" s="97">
        <f t="shared" si="17"/>
        <v>-1136000</v>
      </c>
      <c r="G319" s="97"/>
    </row>
    <row r="320" spans="1:11">
      <c r="A320" s="97" t="s">
        <v>5070</v>
      </c>
      <c r="B320" s="111">
        <v>6300000</v>
      </c>
      <c r="C320" s="97">
        <v>1</v>
      </c>
      <c r="D320" s="97">
        <f t="shared" si="18"/>
        <v>274</v>
      </c>
      <c r="E320" s="97">
        <f t="shared" si="19"/>
        <v>0</v>
      </c>
      <c r="F320" s="97">
        <f t="shared" si="17"/>
        <v>1726200000</v>
      </c>
      <c r="G320" s="97"/>
    </row>
    <row r="321" spans="1:9">
      <c r="A321" s="97" t="s">
        <v>5092</v>
      </c>
      <c r="B321" s="111">
        <v>-6000000</v>
      </c>
      <c r="C321" s="97">
        <v>2</v>
      </c>
      <c r="D321" s="97">
        <f t="shared" si="18"/>
        <v>273</v>
      </c>
      <c r="E321" s="97">
        <f t="shared" si="19"/>
        <v>0</v>
      </c>
      <c r="F321" s="97">
        <f t="shared" si="17"/>
        <v>-1638000000</v>
      </c>
      <c r="G321" s="97"/>
    </row>
    <row r="322" spans="1:9">
      <c r="A322" s="97" t="s">
        <v>5091</v>
      </c>
      <c r="B322" s="111">
        <v>-295000</v>
      </c>
      <c r="C322" s="97">
        <v>0</v>
      </c>
      <c r="D322" s="97">
        <f t="shared" si="18"/>
        <v>271</v>
      </c>
      <c r="E322" s="97">
        <f t="shared" si="19"/>
        <v>1</v>
      </c>
      <c r="F322" s="97">
        <f t="shared" si="17"/>
        <v>-79650000</v>
      </c>
      <c r="G322" s="97"/>
    </row>
    <row r="323" spans="1:9">
      <c r="A323" s="97" t="s">
        <v>5091</v>
      </c>
      <c r="B323" s="111">
        <v>483</v>
      </c>
      <c r="C323" s="97">
        <v>8</v>
      </c>
      <c r="D323" s="97">
        <f t="shared" si="18"/>
        <v>271</v>
      </c>
      <c r="E323" s="97">
        <f t="shared" si="19"/>
        <v>1</v>
      </c>
      <c r="F323" s="97">
        <f t="shared" si="17"/>
        <v>130410</v>
      </c>
      <c r="G323" s="97" t="s">
        <v>687</v>
      </c>
      <c r="I323" t="s">
        <v>25</v>
      </c>
    </row>
    <row r="324" spans="1:9">
      <c r="A324" s="97" t="s">
        <v>5109</v>
      </c>
      <c r="B324" s="111">
        <v>1700000</v>
      </c>
      <c r="C324" s="97">
        <v>0</v>
      </c>
      <c r="D324" s="97">
        <f t="shared" si="18"/>
        <v>263</v>
      </c>
      <c r="E324" s="97">
        <f t="shared" si="19"/>
        <v>0</v>
      </c>
      <c r="F324" s="97">
        <f t="shared" si="17"/>
        <v>447100000</v>
      </c>
      <c r="G324" s="97"/>
    </row>
    <row r="325" spans="1:9">
      <c r="A325" s="97" t="s">
        <v>5109</v>
      </c>
      <c r="B325" s="111">
        <v>-53000</v>
      </c>
      <c r="C325" s="97">
        <v>1</v>
      </c>
      <c r="D325" s="97">
        <f t="shared" si="18"/>
        <v>263</v>
      </c>
      <c r="E325" s="97">
        <f t="shared" si="19"/>
        <v>0</v>
      </c>
      <c r="F325" s="97">
        <f t="shared" si="17"/>
        <v>-13939000</v>
      </c>
      <c r="G325" s="97"/>
    </row>
    <row r="326" spans="1:9">
      <c r="A326" s="97" t="s">
        <v>5110</v>
      </c>
      <c r="B326" s="111">
        <v>-1300000</v>
      </c>
      <c r="C326" s="97">
        <v>0</v>
      </c>
      <c r="D326" s="97">
        <f t="shared" si="18"/>
        <v>262</v>
      </c>
      <c r="E326" s="97">
        <f t="shared" si="19"/>
        <v>0</v>
      </c>
      <c r="F326" s="97">
        <f t="shared" si="17"/>
        <v>-340600000</v>
      </c>
      <c r="G326" s="97"/>
      <c r="I326" t="s">
        <v>25</v>
      </c>
    </row>
    <row r="327" spans="1:9">
      <c r="A327" s="97" t="s">
        <v>5110</v>
      </c>
      <c r="B327" s="111">
        <v>-41500</v>
      </c>
      <c r="C327" s="97">
        <v>1</v>
      </c>
      <c r="D327" s="97">
        <f t="shared" ref="D327:D333" si="20">D328+C327</f>
        <v>262</v>
      </c>
      <c r="E327" s="97">
        <f t="shared" ref="E327:E333" si="21">IF(B328&gt;0,1,0)</f>
        <v>0</v>
      </c>
      <c r="F327" s="97">
        <f t="shared" si="17"/>
        <v>-10873000</v>
      </c>
      <c r="G327" s="97"/>
    </row>
    <row r="328" spans="1:9">
      <c r="A328" s="97" t="s">
        <v>5113</v>
      </c>
      <c r="B328" s="111">
        <v>-57700</v>
      </c>
      <c r="C328" s="97">
        <v>3</v>
      </c>
      <c r="D328" s="97">
        <f t="shared" si="20"/>
        <v>261</v>
      </c>
      <c r="E328" s="97">
        <f t="shared" si="21"/>
        <v>0</v>
      </c>
      <c r="F328" s="97">
        <f t="shared" si="17"/>
        <v>-15059700</v>
      </c>
      <c r="G328" s="97"/>
    </row>
    <row r="329" spans="1:9">
      <c r="A329" s="97" t="s">
        <v>5116</v>
      </c>
      <c r="B329" s="111">
        <v>-5600</v>
      </c>
      <c r="C329" s="97">
        <v>1</v>
      </c>
      <c r="D329" s="97">
        <f t="shared" si="20"/>
        <v>258</v>
      </c>
      <c r="E329" s="97">
        <f t="shared" si="21"/>
        <v>0</v>
      </c>
      <c r="F329" s="97">
        <f t="shared" si="17"/>
        <v>-1444800</v>
      </c>
      <c r="G329" s="97"/>
    </row>
    <row r="330" spans="1:9">
      <c r="A330" s="97" t="s">
        <v>5117</v>
      </c>
      <c r="B330" s="111">
        <v>-5600</v>
      </c>
      <c r="C330" s="97">
        <v>1</v>
      </c>
      <c r="D330" s="97">
        <f t="shared" si="20"/>
        <v>257</v>
      </c>
      <c r="E330" s="97">
        <f t="shared" si="21"/>
        <v>0</v>
      </c>
      <c r="F330" s="97">
        <f t="shared" si="17"/>
        <v>-1439200</v>
      </c>
      <c r="G330" s="97"/>
    </row>
    <row r="331" spans="1:9">
      <c r="A331" s="97" t="s">
        <v>975</v>
      </c>
      <c r="B331" s="111">
        <v>-68100</v>
      </c>
      <c r="C331" s="97">
        <v>1</v>
      </c>
      <c r="D331" s="97">
        <f t="shared" si="20"/>
        <v>256</v>
      </c>
      <c r="E331" s="97">
        <f t="shared" si="21"/>
        <v>0</v>
      </c>
      <c r="F331" s="97">
        <f t="shared" si="17"/>
        <v>-17433600</v>
      </c>
      <c r="G331" s="97"/>
      <c r="I331" t="s">
        <v>25</v>
      </c>
    </row>
    <row r="332" spans="1:9">
      <c r="A332" s="97" t="s">
        <v>4253</v>
      </c>
      <c r="B332" s="111">
        <v>-25390</v>
      </c>
      <c r="C332" s="97">
        <v>2</v>
      </c>
      <c r="D332" s="97">
        <f t="shared" si="20"/>
        <v>255</v>
      </c>
      <c r="E332" s="97">
        <f t="shared" si="21"/>
        <v>0</v>
      </c>
      <c r="F332" s="97">
        <f>B332*(D332-E332)</f>
        <v>-6474450</v>
      </c>
      <c r="G332" s="97"/>
    </row>
    <row r="333" spans="1:9">
      <c r="A333" s="97" t="s">
        <v>5126</v>
      </c>
      <c r="B333" s="111">
        <v>-78508</v>
      </c>
      <c r="C333" s="97">
        <v>2</v>
      </c>
      <c r="D333" s="97">
        <f t="shared" si="20"/>
        <v>253</v>
      </c>
      <c r="E333" s="97">
        <f t="shared" si="21"/>
        <v>0</v>
      </c>
      <c r="F333" s="97">
        <f>B333*(D333-E333)</f>
        <v>-19862524</v>
      </c>
      <c r="G333" s="97"/>
    </row>
    <row r="334" spans="1:9">
      <c r="A334" s="97" t="s">
        <v>5127</v>
      </c>
      <c r="B334" s="111">
        <v>-2000</v>
      </c>
      <c r="C334" s="97">
        <v>4</v>
      </c>
      <c r="D334" s="97">
        <f t="shared" ref="D334:D352" si="22">D335+C334</f>
        <v>251</v>
      </c>
      <c r="E334" s="97">
        <f t="shared" ref="E334:E352" si="23">IF(B335&gt;0,1,0)</f>
        <v>1</v>
      </c>
      <c r="F334" s="97">
        <f t="shared" ref="F334:F352" si="24">B334*(D334-E334)</f>
        <v>-500000</v>
      </c>
      <c r="G334" s="97"/>
    </row>
    <row r="335" spans="1:9">
      <c r="A335" s="97" t="s">
        <v>5130</v>
      </c>
      <c r="B335" s="111">
        <v>2200472</v>
      </c>
      <c r="C335" s="97">
        <v>1</v>
      </c>
      <c r="D335" s="97">
        <f t="shared" si="22"/>
        <v>247</v>
      </c>
      <c r="E335" s="97">
        <f t="shared" si="23"/>
        <v>0</v>
      </c>
      <c r="F335" s="97">
        <f t="shared" si="24"/>
        <v>543516584</v>
      </c>
      <c r="G335" s="97"/>
      <c r="H335" t="s">
        <v>25</v>
      </c>
    </row>
    <row r="336" spans="1:9">
      <c r="A336" s="97" t="s">
        <v>5136</v>
      </c>
      <c r="B336" s="111">
        <v>-28000</v>
      </c>
      <c r="C336" s="97">
        <v>2</v>
      </c>
      <c r="D336" s="97">
        <f t="shared" si="22"/>
        <v>246</v>
      </c>
      <c r="E336" s="97">
        <f t="shared" si="23"/>
        <v>1</v>
      </c>
      <c r="F336" s="97">
        <f t="shared" si="24"/>
        <v>-6860000</v>
      </c>
      <c r="G336" s="97"/>
    </row>
    <row r="337" spans="1:13">
      <c r="A337" s="97" t="s">
        <v>5135</v>
      </c>
      <c r="B337" s="111">
        <v>2500000</v>
      </c>
      <c r="C337" s="97">
        <v>0</v>
      </c>
      <c r="D337" s="97">
        <f t="shared" si="22"/>
        <v>244</v>
      </c>
      <c r="E337" s="97">
        <f t="shared" si="23"/>
        <v>0</v>
      </c>
      <c r="F337" s="97">
        <f t="shared" si="24"/>
        <v>610000000</v>
      </c>
      <c r="G337" s="97"/>
    </row>
    <row r="338" spans="1:13">
      <c r="A338" s="97" t="s">
        <v>5135</v>
      </c>
      <c r="B338" s="111">
        <v>-407500</v>
      </c>
      <c r="C338" s="97">
        <v>2</v>
      </c>
      <c r="D338" s="97">
        <f t="shared" si="22"/>
        <v>244</v>
      </c>
      <c r="E338" s="97">
        <f t="shared" si="23"/>
        <v>0</v>
      </c>
      <c r="F338" s="97">
        <f t="shared" si="24"/>
        <v>-99430000</v>
      </c>
      <c r="G338" s="97"/>
    </row>
    <row r="339" spans="1:13">
      <c r="A339" s="97" t="s">
        <v>5137</v>
      </c>
      <c r="B339" s="111">
        <v>-3600</v>
      </c>
      <c r="C339" s="97">
        <v>1</v>
      </c>
      <c r="D339" s="97">
        <f t="shared" si="22"/>
        <v>242</v>
      </c>
      <c r="E339" s="97">
        <f t="shared" si="23"/>
        <v>0</v>
      </c>
      <c r="F339" s="97">
        <f t="shared" si="24"/>
        <v>-871200</v>
      </c>
      <c r="G339" s="97"/>
    </row>
    <row r="340" spans="1:13">
      <c r="A340" s="97" t="s">
        <v>5141</v>
      </c>
      <c r="B340" s="111">
        <v>-170094</v>
      </c>
      <c r="C340" s="97">
        <v>1</v>
      </c>
      <c r="D340" s="97">
        <f t="shared" si="22"/>
        <v>241</v>
      </c>
      <c r="E340" s="97">
        <f t="shared" si="23"/>
        <v>0</v>
      </c>
      <c r="F340" s="97">
        <f t="shared" si="24"/>
        <v>-40992654</v>
      </c>
      <c r="G340" s="97"/>
      <c r="J340" t="s">
        <v>25</v>
      </c>
    </row>
    <row r="341" spans="1:13">
      <c r="A341" s="97" t="s">
        <v>5138</v>
      </c>
      <c r="B341" s="111">
        <v>-51730</v>
      </c>
      <c r="C341" s="97">
        <v>1</v>
      </c>
      <c r="D341" s="97">
        <f t="shared" si="22"/>
        <v>240</v>
      </c>
      <c r="E341" s="97">
        <f t="shared" si="23"/>
        <v>0</v>
      </c>
      <c r="F341" s="97">
        <f t="shared" si="24"/>
        <v>-12415200</v>
      </c>
      <c r="G341" s="97"/>
    </row>
    <row r="342" spans="1:13">
      <c r="A342" s="97" t="s">
        <v>5142</v>
      </c>
      <c r="B342" s="111">
        <v>-200000</v>
      </c>
      <c r="C342" s="97">
        <v>2</v>
      </c>
      <c r="D342" s="97">
        <f t="shared" si="22"/>
        <v>239</v>
      </c>
      <c r="E342" s="97">
        <f t="shared" si="23"/>
        <v>0</v>
      </c>
      <c r="F342" s="97">
        <f t="shared" si="24"/>
        <v>-47800000</v>
      </c>
      <c r="G342" s="97"/>
    </row>
    <row r="343" spans="1:13">
      <c r="A343" s="97" t="s">
        <v>5108</v>
      </c>
      <c r="B343" s="111">
        <v>-3000000</v>
      </c>
      <c r="C343" s="97">
        <v>0</v>
      </c>
      <c r="D343" s="97">
        <f t="shared" si="22"/>
        <v>237</v>
      </c>
      <c r="E343" s="97">
        <f t="shared" si="23"/>
        <v>0</v>
      </c>
      <c r="F343" s="97">
        <f t="shared" si="24"/>
        <v>-711000000</v>
      </c>
      <c r="G343" s="97"/>
    </row>
    <row r="344" spans="1:13">
      <c r="A344" s="97" t="s">
        <v>5108</v>
      </c>
      <c r="B344" s="111">
        <v>-39726</v>
      </c>
      <c r="C344" s="97">
        <v>1</v>
      </c>
      <c r="D344" s="97">
        <f t="shared" si="22"/>
        <v>237</v>
      </c>
      <c r="E344" s="97">
        <f t="shared" si="23"/>
        <v>0</v>
      </c>
      <c r="F344" s="97">
        <f t="shared" si="24"/>
        <v>-9415062</v>
      </c>
      <c r="G344" s="97"/>
      <c r="M344" t="s">
        <v>25</v>
      </c>
    </row>
    <row r="345" spans="1:13">
      <c r="A345" s="97" t="s">
        <v>5144</v>
      </c>
      <c r="B345" s="111">
        <v>-566500</v>
      </c>
      <c r="C345" s="97">
        <v>1</v>
      </c>
      <c r="D345" s="97">
        <f t="shared" si="22"/>
        <v>236</v>
      </c>
      <c r="E345" s="97">
        <f t="shared" si="23"/>
        <v>0</v>
      </c>
      <c r="F345" s="97">
        <f t="shared" si="24"/>
        <v>-133694000</v>
      </c>
      <c r="G345" s="97"/>
      <c r="K345" t="s">
        <v>25</v>
      </c>
    </row>
    <row r="346" spans="1:13">
      <c r="A346" s="97" t="s">
        <v>5145</v>
      </c>
      <c r="B346" s="111">
        <v>-300000</v>
      </c>
      <c r="C346" s="97">
        <v>22</v>
      </c>
      <c r="D346" s="97">
        <f t="shared" si="22"/>
        <v>235</v>
      </c>
      <c r="E346" s="97">
        <f t="shared" si="23"/>
        <v>1</v>
      </c>
      <c r="F346" s="97">
        <f t="shared" si="24"/>
        <v>-70200000</v>
      </c>
      <c r="G346" s="97"/>
      <c r="J346" t="s">
        <v>25</v>
      </c>
    </row>
    <row r="347" spans="1:13">
      <c r="A347" s="97" t="s">
        <v>5165</v>
      </c>
      <c r="B347" s="111">
        <v>700000</v>
      </c>
      <c r="C347" s="97">
        <v>1</v>
      </c>
      <c r="D347" s="97">
        <f t="shared" si="22"/>
        <v>213</v>
      </c>
      <c r="E347" s="97">
        <f t="shared" si="23"/>
        <v>0</v>
      </c>
      <c r="F347" s="97">
        <f t="shared" si="24"/>
        <v>149100000</v>
      </c>
      <c r="G347" s="97"/>
    </row>
    <row r="348" spans="1:13">
      <c r="A348" s="97" t="s">
        <v>5168</v>
      </c>
      <c r="B348" s="111">
        <v>-101000</v>
      </c>
      <c r="C348" s="97">
        <v>1</v>
      </c>
      <c r="D348" s="97">
        <f t="shared" si="22"/>
        <v>212</v>
      </c>
      <c r="E348" s="97">
        <f t="shared" si="23"/>
        <v>0</v>
      </c>
      <c r="F348" s="97">
        <f t="shared" si="24"/>
        <v>-21412000</v>
      </c>
      <c r="G348" s="97"/>
    </row>
    <row r="349" spans="1:13">
      <c r="A349" s="97" t="s">
        <v>5168</v>
      </c>
      <c r="B349" s="111">
        <v>-57245</v>
      </c>
      <c r="C349" s="97">
        <v>1</v>
      </c>
      <c r="D349" s="97">
        <f t="shared" si="22"/>
        <v>211</v>
      </c>
      <c r="E349" s="97">
        <f t="shared" si="23"/>
        <v>0</v>
      </c>
      <c r="F349" s="97">
        <f t="shared" si="24"/>
        <v>-12078695</v>
      </c>
      <c r="G349" s="97"/>
    </row>
    <row r="350" spans="1:13">
      <c r="A350" s="97" t="s">
        <v>5170</v>
      </c>
      <c r="B350" s="111">
        <v>-398700</v>
      </c>
      <c r="C350" s="97">
        <v>2</v>
      </c>
      <c r="D350" s="97">
        <f t="shared" si="22"/>
        <v>210</v>
      </c>
      <c r="E350" s="97">
        <f t="shared" si="23"/>
        <v>0</v>
      </c>
      <c r="F350" s="97">
        <f t="shared" si="24"/>
        <v>-83727000</v>
      </c>
      <c r="G350" s="97"/>
    </row>
    <row r="351" spans="1:13">
      <c r="A351" s="97" t="s">
        <v>5169</v>
      </c>
      <c r="B351" s="111">
        <v>-87010</v>
      </c>
      <c r="C351" s="97">
        <v>5</v>
      </c>
      <c r="D351" s="97">
        <f t="shared" si="22"/>
        <v>208</v>
      </c>
      <c r="E351" s="97">
        <f t="shared" si="23"/>
        <v>0</v>
      </c>
      <c r="F351" s="97">
        <f t="shared" si="24"/>
        <v>-18098080</v>
      </c>
      <c r="G351" s="97"/>
    </row>
    <row r="352" spans="1:13">
      <c r="A352" s="97" t="s">
        <v>5199</v>
      </c>
      <c r="B352" s="111">
        <v>-50000</v>
      </c>
      <c r="C352" s="97">
        <v>28</v>
      </c>
      <c r="D352" s="97">
        <f t="shared" si="22"/>
        <v>203</v>
      </c>
      <c r="E352" s="97">
        <f t="shared" si="23"/>
        <v>1</v>
      </c>
      <c r="F352" s="97">
        <f t="shared" si="24"/>
        <v>-10100000</v>
      </c>
      <c r="G352" s="97"/>
    </row>
    <row r="353" spans="1:12">
      <c r="A353" s="97" t="s">
        <v>5198</v>
      </c>
      <c r="B353" s="111">
        <v>1200000</v>
      </c>
      <c r="C353" s="97">
        <v>0</v>
      </c>
      <c r="D353" s="97">
        <f t="shared" ref="D353:D365" si="25">D354+C353</f>
        <v>175</v>
      </c>
      <c r="E353" s="97">
        <f t="shared" ref="E353:E365" si="26">IF(B354&gt;0,1,0)</f>
        <v>0</v>
      </c>
      <c r="F353" s="97">
        <f t="shared" ref="F353:F365" si="27">B353*(D353-E353)</f>
        <v>210000000</v>
      </c>
      <c r="G353" s="97"/>
    </row>
    <row r="354" spans="1:12">
      <c r="A354" s="97" t="s">
        <v>5198</v>
      </c>
      <c r="B354" s="111">
        <v>-367300</v>
      </c>
      <c r="C354" s="97">
        <v>1</v>
      </c>
      <c r="D354" s="97">
        <f t="shared" si="25"/>
        <v>175</v>
      </c>
      <c r="E354" s="97">
        <f t="shared" si="26"/>
        <v>0</v>
      </c>
      <c r="F354" s="97">
        <f t="shared" si="27"/>
        <v>-64277500</v>
      </c>
      <c r="G354" s="97"/>
    </row>
    <row r="355" spans="1:12">
      <c r="A355" s="97" t="s">
        <v>5200</v>
      </c>
      <c r="B355" s="111">
        <v>-104894</v>
      </c>
      <c r="C355" s="97">
        <v>1</v>
      </c>
      <c r="D355" s="97">
        <f t="shared" si="25"/>
        <v>174</v>
      </c>
      <c r="E355" s="97">
        <f t="shared" si="26"/>
        <v>0</v>
      </c>
      <c r="F355" s="97">
        <f t="shared" si="27"/>
        <v>-18251556</v>
      </c>
      <c r="G355" s="97"/>
    </row>
    <row r="356" spans="1:12">
      <c r="A356" s="97" t="s">
        <v>5201</v>
      </c>
      <c r="B356" s="111">
        <v>-688700</v>
      </c>
      <c r="C356" s="97">
        <v>0</v>
      </c>
      <c r="D356" s="97">
        <f t="shared" si="25"/>
        <v>173</v>
      </c>
      <c r="E356" s="97">
        <f t="shared" si="26"/>
        <v>0</v>
      </c>
      <c r="F356" s="97">
        <f t="shared" si="27"/>
        <v>-119145100</v>
      </c>
      <c r="G356" s="97"/>
    </row>
    <row r="357" spans="1:12">
      <c r="A357" s="97" t="s">
        <v>5201</v>
      </c>
      <c r="B357" s="111">
        <v>-8321</v>
      </c>
      <c r="C357" s="97">
        <v>5</v>
      </c>
      <c r="D357" s="97">
        <f t="shared" si="25"/>
        <v>173</v>
      </c>
      <c r="E357" s="97">
        <f t="shared" si="26"/>
        <v>1</v>
      </c>
      <c r="F357" s="97">
        <f t="shared" si="27"/>
        <v>-1431212</v>
      </c>
      <c r="G357" s="97"/>
      <c r="J357" t="s">
        <v>25</v>
      </c>
    </row>
    <row r="358" spans="1:12">
      <c r="A358" s="97" t="s">
        <v>5211</v>
      </c>
      <c r="B358" s="111">
        <v>1000000</v>
      </c>
      <c r="C358" s="97">
        <v>0</v>
      </c>
      <c r="D358" s="97">
        <f t="shared" si="25"/>
        <v>168</v>
      </c>
      <c r="E358" s="97">
        <f t="shared" si="26"/>
        <v>0</v>
      </c>
      <c r="F358" s="97">
        <f t="shared" si="27"/>
        <v>168000000</v>
      </c>
      <c r="G358" s="97"/>
    </row>
    <row r="359" spans="1:12">
      <c r="A359" s="97" t="s">
        <v>5211</v>
      </c>
      <c r="B359" s="111">
        <v>-127644</v>
      </c>
      <c r="C359" s="97">
        <v>1</v>
      </c>
      <c r="D359" s="97">
        <f t="shared" si="25"/>
        <v>168</v>
      </c>
      <c r="E359" s="97">
        <f t="shared" si="26"/>
        <v>0</v>
      </c>
      <c r="F359" s="97">
        <f t="shared" si="27"/>
        <v>-21444192</v>
      </c>
      <c r="G359" s="97"/>
    </row>
    <row r="360" spans="1:12">
      <c r="A360" s="97" t="s">
        <v>5212</v>
      </c>
      <c r="B360" s="111">
        <v>-418000</v>
      </c>
      <c r="C360" s="97">
        <v>4</v>
      </c>
      <c r="D360" s="97">
        <f t="shared" si="25"/>
        <v>167</v>
      </c>
      <c r="E360" s="97">
        <f t="shared" si="26"/>
        <v>0</v>
      </c>
      <c r="F360" s="97">
        <f t="shared" si="27"/>
        <v>-69806000</v>
      </c>
      <c r="G360" s="97"/>
    </row>
    <row r="361" spans="1:12">
      <c r="A361" s="97" t="s">
        <v>5216</v>
      </c>
      <c r="B361" s="111">
        <v>-183136</v>
      </c>
      <c r="C361" s="97">
        <v>2</v>
      </c>
      <c r="D361" s="97">
        <f t="shared" si="25"/>
        <v>163</v>
      </c>
      <c r="E361" s="97">
        <f t="shared" si="26"/>
        <v>0</v>
      </c>
      <c r="F361" s="97">
        <f t="shared" si="27"/>
        <v>-29851168</v>
      </c>
      <c r="G361" s="97"/>
      <c r="L361" t="s">
        <v>25</v>
      </c>
    </row>
    <row r="362" spans="1:12">
      <c r="A362" s="97" t="s">
        <v>5237</v>
      </c>
      <c r="B362" s="111">
        <v>-18600</v>
      </c>
      <c r="C362" s="97">
        <v>2</v>
      </c>
      <c r="D362" s="97">
        <f t="shared" si="25"/>
        <v>161</v>
      </c>
      <c r="E362" s="97">
        <f t="shared" si="26"/>
        <v>0</v>
      </c>
      <c r="F362" s="97">
        <f t="shared" si="27"/>
        <v>-2994600</v>
      </c>
      <c r="G362" s="97"/>
    </row>
    <row r="363" spans="1:12">
      <c r="A363" s="97" t="s">
        <v>5222</v>
      </c>
      <c r="B363" s="111">
        <v>-90000</v>
      </c>
      <c r="C363" s="97">
        <v>1</v>
      </c>
      <c r="D363" s="97">
        <f t="shared" si="25"/>
        <v>159</v>
      </c>
      <c r="E363" s="97">
        <f t="shared" si="26"/>
        <v>0</v>
      </c>
      <c r="F363" s="97">
        <f t="shared" si="27"/>
        <v>-14310000</v>
      </c>
      <c r="G363" s="97"/>
    </row>
    <row r="364" spans="1:12">
      <c r="A364" s="97" t="s">
        <v>5223</v>
      </c>
      <c r="B364" s="111">
        <v>-18600</v>
      </c>
      <c r="C364" s="97">
        <v>1</v>
      </c>
      <c r="D364" s="97">
        <f t="shared" si="25"/>
        <v>158</v>
      </c>
      <c r="E364" s="97">
        <f t="shared" si="26"/>
        <v>0</v>
      </c>
      <c r="F364" s="97">
        <f t="shared" si="27"/>
        <v>-2938800</v>
      </c>
      <c r="G364" s="97"/>
    </row>
    <row r="365" spans="1:12">
      <c r="A365" s="97" t="s">
        <v>962</v>
      </c>
      <c r="B365" s="111">
        <v>-89760</v>
      </c>
      <c r="C365" s="97">
        <v>0</v>
      </c>
      <c r="D365" s="97">
        <f t="shared" si="25"/>
        <v>157</v>
      </c>
      <c r="E365" s="97">
        <f t="shared" si="26"/>
        <v>1</v>
      </c>
      <c r="F365" s="97">
        <f t="shared" si="27"/>
        <v>-14002560</v>
      </c>
      <c r="G365" s="97"/>
      <c r="K365" t="s">
        <v>25</v>
      </c>
    </row>
    <row r="366" spans="1:12">
      <c r="A366" s="97" t="s">
        <v>962</v>
      </c>
      <c r="B366" s="111">
        <v>1600000</v>
      </c>
      <c r="C366" s="97">
        <v>0</v>
      </c>
      <c r="D366" s="97">
        <f t="shared" ref="D366:D377" si="28">D367+C366</f>
        <v>157</v>
      </c>
      <c r="E366" s="97">
        <f t="shared" ref="E366:E377" si="29">IF(B367&gt;0,1,0)</f>
        <v>0</v>
      </c>
      <c r="F366" s="97">
        <f t="shared" ref="F366:F377" si="30">B366*(D366-E366)</f>
        <v>251200000</v>
      </c>
      <c r="G366" s="97"/>
    </row>
    <row r="367" spans="1:12">
      <c r="A367" s="97" t="s">
        <v>962</v>
      </c>
      <c r="B367" s="111">
        <v>-101003</v>
      </c>
      <c r="C367" s="97">
        <v>1</v>
      </c>
      <c r="D367" s="97">
        <f t="shared" si="28"/>
        <v>157</v>
      </c>
      <c r="E367" s="97">
        <f t="shared" si="29"/>
        <v>1</v>
      </c>
      <c r="F367" s="97">
        <f t="shared" si="30"/>
        <v>-15756468</v>
      </c>
      <c r="G367" s="97"/>
    </row>
    <row r="368" spans="1:12">
      <c r="A368" s="97" t="s">
        <v>5226</v>
      </c>
      <c r="B368" s="111">
        <v>3500000</v>
      </c>
      <c r="C368" s="97">
        <v>3</v>
      </c>
      <c r="D368" s="97">
        <f t="shared" si="28"/>
        <v>156</v>
      </c>
      <c r="E368" s="97">
        <f t="shared" si="29"/>
        <v>0</v>
      </c>
      <c r="F368" s="97">
        <f t="shared" si="30"/>
        <v>546000000</v>
      </c>
      <c r="G368" s="97"/>
    </row>
    <row r="369" spans="1:11">
      <c r="A369" s="97" t="s">
        <v>5228</v>
      </c>
      <c r="B369" s="111">
        <v>-93800</v>
      </c>
      <c r="C369" s="97">
        <v>1</v>
      </c>
      <c r="D369" s="97">
        <f t="shared" si="28"/>
        <v>153</v>
      </c>
      <c r="E369" s="97">
        <f t="shared" si="29"/>
        <v>0</v>
      </c>
      <c r="F369" s="97">
        <f t="shared" si="30"/>
        <v>-14351400</v>
      </c>
      <c r="G369" s="97"/>
    </row>
    <row r="370" spans="1:11">
      <c r="A370" s="97" t="s">
        <v>5230</v>
      </c>
      <c r="B370" s="111">
        <v>-815500</v>
      </c>
      <c r="C370" s="97">
        <v>1</v>
      </c>
      <c r="D370" s="97">
        <f t="shared" si="28"/>
        <v>152</v>
      </c>
      <c r="E370" s="97">
        <f t="shared" si="29"/>
        <v>0</v>
      </c>
      <c r="F370" s="97">
        <f t="shared" si="30"/>
        <v>-123956000</v>
      </c>
      <c r="G370" s="97"/>
    </row>
    <row r="371" spans="1:11">
      <c r="A371" s="97" t="s">
        <v>5233</v>
      </c>
      <c r="B371" s="111">
        <v>-2096840</v>
      </c>
      <c r="C371" s="97">
        <v>0</v>
      </c>
      <c r="D371" s="97">
        <f t="shared" si="28"/>
        <v>151</v>
      </c>
      <c r="E371" s="97">
        <f t="shared" si="29"/>
        <v>1</v>
      </c>
      <c r="F371" s="97">
        <f t="shared" si="30"/>
        <v>-314526000</v>
      </c>
      <c r="G371" s="97"/>
    </row>
    <row r="372" spans="1:11">
      <c r="A372" s="97" t="s">
        <v>5233</v>
      </c>
      <c r="B372" s="111">
        <v>533</v>
      </c>
      <c r="C372" s="97">
        <v>1</v>
      </c>
      <c r="D372" s="97">
        <f t="shared" si="28"/>
        <v>151</v>
      </c>
      <c r="E372" s="97">
        <f t="shared" si="29"/>
        <v>1</v>
      </c>
      <c r="F372" s="97">
        <f t="shared" si="30"/>
        <v>79950</v>
      </c>
      <c r="G372" s="97"/>
      <c r="J372" t="s">
        <v>25</v>
      </c>
    </row>
    <row r="373" spans="1:11">
      <c r="A373" s="97" t="s">
        <v>5235</v>
      </c>
      <c r="B373" s="111">
        <v>4100000</v>
      </c>
      <c r="C373" s="97">
        <v>1</v>
      </c>
      <c r="D373" s="97">
        <f t="shared" si="28"/>
        <v>150</v>
      </c>
      <c r="E373" s="97">
        <f t="shared" si="29"/>
        <v>0</v>
      </c>
      <c r="F373" s="97">
        <f t="shared" si="30"/>
        <v>615000000</v>
      </c>
      <c r="G373" s="97"/>
    </row>
    <row r="374" spans="1:11">
      <c r="A374" s="97" t="s">
        <v>5238</v>
      </c>
      <c r="B374" s="111">
        <v>-3642549</v>
      </c>
      <c r="C374" s="97">
        <v>3</v>
      </c>
      <c r="D374" s="97">
        <f t="shared" si="28"/>
        <v>149</v>
      </c>
      <c r="E374" s="97">
        <f t="shared" si="29"/>
        <v>0</v>
      </c>
      <c r="F374" s="97">
        <f t="shared" si="30"/>
        <v>-542739801</v>
      </c>
      <c r="G374" s="97"/>
    </row>
    <row r="375" spans="1:11">
      <c r="A375" s="97" t="s">
        <v>5247</v>
      </c>
      <c r="B375" s="111">
        <v>-317091</v>
      </c>
      <c r="C375" s="97">
        <v>1</v>
      </c>
      <c r="D375" s="97">
        <f t="shared" si="28"/>
        <v>146</v>
      </c>
      <c r="E375" s="97">
        <f t="shared" si="29"/>
        <v>0</v>
      </c>
      <c r="F375" s="97">
        <f t="shared" si="30"/>
        <v>-46295286</v>
      </c>
      <c r="G375" s="97"/>
    </row>
    <row r="376" spans="1:11">
      <c r="A376" s="97" t="s">
        <v>5240</v>
      </c>
      <c r="B376" s="111">
        <v>-1600000</v>
      </c>
      <c r="C376" s="97">
        <v>1</v>
      </c>
      <c r="D376" s="97">
        <f t="shared" si="28"/>
        <v>145</v>
      </c>
      <c r="E376" s="97">
        <f t="shared" si="29"/>
        <v>0</v>
      </c>
      <c r="F376" s="97">
        <f t="shared" si="30"/>
        <v>-232000000</v>
      </c>
      <c r="G376" s="97"/>
    </row>
    <row r="377" spans="1:11">
      <c r="A377" s="97" t="s">
        <v>5242</v>
      </c>
      <c r="B377" s="111">
        <v>-148200</v>
      </c>
      <c r="C377" s="97">
        <v>1</v>
      </c>
      <c r="D377" s="97">
        <f t="shared" si="28"/>
        <v>144</v>
      </c>
      <c r="E377" s="97">
        <f t="shared" si="29"/>
        <v>0</v>
      </c>
      <c r="F377" s="97">
        <f t="shared" si="30"/>
        <v>-21340800</v>
      </c>
      <c r="G377" s="97"/>
    </row>
    <row r="378" spans="1:11">
      <c r="A378" s="97" t="s">
        <v>981</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5316</v>
      </c>
      <c r="B379" s="111">
        <v>10000000</v>
      </c>
      <c r="C379" s="97">
        <v>0</v>
      </c>
      <c r="D379" s="97">
        <f t="shared" si="31"/>
        <v>121</v>
      </c>
      <c r="E379" s="97">
        <f t="shared" si="32"/>
        <v>0</v>
      </c>
      <c r="F379" s="97">
        <f t="shared" si="33"/>
        <v>1210000000</v>
      </c>
      <c r="G379" s="97"/>
    </row>
    <row r="380" spans="1:11">
      <c r="A380" s="97" t="s">
        <v>5316</v>
      </c>
      <c r="B380" s="111">
        <v>-3000000</v>
      </c>
      <c r="C380" s="97">
        <v>0</v>
      </c>
      <c r="D380" s="97">
        <f t="shared" si="31"/>
        <v>121</v>
      </c>
      <c r="E380" s="97">
        <f t="shared" si="32"/>
        <v>0</v>
      </c>
      <c r="F380" s="97">
        <f t="shared" si="33"/>
        <v>-363000000</v>
      </c>
      <c r="G380" s="97"/>
    </row>
    <row r="381" spans="1:11">
      <c r="A381" s="97" t="s">
        <v>5316</v>
      </c>
      <c r="B381" s="111">
        <v>-3971300</v>
      </c>
      <c r="C381" s="97">
        <v>7</v>
      </c>
      <c r="D381" s="97">
        <f t="shared" si="31"/>
        <v>121</v>
      </c>
      <c r="E381" s="97">
        <f t="shared" si="32"/>
        <v>0</v>
      </c>
      <c r="F381" s="97">
        <f t="shared" si="33"/>
        <v>-480527300</v>
      </c>
      <c r="G381" s="97"/>
    </row>
    <row r="382" spans="1:11">
      <c r="A382" s="97" t="s">
        <v>5330</v>
      </c>
      <c r="B382" s="111">
        <v>-2472422</v>
      </c>
      <c r="C382" s="97">
        <v>2</v>
      </c>
      <c r="D382" s="97">
        <f t="shared" si="31"/>
        <v>114</v>
      </c>
      <c r="E382" s="97">
        <f t="shared" si="32"/>
        <v>0</v>
      </c>
      <c r="F382" s="97">
        <f t="shared" si="33"/>
        <v>-281856108</v>
      </c>
      <c r="G382" s="97"/>
    </row>
    <row r="383" spans="1:11">
      <c r="A383" s="97" t="s">
        <v>5354</v>
      </c>
      <c r="B383" s="111">
        <v>-345000</v>
      </c>
      <c r="C383" s="97">
        <v>1</v>
      </c>
      <c r="D383" s="97">
        <f t="shared" si="31"/>
        <v>112</v>
      </c>
      <c r="E383" s="97">
        <f t="shared" si="32"/>
        <v>0</v>
      </c>
      <c r="F383" s="97">
        <f t="shared" si="33"/>
        <v>-38640000</v>
      </c>
      <c r="G383" s="97"/>
    </row>
    <row r="384" spans="1:11">
      <c r="A384" s="97" t="s">
        <v>5355</v>
      </c>
      <c r="B384" s="111">
        <v>-200000</v>
      </c>
      <c r="C384" s="97">
        <v>10</v>
      </c>
      <c r="D384" s="97">
        <f t="shared" si="31"/>
        <v>111</v>
      </c>
      <c r="E384" s="97">
        <f t="shared" si="32"/>
        <v>1</v>
      </c>
      <c r="F384" s="97">
        <f t="shared" si="33"/>
        <v>-22000000</v>
      </c>
      <c r="G384" s="97"/>
    </row>
    <row r="385" spans="1:10">
      <c r="A385" s="97" t="s">
        <v>5350</v>
      </c>
      <c r="B385" s="111">
        <v>800000</v>
      </c>
      <c r="C385" s="97">
        <v>0</v>
      </c>
      <c r="D385" s="97">
        <f t="shared" si="31"/>
        <v>101</v>
      </c>
      <c r="E385" s="97">
        <f t="shared" si="32"/>
        <v>0</v>
      </c>
      <c r="F385" s="97">
        <f t="shared" si="33"/>
        <v>80800000</v>
      </c>
      <c r="G385" s="97"/>
    </row>
    <row r="386" spans="1:10">
      <c r="A386" s="97" t="s">
        <v>5350</v>
      </c>
      <c r="B386" s="111">
        <v>-116941</v>
      </c>
      <c r="C386" s="97">
        <v>1</v>
      </c>
      <c r="D386" s="97">
        <f t="shared" si="31"/>
        <v>101</v>
      </c>
      <c r="E386" s="97">
        <f t="shared" si="32"/>
        <v>0</v>
      </c>
      <c r="F386" s="97">
        <f t="shared" si="33"/>
        <v>-11811041</v>
      </c>
      <c r="G386" s="97"/>
    </row>
    <row r="387" spans="1:10">
      <c r="A387" s="97" t="s">
        <v>985</v>
      </c>
      <c r="B387" s="111">
        <v>-400000</v>
      </c>
      <c r="C387" s="97">
        <v>0</v>
      </c>
      <c r="D387" s="97">
        <f t="shared" si="31"/>
        <v>100</v>
      </c>
      <c r="E387" s="97">
        <f t="shared" si="32"/>
        <v>1</v>
      </c>
      <c r="F387" s="97">
        <f t="shared" si="33"/>
        <v>-39600000</v>
      </c>
      <c r="G387" s="97"/>
    </row>
    <row r="388" spans="1:10">
      <c r="A388" s="97" t="s">
        <v>985</v>
      </c>
      <c r="B388" s="111">
        <v>12000000</v>
      </c>
      <c r="C388" s="97">
        <v>1</v>
      </c>
      <c r="D388" s="97">
        <f t="shared" si="31"/>
        <v>100</v>
      </c>
      <c r="E388" s="97">
        <f t="shared" si="32"/>
        <v>1</v>
      </c>
      <c r="F388" s="97">
        <f t="shared" si="33"/>
        <v>1188000000</v>
      </c>
      <c r="G388" s="97"/>
    </row>
    <row r="389" spans="1:10">
      <c r="A389" s="97" t="s">
        <v>5356</v>
      </c>
      <c r="B389" s="111">
        <v>8000000</v>
      </c>
      <c r="C389" s="97">
        <v>1</v>
      </c>
      <c r="D389" s="97">
        <f t="shared" si="31"/>
        <v>99</v>
      </c>
      <c r="E389" s="97">
        <f t="shared" si="32"/>
        <v>0</v>
      </c>
      <c r="F389" s="97">
        <f t="shared" si="33"/>
        <v>792000000</v>
      </c>
      <c r="G389" s="97"/>
    </row>
    <row r="390" spans="1:10">
      <c r="A390" s="97" t="s">
        <v>5357</v>
      </c>
      <c r="B390" s="111">
        <v>-10000</v>
      </c>
      <c r="C390" s="97">
        <v>1</v>
      </c>
      <c r="D390" s="97">
        <f t="shared" si="31"/>
        <v>98</v>
      </c>
      <c r="E390" s="97">
        <f t="shared" si="32"/>
        <v>0</v>
      </c>
      <c r="F390" s="97">
        <f t="shared" si="33"/>
        <v>-980000</v>
      </c>
      <c r="G390" s="97"/>
    </row>
    <row r="391" spans="1:10">
      <c r="A391" s="97" t="s">
        <v>5358</v>
      </c>
      <c r="B391" s="111">
        <v>-88000</v>
      </c>
      <c r="C391" s="97">
        <v>1</v>
      </c>
      <c r="D391" s="97">
        <f t="shared" si="31"/>
        <v>97</v>
      </c>
      <c r="E391" s="97">
        <f t="shared" si="32"/>
        <v>0</v>
      </c>
      <c r="F391" s="97">
        <f t="shared" si="33"/>
        <v>-8536000</v>
      </c>
      <c r="G391" s="97"/>
    </row>
    <row r="392" spans="1:10">
      <c r="A392" s="97" t="s">
        <v>5359</v>
      </c>
      <c r="B392" s="111">
        <v>-297675</v>
      </c>
      <c r="C392" s="97">
        <v>3</v>
      </c>
      <c r="D392" s="97">
        <f t="shared" si="31"/>
        <v>96</v>
      </c>
      <c r="E392" s="97">
        <f t="shared" si="32"/>
        <v>0</v>
      </c>
      <c r="F392" s="97">
        <f t="shared" si="33"/>
        <v>-28576800</v>
      </c>
      <c r="G392" s="97"/>
    </row>
    <row r="393" spans="1:10">
      <c r="A393" s="97" t="s">
        <v>5351</v>
      </c>
      <c r="B393" s="111">
        <v>-10114121</v>
      </c>
      <c r="C393" s="97">
        <v>1</v>
      </c>
      <c r="D393" s="97">
        <f t="shared" si="31"/>
        <v>93</v>
      </c>
      <c r="E393" s="97">
        <f t="shared" si="32"/>
        <v>0</v>
      </c>
      <c r="F393" s="97">
        <f t="shared" si="33"/>
        <v>-940613253</v>
      </c>
      <c r="G393" s="97"/>
    </row>
    <row r="394" spans="1:10">
      <c r="A394" s="97" t="s">
        <v>5352</v>
      </c>
      <c r="B394" s="111">
        <v>-9000000</v>
      </c>
      <c r="C394" s="97">
        <v>1</v>
      </c>
      <c r="D394" s="97">
        <f t="shared" si="31"/>
        <v>92</v>
      </c>
      <c r="E394" s="97">
        <f t="shared" si="32"/>
        <v>0</v>
      </c>
      <c r="F394" s="97">
        <f t="shared" si="33"/>
        <v>-828000000</v>
      </c>
      <c r="G394" s="97"/>
      <c r="J394" s="112">
        <f>B422-743653+21500</f>
        <v>3919446</v>
      </c>
    </row>
    <row r="395" spans="1:10">
      <c r="A395" s="97" t="s">
        <v>5360</v>
      </c>
      <c r="B395" s="111">
        <v>-83930</v>
      </c>
      <c r="C395" s="97">
        <v>1</v>
      </c>
      <c r="D395" s="97">
        <f t="shared" si="31"/>
        <v>91</v>
      </c>
      <c r="E395" s="97">
        <f t="shared" si="32"/>
        <v>0</v>
      </c>
      <c r="F395" s="97">
        <f t="shared" si="33"/>
        <v>-7637630</v>
      </c>
      <c r="G395" s="97"/>
    </row>
    <row r="396" spans="1:10">
      <c r="A396" s="97" t="s">
        <v>5361</v>
      </c>
      <c r="B396" s="111">
        <v>-19520</v>
      </c>
      <c r="C396" s="97">
        <v>0</v>
      </c>
      <c r="D396" s="97">
        <f t="shared" si="31"/>
        <v>90</v>
      </c>
      <c r="E396" s="97">
        <f t="shared" si="32"/>
        <v>0</v>
      </c>
      <c r="F396" s="97">
        <f t="shared" si="33"/>
        <v>-1756800</v>
      </c>
      <c r="G396" s="97"/>
    </row>
    <row r="397" spans="1:10">
      <c r="A397" s="97" t="s">
        <v>5361</v>
      </c>
      <c r="B397" s="111">
        <v>-676034</v>
      </c>
      <c r="C397" s="97">
        <v>27</v>
      </c>
      <c r="D397" s="97">
        <f t="shared" si="31"/>
        <v>90</v>
      </c>
      <c r="E397" s="97">
        <f t="shared" si="32"/>
        <v>1</v>
      </c>
      <c r="F397" s="97">
        <f t="shared" si="33"/>
        <v>-60167026</v>
      </c>
      <c r="G397" s="97"/>
    </row>
    <row r="398" spans="1:10">
      <c r="A398" s="97" t="s">
        <v>5389</v>
      </c>
      <c r="B398" s="111">
        <v>2200000</v>
      </c>
      <c r="C398" s="97">
        <v>2</v>
      </c>
      <c r="D398" s="97">
        <f t="shared" si="31"/>
        <v>63</v>
      </c>
      <c r="E398" s="97">
        <f t="shared" si="32"/>
        <v>0</v>
      </c>
      <c r="F398" s="97">
        <f t="shared" si="33"/>
        <v>138600000</v>
      </c>
      <c r="G398" s="97"/>
    </row>
    <row r="399" spans="1:10">
      <c r="A399" s="97" t="s">
        <v>5394</v>
      </c>
      <c r="B399" s="111">
        <v>-2000000</v>
      </c>
      <c r="C399" s="97">
        <v>1</v>
      </c>
      <c r="D399" s="97">
        <f t="shared" si="31"/>
        <v>61</v>
      </c>
      <c r="E399" s="97">
        <f t="shared" si="32"/>
        <v>0</v>
      </c>
      <c r="F399" s="97">
        <f t="shared" si="33"/>
        <v>-122000000</v>
      </c>
      <c r="G399" s="97"/>
    </row>
    <row r="400" spans="1:10">
      <c r="A400" s="97" t="s">
        <v>5395</v>
      </c>
      <c r="B400" s="111">
        <v>-28400</v>
      </c>
      <c r="C400" s="97">
        <v>1</v>
      </c>
      <c r="D400" s="97">
        <f t="shared" si="31"/>
        <v>60</v>
      </c>
      <c r="E400" s="97">
        <f t="shared" si="32"/>
        <v>0</v>
      </c>
      <c r="F400" s="97">
        <f t="shared" si="33"/>
        <v>-1704000</v>
      </c>
      <c r="G400" s="97"/>
    </row>
    <row r="401" spans="1:15">
      <c r="A401" s="97" t="s">
        <v>5397</v>
      </c>
      <c r="B401" s="111">
        <v>-126475</v>
      </c>
      <c r="C401" s="97">
        <v>1</v>
      </c>
      <c r="D401" s="97">
        <f t="shared" si="31"/>
        <v>59</v>
      </c>
      <c r="E401" s="97">
        <f t="shared" si="32"/>
        <v>0</v>
      </c>
      <c r="F401" s="97">
        <f t="shared" si="33"/>
        <v>-7462025</v>
      </c>
      <c r="G401" s="97"/>
    </row>
    <row r="402" spans="1:15">
      <c r="A402" s="97" t="s">
        <v>5396</v>
      </c>
      <c r="B402" s="111">
        <v>-32807</v>
      </c>
      <c r="C402" s="97">
        <v>4</v>
      </c>
      <c r="D402" s="97">
        <f t="shared" si="31"/>
        <v>58</v>
      </c>
      <c r="E402" s="97">
        <f t="shared" si="32"/>
        <v>0</v>
      </c>
      <c r="F402" s="97">
        <f t="shared" si="33"/>
        <v>-1902806</v>
      </c>
      <c r="G402" s="97"/>
    </row>
    <row r="403" spans="1:15">
      <c r="A403" s="97" t="s">
        <v>5400</v>
      </c>
      <c r="B403" s="111">
        <v>-11700</v>
      </c>
      <c r="C403" s="97">
        <v>7</v>
      </c>
      <c r="D403" s="97">
        <f t="shared" si="31"/>
        <v>54</v>
      </c>
      <c r="E403" s="97">
        <f t="shared" si="32"/>
        <v>1</v>
      </c>
      <c r="F403" s="97">
        <f t="shared" si="33"/>
        <v>-620100</v>
      </c>
      <c r="G403" s="97"/>
    </row>
    <row r="404" spans="1:15">
      <c r="A404" s="97" t="s">
        <v>5409</v>
      </c>
      <c r="B404" s="111">
        <v>5032773</v>
      </c>
      <c r="C404" s="97">
        <v>0</v>
      </c>
      <c r="D404" s="97">
        <f t="shared" si="31"/>
        <v>47</v>
      </c>
      <c r="E404" s="97">
        <f t="shared" si="32"/>
        <v>0</v>
      </c>
      <c r="F404" s="97">
        <f t="shared" si="33"/>
        <v>236540331</v>
      </c>
      <c r="G404" s="97"/>
    </row>
    <row r="405" spans="1:15">
      <c r="A405" s="97" t="s">
        <v>5409</v>
      </c>
      <c r="B405" s="111">
        <v>-5000000</v>
      </c>
      <c r="C405" s="97">
        <v>13</v>
      </c>
      <c r="D405" s="97">
        <f t="shared" si="31"/>
        <v>47</v>
      </c>
      <c r="E405" s="97">
        <f t="shared" si="32"/>
        <v>1</v>
      </c>
      <c r="F405" s="97">
        <f t="shared" si="33"/>
        <v>-230000000</v>
      </c>
      <c r="G405" s="97"/>
    </row>
    <row r="406" spans="1:15">
      <c r="A406" s="97" t="s">
        <v>5439</v>
      </c>
      <c r="B406" s="111">
        <v>1200000</v>
      </c>
      <c r="C406" s="97">
        <v>1</v>
      </c>
      <c r="D406" s="97">
        <f t="shared" si="31"/>
        <v>34</v>
      </c>
      <c r="E406" s="97">
        <f t="shared" si="32"/>
        <v>0</v>
      </c>
      <c r="F406" s="97">
        <f t="shared" si="33"/>
        <v>40800000</v>
      </c>
      <c r="G406" s="97"/>
    </row>
    <row r="407" spans="1:15">
      <c r="A407" s="97" t="s">
        <v>5424</v>
      </c>
      <c r="B407" s="111">
        <v>-1200000</v>
      </c>
      <c r="C407" s="97">
        <v>0</v>
      </c>
      <c r="D407" s="97">
        <f t="shared" si="31"/>
        <v>33</v>
      </c>
      <c r="E407" s="97">
        <f t="shared" si="32"/>
        <v>0</v>
      </c>
      <c r="F407" s="97">
        <f t="shared" si="33"/>
        <v>-39600000</v>
      </c>
      <c r="G407" s="97"/>
      <c r="O407" t="s">
        <v>25</v>
      </c>
    </row>
    <row r="408" spans="1:15">
      <c r="A408" s="97" t="s">
        <v>5424</v>
      </c>
      <c r="B408" s="111">
        <v>-784</v>
      </c>
      <c r="C408" s="97">
        <v>1</v>
      </c>
      <c r="D408" s="97">
        <f t="shared" si="31"/>
        <v>33</v>
      </c>
      <c r="E408" s="97">
        <f t="shared" si="32"/>
        <v>0</v>
      </c>
      <c r="F408" s="97">
        <f t="shared" si="33"/>
        <v>-25872</v>
      </c>
      <c r="G408" s="97" t="s">
        <v>5440</v>
      </c>
    </row>
    <row r="409" spans="1:15">
      <c r="A409" s="97" t="s">
        <v>5473</v>
      </c>
      <c r="B409" s="111">
        <v>-37927</v>
      </c>
      <c r="C409" s="97">
        <v>30</v>
      </c>
      <c r="D409" s="97">
        <f t="shared" si="31"/>
        <v>32</v>
      </c>
      <c r="E409" s="97">
        <f t="shared" si="32"/>
        <v>1</v>
      </c>
      <c r="F409" s="97">
        <f t="shared" si="33"/>
        <v>-1175737</v>
      </c>
      <c r="G409" s="97"/>
    </row>
    <row r="410" spans="1:15">
      <c r="A410" s="97" t="s">
        <v>5475</v>
      </c>
      <c r="B410" s="111">
        <v>5000000</v>
      </c>
      <c r="C410" s="97">
        <v>0</v>
      </c>
      <c r="D410" s="97">
        <f t="shared" si="31"/>
        <v>2</v>
      </c>
      <c r="E410" s="97">
        <f t="shared" si="32"/>
        <v>0</v>
      </c>
      <c r="F410" s="97">
        <f t="shared" si="33"/>
        <v>10000000</v>
      </c>
      <c r="G410" s="97"/>
    </row>
    <row r="411" spans="1:15">
      <c r="A411" s="97" t="s">
        <v>5475</v>
      </c>
      <c r="B411" s="111">
        <v>-1620700</v>
      </c>
      <c r="C411" s="97">
        <v>1</v>
      </c>
      <c r="D411" s="97">
        <f t="shared" si="31"/>
        <v>2</v>
      </c>
      <c r="E411" s="97">
        <f t="shared" si="32"/>
        <v>1</v>
      </c>
      <c r="F411" s="97">
        <f t="shared" si="33"/>
        <v>-1620700</v>
      </c>
      <c r="G411" s="97"/>
    </row>
    <row r="412" spans="1:15">
      <c r="A412" s="97" t="s">
        <v>5477</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7" t="s">
        <v>4391</v>
      </c>
      <c r="C1" s="166" t="s">
        <v>4271</v>
      </c>
      <c r="D1" s="166" t="s">
        <v>180</v>
      </c>
      <c r="J1" s="166" t="s">
        <v>3623</v>
      </c>
      <c r="K1" s="166" t="s">
        <v>180</v>
      </c>
      <c r="L1" s="166" t="s">
        <v>4431</v>
      </c>
      <c r="M1" s="166" t="s">
        <v>920</v>
      </c>
      <c r="N1" s="54" t="s">
        <v>923</v>
      </c>
      <c r="O1" s="97" t="s">
        <v>8</v>
      </c>
    </row>
    <row r="2" spans="1:20">
      <c r="A2" s="97" t="s">
        <v>4216</v>
      </c>
      <c r="B2" s="198">
        <v>1707</v>
      </c>
      <c r="C2" s="199" t="s">
        <v>4541</v>
      </c>
      <c r="D2" s="97" t="s">
        <v>4446</v>
      </c>
      <c r="J2" s="166">
        <v>1</v>
      </c>
      <c r="K2" s="166" t="s">
        <v>4258</v>
      </c>
      <c r="L2" s="111">
        <v>4270000</v>
      </c>
      <c r="M2" s="166">
        <v>10</v>
      </c>
      <c r="N2" s="111">
        <f>L2*M2</f>
        <v>42700000</v>
      </c>
      <c r="O2" s="97" t="s">
        <v>743</v>
      </c>
    </row>
    <row r="3" spans="1:20">
      <c r="A3" s="97" t="s">
        <v>4519</v>
      </c>
      <c r="B3" s="198">
        <v>1184</v>
      </c>
      <c r="C3" s="199" t="s">
        <v>4525</v>
      </c>
      <c r="D3" s="97"/>
      <c r="J3" s="166">
        <v>2</v>
      </c>
      <c r="K3" s="166" t="s">
        <v>4442</v>
      </c>
      <c r="L3" s="111">
        <v>3845000</v>
      </c>
      <c r="M3" s="166">
        <v>4</v>
      </c>
      <c r="N3" s="111">
        <f>L3*M3</f>
        <v>15380000</v>
      </c>
      <c r="O3" s="97" t="s">
        <v>452</v>
      </c>
    </row>
    <row r="4" spans="1:20">
      <c r="A4" s="97" t="s">
        <v>4520</v>
      </c>
      <c r="B4" s="198">
        <v>1804</v>
      </c>
      <c r="C4" s="199" t="s">
        <v>4526</v>
      </c>
      <c r="D4" s="97"/>
      <c r="F4" t="s">
        <v>25</v>
      </c>
      <c r="J4" s="166">
        <v>3</v>
      </c>
      <c r="K4" s="166" t="s">
        <v>4204</v>
      </c>
      <c r="L4" s="111">
        <v>3390000</v>
      </c>
      <c r="M4" s="166">
        <v>2</v>
      </c>
      <c r="N4" s="111">
        <f>L4*M4</f>
        <v>6780000</v>
      </c>
      <c r="O4" s="97" t="s">
        <v>743</v>
      </c>
    </row>
    <row r="5" spans="1:20">
      <c r="A5" s="97"/>
      <c r="B5" s="198"/>
      <c r="C5" s="199"/>
      <c r="D5" s="97"/>
      <c r="J5" s="209">
        <v>4</v>
      </c>
      <c r="K5" s="209" t="s">
        <v>4544</v>
      </c>
      <c r="L5" s="210">
        <v>0</v>
      </c>
      <c r="M5" s="209">
        <v>3</v>
      </c>
      <c r="N5" s="210">
        <f>L5*M5</f>
        <v>0</v>
      </c>
      <c r="O5" s="211" t="s">
        <v>4547</v>
      </c>
    </row>
    <row r="6" spans="1:20">
      <c r="A6" s="97" t="s">
        <v>1068</v>
      </c>
      <c r="B6" s="198">
        <v>4060000</v>
      </c>
      <c r="C6" s="167">
        <v>4260000</v>
      </c>
      <c r="D6" s="97" t="s">
        <v>4446</v>
      </c>
      <c r="F6" t="s">
        <v>25</v>
      </c>
      <c r="G6" s="94"/>
      <c r="H6" s="94"/>
      <c r="I6" s="94"/>
      <c r="J6" s="166">
        <v>5</v>
      </c>
      <c r="K6" s="166" t="s">
        <v>4548</v>
      </c>
      <c r="L6" s="111">
        <v>4183832</v>
      </c>
      <c r="M6" s="166">
        <v>6</v>
      </c>
      <c r="N6" s="111">
        <v>25071612</v>
      </c>
      <c r="O6" s="97" t="s">
        <v>452</v>
      </c>
      <c r="P6" s="94"/>
      <c r="Q6" s="94"/>
      <c r="R6" s="94"/>
      <c r="S6" s="94"/>
    </row>
    <row r="7" spans="1:20">
      <c r="A7" s="97" t="s">
        <v>4502</v>
      </c>
      <c r="B7" s="198">
        <v>1689</v>
      </c>
      <c r="C7" s="167"/>
      <c r="D7" s="97"/>
      <c r="F7" s="94">
        <v>0</v>
      </c>
      <c r="G7" s="94"/>
      <c r="H7" s="94"/>
      <c r="I7" s="94"/>
      <c r="J7" s="166">
        <v>6</v>
      </c>
      <c r="K7" s="166" t="s">
        <v>4552</v>
      </c>
      <c r="L7" s="111">
        <v>4186993</v>
      </c>
      <c r="M7" s="166">
        <v>4</v>
      </c>
      <c r="N7" s="111">
        <v>16727037</v>
      </c>
      <c r="O7" s="97" t="s">
        <v>743</v>
      </c>
      <c r="P7" s="94"/>
      <c r="Q7" s="94"/>
      <c r="R7" s="94"/>
      <c r="S7" s="94"/>
    </row>
    <row r="8" spans="1:20">
      <c r="A8" s="97" t="s">
        <v>4476</v>
      </c>
      <c r="B8" s="198">
        <v>3414</v>
      </c>
      <c r="C8" s="167">
        <v>3622</v>
      </c>
      <c r="D8" s="97"/>
      <c r="F8">
        <v>0</v>
      </c>
      <c r="G8" s="94"/>
      <c r="H8" s="94"/>
      <c r="I8" s="94"/>
      <c r="J8" s="166">
        <v>7</v>
      </c>
      <c r="K8" s="166" t="s">
        <v>4557</v>
      </c>
      <c r="L8" s="111">
        <v>4223698</v>
      </c>
      <c r="M8" s="166">
        <v>10</v>
      </c>
      <c r="N8" s="111">
        <v>42236984</v>
      </c>
      <c r="O8" s="97" t="s">
        <v>452</v>
      </c>
      <c r="P8" s="94"/>
      <c r="Q8" s="94"/>
      <c r="R8" s="94"/>
      <c r="S8" s="94"/>
    </row>
    <row r="9" spans="1:20">
      <c r="A9" s="97" t="s">
        <v>4516</v>
      </c>
      <c r="B9" s="198">
        <v>1174</v>
      </c>
      <c r="C9" s="167" t="s">
        <v>25</v>
      </c>
      <c r="D9" s="97"/>
      <c r="F9">
        <v>0</v>
      </c>
      <c r="G9" s="94"/>
      <c r="H9" s="94"/>
      <c r="I9" s="94"/>
      <c r="J9" s="166">
        <v>8</v>
      </c>
      <c r="K9" s="166" t="s">
        <v>4557</v>
      </c>
      <c r="L9" s="111">
        <v>4223698</v>
      </c>
      <c r="M9" s="166">
        <v>11</v>
      </c>
      <c r="N9" s="111">
        <v>46460683</v>
      </c>
      <c r="O9" s="97" t="s">
        <v>743</v>
      </c>
      <c r="P9" s="94"/>
      <c r="Q9" s="94"/>
      <c r="R9" s="94"/>
      <c r="S9" s="94"/>
    </row>
    <row r="10" spans="1:20">
      <c r="A10" s="97" t="s">
        <v>4371</v>
      </c>
      <c r="B10" s="198">
        <v>472</v>
      </c>
      <c r="C10" s="167">
        <v>540</v>
      </c>
      <c r="D10" s="97"/>
      <c r="F10">
        <v>0</v>
      </c>
      <c r="G10" s="120"/>
      <c r="H10" s="94"/>
      <c r="I10" s="94"/>
      <c r="J10" s="166">
        <v>9</v>
      </c>
      <c r="K10" s="166" t="s">
        <v>4558</v>
      </c>
      <c r="L10" s="111">
        <f>N10/M10</f>
        <v>4369699.111111111</v>
      </c>
      <c r="M10" s="166">
        <v>4.5</v>
      </c>
      <c r="N10" s="111">
        <v>19663646</v>
      </c>
      <c r="O10" s="97" t="s">
        <v>743</v>
      </c>
      <c r="P10" s="94"/>
      <c r="Q10" s="94"/>
      <c r="R10" s="94"/>
      <c r="S10" s="94"/>
      <c r="T10" s="94"/>
    </row>
    <row r="11" spans="1:20">
      <c r="A11" s="97"/>
      <c r="B11" s="198"/>
      <c r="C11" s="167"/>
      <c r="D11" s="97"/>
      <c r="F11" s="112">
        <v>0</v>
      </c>
      <c r="G11" s="120"/>
      <c r="H11" s="94"/>
      <c r="I11" s="94"/>
      <c r="J11" s="166">
        <v>10</v>
      </c>
      <c r="K11" s="166" t="s">
        <v>4558</v>
      </c>
      <c r="L11" s="111">
        <f>N11/M11</f>
        <v>4369699.111111111</v>
      </c>
      <c r="M11" s="166">
        <v>4.5</v>
      </c>
      <c r="N11" s="111">
        <v>19663646</v>
      </c>
      <c r="O11" s="97" t="s">
        <v>452</v>
      </c>
      <c r="P11" s="94"/>
      <c r="Q11" s="94"/>
      <c r="R11" s="94"/>
      <c r="S11" s="94"/>
      <c r="T11" s="94"/>
    </row>
    <row r="12" spans="1:20">
      <c r="A12" s="97" t="s">
        <v>4495</v>
      </c>
      <c r="B12" s="198">
        <v>3965312</v>
      </c>
      <c r="C12" s="167"/>
      <c r="D12" s="57" t="s">
        <v>4772</v>
      </c>
      <c r="F12" s="112">
        <v>0</v>
      </c>
      <c r="J12" s="166">
        <v>11</v>
      </c>
      <c r="K12" s="166" t="s">
        <v>4579</v>
      </c>
      <c r="L12" s="111">
        <v>4374525</v>
      </c>
      <c r="M12" s="166">
        <v>1</v>
      </c>
      <c r="N12" s="111">
        <v>4374525</v>
      </c>
      <c r="O12" s="97" t="s">
        <v>743</v>
      </c>
      <c r="P12" s="94"/>
      <c r="Q12" s="94"/>
      <c r="R12" s="94"/>
      <c r="S12" s="94"/>
    </row>
    <row r="13" spans="1:20">
      <c r="A13" s="97"/>
      <c r="B13" s="198"/>
      <c r="C13" s="167"/>
      <c r="D13" s="97"/>
      <c r="F13" s="112">
        <v>0</v>
      </c>
      <c r="J13" s="166">
        <v>12</v>
      </c>
      <c r="K13" s="166" t="s">
        <v>4579</v>
      </c>
      <c r="L13" s="111">
        <v>4374525</v>
      </c>
      <c r="M13" s="166">
        <v>1</v>
      </c>
      <c r="N13" s="111">
        <v>4374525</v>
      </c>
      <c r="O13" s="97" t="s">
        <v>452</v>
      </c>
      <c r="P13" s="94"/>
      <c r="Q13" s="94"/>
      <c r="R13" s="94"/>
      <c r="S13" s="94"/>
    </row>
    <row r="14" spans="1:20">
      <c r="A14" s="97"/>
      <c r="B14" s="198"/>
      <c r="C14" s="167"/>
      <c r="D14" s="97"/>
      <c r="F14" s="112">
        <v>0</v>
      </c>
      <c r="J14" s="166">
        <v>13</v>
      </c>
      <c r="K14" s="166" t="s">
        <v>4590</v>
      </c>
      <c r="L14" s="167">
        <v>4367053</v>
      </c>
      <c r="M14" s="166">
        <v>1.5</v>
      </c>
      <c r="N14" s="111">
        <v>6550580</v>
      </c>
      <c r="O14" s="97" t="s">
        <v>743</v>
      </c>
    </row>
    <row r="15" spans="1:20">
      <c r="A15" s="97"/>
      <c r="B15" s="198"/>
      <c r="C15" s="167"/>
      <c r="D15" s="97"/>
      <c r="F15" s="112">
        <f>B12+F7+F8+F9+F10+F11+F12+F13+F14</f>
        <v>3965312</v>
      </c>
      <c r="J15" s="166">
        <v>14</v>
      </c>
      <c r="K15" s="166" t="s">
        <v>4590</v>
      </c>
      <c r="L15" s="167">
        <v>4367053</v>
      </c>
      <c r="M15" s="166">
        <v>1.5</v>
      </c>
      <c r="N15" s="111">
        <v>6550580</v>
      </c>
      <c r="O15" s="97" t="s">
        <v>452</v>
      </c>
    </row>
    <row r="16" spans="1:20">
      <c r="A16" s="97"/>
      <c r="B16" s="198"/>
      <c r="C16" s="167"/>
      <c r="D16" s="97"/>
      <c r="J16" s="203">
        <v>15</v>
      </c>
      <c r="K16" s="203" t="s">
        <v>4592</v>
      </c>
      <c r="L16" s="167">
        <v>4433930</v>
      </c>
      <c r="M16" s="203">
        <v>1.5</v>
      </c>
      <c r="N16" s="111">
        <f>L16*M16</f>
        <v>6650895</v>
      </c>
      <c r="O16" s="97" t="s">
        <v>743</v>
      </c>
    </row>
    <row r="17" spans="1:20">
      <c r="A17" s="97"/>
      <c r="J17" s="203">
        <v>16</v>
      </c>
      <c r="K17" s="203" t="s">
        <v>4592</v>
      </c>
      <c r="L17" s="167">
        <v>4433930</v>
      </c>
      <c r="M17" s="203">
        <v>1.5</v>
      </c>
      <c r="N17" s="111">
        <f>L17*M17</f>
        <v>6650895</v>
      </c>
      <c r="O17" s="97" t="s">
        <v>452</v>
      </c>
    </row>
    <row r="18" spans="1:20">
      <c r="A18" s="94"/>
      <c r="B18" s="94"/>
      <c r="C18" s="94"/>
      <c r="D18" s="94"/>
      <c r="J18" s="205">
        <v>17</v>
      </c>
      <c r="K18" s="205" t="s">
        <v>4605</v>
      </c>
      <c r="L18" s="167">
        <v>4291628</v>
      </c>
      <c r="M18" s="205">
        <v>0.5</v>
      </c>
      <c r="N18" s="111">
        <v>2145814</v>
      </c>
      <c r="O18" s="97" t="s">
        <v>743</v>
      </c>
    </row>
    <row r="19" spans="1:20">
      <c r="A19" s="94"/>
      <c r="B19" s="94"/>
      <c r="C19" s="94"/>
      <c r="D19" s="94"/>
      <c r="J19" s="205">
        <v>18</v>
      </c>
      <c r="K19" s="205" t="s">
        <v>4605</v>
      </c>
      <c r="L19" s="167">
        <v>4291628</v>
      </c>
      <c r="M19" s="205">
        <v>0.5</v>
      </c>
      <c r="N19" s="111">
        <v>2145814</v>
      </c>
      <c r="O19" s="97" t="s">
        <v>452</v>
      </c>
      <c r="R19" t="s">
        <v>25</v>
      </c>
      <c r="T19" t="s">
        <v>25</v>
      </c>
    </row>
    <row r="20" spans="1:20">
      <c r="J20" s="205">
        <v>19</v>
      </c>
      <c r="K20" s="205" t="s">
        <v>4616</v>
      </c>
      <c r="L20" s="167">
        <v>4369730</v>
      </c>
      <c r="M20" s="205">
        <v>1</v>
      </c>
      <c r="N20" s="111">
        <f t="shared" ref="N20:N38" si="0">L20*M20</f>
        <v>4369730</v>
      </c>
      <c r="O20" s="97" t="s">
        <v>743</v>
      </c>
    </row>
    <row r="21" spans="1:20">
      <c r="J21" s="205">
        <v>20</v>
      </c>
      <c r="K21" s="205" t="s">
        <v>4616</v>
      </c>
      <c r="L21" s="167">
        <v>4369730</v>
      </c>
      <c r="M21" s="205">
        <v>1</v>
      </c>
      <c r="N21" s="111">
        <f t="shared" si="0"/>
        <v>4369730</v>
      </c>
      <c r="O21" s="97" t="s">
        <v>452</v>
      </c>
      <c r="R21" t="s">
        <v>25</v>
      </c>
    </row>
    <row r="22" spans="1:20">
      <c r="J22" s="166">
        <v>21</v>
      </c>
      <c r="K22" s="166" t="s">
        <v>4617</v>
      </c>
      <c r="L22" s="111">
        <v>4398820</v>
      </c>
      <c r="M22" s="166">
        <v>2</v>
      </c>
      <c r="N22" s="111">
        <f t="shared" si="0"/>
        <v>8797640</v>
      </c>
      <c r="O22" s="97" t="s">
        <v>743</v>
      </c>
      <c r="R22" t="s">
        <v>25</v>
      </c>
    </row>
    <row r="23" spans="1:20">
      <c r="A23" s="97" t="s">
        <v>180</v>
      </c>
      <c r="B23" s="97" t="s">
        <v>4610</v>
      </c>
      <c r="C23" s="97" t="s">
        <v>4611</v>
      </c>
      <c r="D23" s="97" t="s">
        <v>4612</v>
      </c>
      <c r="E23" s="67" t="s">
        <v>4613</v>
      </c>
      <c r="J23" s="205">
        <v>22</v>
      </c>
      <c r="K23" s="205" t="s">
        <v>4617</v>
      </c>
      <c r="L23" s="111">
        <v>4398820</v>
      </c>
      <c r="M23" s="205">
        <v>2</v>
      </c>
      <c r="N23" s="111">
        <f t="shared" si="0"/>
        <v>8797640</v>
      </c>
      <c r="O23" s="97" t="s">
        <v>452</v>
      </c>
      <c r="Q23" t="s">
        <v>25</v>
      </c>
      <c r="R23" t="s">
        <v>25</v>
      </c>
    </row>
    <row r="24" spans="1:20">
      <c r="A24" s="97" t="s">
        <v>4581</v>
      </c>
      <c r="B24" s="93">
        <v>4080000</v>
      </c>
      <c r="C24" s="93">
        <v>4200000</v>
      </c>
      <c r="D24" s="93"/>
      <c r="E24" s="93"/>
      <c r="J24" s="209">
        <v>23</v>
      </c>
      <c r="K24" s="209" t="s">
        <v>4617</v>
      </c>
      <c r="L24" s="210">
        <v>4388600</v>
      </c>
      <c r="M24" s="209">
        <v>5</v>
      </c>
      <c r="N24" s="210">
        <f t="shared" si="0"/>
        <v>21943000</v>
      </c>
      <c r="O24" s="211" t="s">
        <v>4628</v>
      </c>
    </row>
    <row r="25" spans="1:20">
      <c r="A25" s="97" t="s">
        <v>4590</v>
      </c>
      <c r="B25" s="93">
        <v>4100000</v>
      </c>
      <c r="C25" s="93">
        <v>4230000</v>
      </c>
      <c r="D25" s="93"/>
      <c r="E25" s="93"/>
      <c r="J25" s="205">
        <v>24</v>
      </c>
      <c r="K25" s="205" t="s">
        <v>4618</v>
      </c>
      <c r="L25" s="111">
        <v>4445103</v>
      </c>
      <c r="M25" s="205">
        <v>1.5</v>
      </c>
      <c r="N25" s="111">
        <f t="shared" si="0"/>
        <v>6667654.5</v>
      </c>
      <c r="O25" s="97" t="s">
        <v>743</v>
      </c>
    </row>
    <row r="26" spans="1:20">
      <c r="A26" s="97" t="s">
        <v>4592</v>
      </c>
      <c r="B26" s="93">
        <v>4230000</v>
      </c>
      <c r="C26" s="93">
        <v>4330000</v>
      </c>
      <c r="D26" s="93">
        <v>12200</v>
      </c>
      <c r="E26" s="93">
        <v>12350</v>
      </c>
      <c r="J26" s="205">
        <v>25</v>
      </c>
      <c r="K26" s="205" t="s">
        <v>4618</v>
      </c>
      <c r="L26" s="111">
        <v>4445103</v>
      </c>
      <c r="M26" s="205">
        <v>1.5</v>
      </c>
      <c r="N26" s="111">
        <f t="shared" si="0"/>
        <v>6667654.5</v>
      </c>
      <c r="O26" s="97" t="s">
        <v>452</v>
      </c>
      <c r="R26" t="s">
        <v>25</v>
      </c>
    </row>
    <row r="27" spans="1:20">
      <c r="A27" s="97" t="s">
        <v>4600</v>
      </c>
      <c r="B27" s="93">
        <v>4270000</v>
      </c>
      <c r="C27" s="93">
        <v>4370000</v>
      </c>
      <c r="D27" s="93"/>
      <c r="E27" s="93"/>
      <c r="J27" s="205">
        <v>26</v>
      </c>
      <c r="K27" s="205" t="s">
        <v>4627</v>
      </c>
      <c r="L27" s="111">
        <v>4490623</v>
      </c>
      <c r="M27" s="205">
        <v>2</v>
      </c>
      <c r="N27" s="111">
        <f t="shared" si="0"/>
        <v>8981246</v>
      </c>
      <c r="O27" s="97" t="s">
        <v>743</v>
      </c>
      <c r="R27" t="s">
        <v>25</v>
      </c>
      <c r="S27" t="s">
        <v>25</v>
      </c>
    </row>
    <row r="28" spans="1:20">
      <c r="A28" s="97" t="s">
        <v>4605</v>
      </c>
      <c r="B28" s="93">
        <v>3980000</v>
      </c>
      <c r="C28" s="93">
        <v>4120000</v>
      </c>
      <c r="D28" s="93">
        <v>11450</v>
      </c>
      <c r="E28" s="93">
        <v>11650</v>
      </c>
      <c r="J28" s="205">
        <v>27</v>
      </c>
      <c r="K28" s="205" t="s">
        <v>4627</v>
      </c>
      <c r="L28" s="111">
        <v>4490623</v>
      </c>
      <c r="M28" s="205">
        <v>2</v>
      </c>
      <c r="N28" s="111">
        <f t="shared" si="0"/>
        <v>8981246</v>
      </c>
      <c r="O28" s="97" t="s">
        <v>452</v>
      </c>
    </row>
    <row r="29" spans="1:20">
      <c r="A29" s="97" t="s">
        <v>4607</v>
      </c>
      <c r="B29" s="93">
        <v>4120000</v>
      </c>
      <c r="C29" s="93">
        <v>4230000</v>
      </c>
      <c r="D29" s="93">
        <v>11650</v>
      </c>
      <c r="E29" s="93">
        <v>11750</v>
      </c>
      <c r="J29" s="205">
        <v>28</v>
      </c>
      <c r="K29" s="205" t="s">
        <v>3666</v>
      </c>
      <c r="L29" s="111">
        <v>4590878</v>
      </c>
      <c r="M29" s="205">
        <v>2</v>
      </c>
      <c r="N29" s="111">
        <f t="shared" si="0"/>
        <v>9181756</v>
      </c>
      <c r="O29" s="97" t="s">
        <v>743</v>
      </c>
    </row>
    <row r="30" spans="1:20">
      <c r="A30" s="97" t="s">
        <v>4608</v>
      </c>
      <c r="B30" s="93">
        <v>4170000</v>
      </c>
      <c r="C30" s="93">
        <v>4280000</v>
      </c>
      <c r="D30" s="93">
        <v>11750</v>
      </c>
      <c r="E30" s="93">
        <v>11900</v>
      </c>
      <c r="J30" s="205">
        <v>29</v>
      </c>
      <c r="K30" s="205" t="s">
        <v>3666</v>
      </c>
      <c r="L30" s="111">
        <v>4590878</v>
      </c>
      <c r="M30" s="205">
        <v>2</v>
      </c>
      <c r="N30" s="111">
        <f t="shared" si="0"/>
        <v>9181756</v>
      </c>
      <c r="O30" s="97" t="s">
        <v>452</v>
      </c>
      <c r="R30" t="s">
        <v>25</v>
      </c>
    </row>
    <row r="31" spans="1:20">
      <c r="A31" s="97" t="s">
        <v>4614</v>
      </c>
      <c r="B31" s="93">
        <v>4130000</v>
      </c>
      <c r="C31" s="93">
        <v>4260000</v>
      </c>
      <c r="D31" s="93">
        <v>11850</v>
      </c>
      <c r="E31" s="93">
        <v>11950</v>
      </c>
      <c r="J31" s="205">
        <v>30</v>
      </c>
      <c r="K31" s="205" t="s">
        <v>4639</v>
      </c>
      <c r="L31" s="111">
        <v>4724483</v>
      </c>
      <c r="M31" s="205">
        <v>2.5</v>
      </c>
      <c r="N31" s="111">
        <f t="shared" si="0"/>
        <v>11811207.5</v>
      </c>
      <c r="O31" s="97" t="s">
        <v>743</v>
      </c>
    </row>
    <row r="32" spans="1:20">
      <c r="A32" s="97" t="s">
        <v>4616</v>
      </c>
      <c r="B32" s="93">
        <v>4100000</v>
      </c>
      <c r="C32" s="93">
        <v>4220000</v>
      </c>
      <c r="D32" s="93">
        <v>11800</v>
      </c>
      <c r="E32" s="93">
        <v>11980</v>
      </c>
      <c r="J32" s="205">
        <v>31</v>
      </c>
      <c r="K32" s="205" t="s">
        <v>4639</v>
      </c>
      <c r="L32" s="111">
        <v>4724483</v>
      </c>
      <c r="M32" s="205">
        <v>2.5</v>
      </c>
      <c r="N32" s="111">
        <f t="shared" si="0"/>
        <v>11811207.5</v>
      </c>
      <c r="O32" s="97" t="s">
        <v>452</v>
      </c>
    </row>
    <row r="33" spans="1:19">
      <c r="A33" s="97" t="s">
        <v>4617</v>
      </c>
      <c r="B33" s="93">
        <v>4220000</v>
      </c>
      <c r="C33" s="93">
        <v>4320000</v>
      </c>
      <c r="D33" s="93">
        <v>11900</v>
      </c>
      <c r="E33" s="93">
        <v>12050</v>
      </c>
      <c r="J33" s="205">
        <v>32</v>
      </c>
      <c r="K33" s="205" t="s">
        <v>4652</v>
      </c>
      <c r="L33" s="111">
        <v>4852712</v>
      </c>
      <c r="M33" s="205">
        <v>8.5</v>
      </c>
      <c r="N33" s="111">
        <f t="shared" si="0"/>
        <v>41248052</v>
      </c>
      <c r="O33" s="97" t="s">
        <v>743</v>
      </c>
    </row>
    <row r="34" spans="1:19">
      <c r="A34" s="97" t="s">
        <v>4618</v>
      </c>
      <c r="B34" s="93">
        <v>4240000</v>
      </c>
      <c r="C34" s="93">
        <v>4340000</v>
      </c>
      <c r="D34" s="93">
        <v>12100</v>
      </c>
      <c r="E34" s="93">
        <v>12250</v>
      </c>
      <c r="I34" t="s">
        <v>25</v>
      </c>
      <c r="J34" s="205">
        <v>33</v>
      </c>
      <c r="K34" s="205" t="s">
        <v>4652</v>
      </c>
      <c r="L34" s="111">
        <v>4852712</v>
      </c>
      <c r="M34" s="205">
        <v>8.5</v>
      </c>
      <c r="N34" s="111">
        <f t="shared" si="0"/>
        <v>41248052</v>
      </c>
      <c r="O34" s="97" t="s">
        <v>452</v>
      </c>
    </row>
    <row r="35" spans="1:19">
      <c r="A35" s="97" t="s">
        <v>4627</v>
      </c>
      <c r="B35" s="93">
        <v>4230000</v>
      </c>
      <c r="C35" s="93">
        <v>4370000</v>
      </c>
      <c r="D35" s="93">
        <v>12100</v>
      </c>
      <c r="E35" s="93">
        <v>12250</v>
      </c>
      <c r="J35" s="205">
        <v>34</v>
      </c>
      <c r="K35" s="205" t="s">
        <v>4654</v>
      </c>
      <c r="L35" s="111">
        <v>4977171</v>
      </c>
      <c r="M35" s="205">
        <v>7.5</v>
      </c>
      <c r="N35" s="111">
        <f t="shared" si="0"/>
        <v>37328782.5</v>
      </c>
      <c r="O35" s="97" t="s">
        <v>743</v>
      </c>
    </row>
    <row r="36" spans="1:19">
      <c r="A36" s="97" t="s">
        <v>3666</v>
      </c>
      <c r="B36" s="93">
        <v>4300000</v>
      </c>
      <c r="C36" s="93">
        <v>4420000</v>
      </c>
      <c r="D36" s="93">
        <v>12300</v>
      </c>
      <c r="E36" s="93">
        <v>12400</v>
      </c>
      <c r="J36" s="205">
        <v>35</v>
      </c>
      <c r="K36" s="205" t="s">
        <v>4654</v>
      </c>
      <c r="L36" s="111">
        <v>4977171</v>
      </c>
      <c r="M36" s="205">
        <v>7.5</v>
      </c>
      <c r="N36" s="111">
        <f t="shared" si="0"/>
        <v>37328782.5</v>
      </c>
      <c r="O36" s="97" t="s">
        <v>452</v>
      </c>
      <c r="R36" s="94"/>
    </row>
    <row r="37" spans="1:19">
      <c r="A37" s="97" t="s">
        <v>4639</v>
      </c>
      <c r="B37" s="93">
        <v>4370000</v>
      </c>
      <c r="C37" s="93">
        <v>4480000</v>
      </c>
      <c r="D37" s="93">
        <v>12600</v>
      </c>
      <c r="E37" s="93">
        <v>12700</v>
      </c>
      <c r="J37" s="205">
        <v>36</v>
      </c>
      <c r="K37" s="205" t="s">
        <v>4772</v>
      </c>
      <c r="L37" s="111">
        <v>5048479</v>
      </c>
      <c r="M37" s="205">
        <v>4</v>
      </c>
      <c r="N37" s="111">
        <f t="shared" si="0"/>
        <v>20193916</v>
      </c>
      <c r="O37" s="97" t="s">
        <v>743</v>
      </c>
    </row>
    <row r="38" spans="1:19">
      <c r="A38" s="97" t="s">
        <v>4642</v>
      </c>
      <c r="B38" s="93">
        <v>4470000</v>
      </c>
      <c r="C38" s="93">
        <v>4580000</v>
      </c>
      <c r="D38" s="93">
        <v>13050</v>
      </c>
      <c r="E38" s="93">
        <v>13200</v>
      </c>
      <c r="J38" s="205">
        <v>37</v>
      </c>
      <c r="K38" s="205" t="s">
        <v>4772</v>
      </c>
      <c r="L38" s="111">
        <v>5048479</v>
      </c>
      <c r="M38" s="205">
        <v>9</v>
      </c>
      <c r="N38" s="111">
        <f t="shared" si="0"/>
        <v>45436311</v>
      </c>
      <c r="O38" s="97" t="s">
        <v>452</v>
      </c>
    </row>
    <row r="39" spans="1:19">
      <c r="A39" s="97" t="s">
        <v>4647</v>
      </c>
      <c r="B39" s="93">
        <v>4600000</v>
      </c>
      <c r="C39" s="93">
        <v>4720000</v>
      </c>
      <c r="D39" s="93"/>
      <c r="E39" s="93"/>
      <c r="J39" s="205"/>
      <c r="K39" s="205"/>
      <c r="L39" s="111"/>
      <c r="M39" s="205"/>
      <c r="N39" s="111"/>
      <c r="O39" s="97"/>
    </row>
    <row r="40" spans="1:19">
      <c r="A40" s="97" t="s">
        <v>4652</v>
      </c>
      <c r="B40" s="93">
        <v>4530000</v>
      </c>
      <c r="C40" s="93">
        <v>4680000</v>
      </c>
      <c r="D40" s="93">
        <v>13000</v>
      </c>
      <c r="E40" s="93">
        <v>13150</v>
      </c>
      <c r="J40" s="166"/>
      <c r="K40" s="166"/>
      <c r="L40" s="111" t="s">
        <v>25</v>
      </c>
      <c r="M40" s="166"/>
      <c r="N40" s="111"/>
      <c r="O40" s="97"/>
    </row>
    <row r="41" spans="1:19">
      <c r="A41" s="97" t="s">
        <v>4654</v>
      </c>
      <c r="B41" s="93">
        <v>4750000</v>
      </c>
      <c r="C41" s="93">
        <v>4900000</v>
      </c>
      <c r="D41" s="93">
        <v>13750</v>
      </c>
      <c r="E41" s="93">
        <v>13900</v>
      </c>
      <c r="J41" s="166"/>
      <c r="K41" s="166"/>
      <c r="L41" s="166"/>
      <c r="M41" s="166">
        <f>SUM(M2:M40)</f>
        <v>140</v>
      </c>
      <c r="N41" s="111">
        <f>SUM(N2:N40)</f>
        <v>618472600</v>
      </c>
      <c r="O41" s="167">
        <f>N41/(M41-3)</f>
        <v>4514398.5401459858</v>
      </c>
    </row>
    <row r="42" spans="1:19">
      <c r="A42" s="97" t="s">
        <v>4661</v>
      </c>
      <c r="B42" s="93">
        <v>4700000</v>
      </c>
      <c r="C42" s="93">
        <v>4850000</v>
      </c>
      <c r="D42" s="93">
        <v>13650</v>
      </c>
      <c r="E42" s="93">
        <v>13800</v>
      </c>
      <c r="J42" s="166"/>
      <c r="K42" s="166"/>
      <c r="L42" s="166"/>
      <c r="M42" s="166" t="s">
        <v>6</v>
      </c>
      <c r="N42" s="166"/>
      <c r="O42" s="97"/>
      <c r="P42">
        <f>O44/2</f>
        <v>37328780.5</v>
      </c>
      <c r="Q42">
        <f>O44/15</f>
        <v>4977170.7333333334</v>
      </c>
    </row>
    <row r="43" spans="1:19">
      <c r="A43" s="97" t="s">
        <v>4667</v>
      </c>
      <c r="B43" s="93">
        <v>4550000</v>
      </c>
      <c r="C43" s="93">
        <v>4750000</v>
      </c>
      <c r="D43" s="93">
        <v>13400</v>
      </c>
      <c r="E43" s="93">
        <v>13500</v>
      </c>
      <c r="M43" s="111">
        <f>N41/(M41-3)</f>
        <v>4514398.5401459858</v>
      </c>
      <c r="S43" t="s">
        <v>25</v>
      </c>
    </row>
    <row r="44" spans="1:19">
      <c r="A44" s="97" t="s">
        <v>4673</v>
      </c>
      <c r="B44" s="93">
        <v>4580000</v>
      </c>
      <c r="C44" s="93">
        <v>4750000</v>
      </c>
      <c r="D44" s="93">
        <v>13350</v>
      </c>
      <c r="E44" s="93">
        <v>13500</v>
      </c>
      <c r="I44" s="41"/>
      <c r="M44" s="41" t="s">
        <v>4467</v>
      </c>
      <c r="N44" t="s">
        <v>25</v>
      </c>
      <c r="O44" s="212">
        <v>74657561</v>
      </c>
      <c r="R44" t="s">
        <v>25</v>
      </c>
    </row>
    <row r="45" spans="1:19">
      <c r="A45" s="97" t="s">
        <v>4681</v>
      </c>
      <c r="B45" s="93">
        <v>4500000</v>
      </c>
      <c r="C45" s="93">
        <v>4650000</v>
      </c>
      <c r="D45" s="93">
        <v>13250</v>
      </c>
      <c r="E45" s="93">
        <v>13450</v>
      </c>
    </row>
    <row r="46" spans="1:19">
      <c r="A46" s="97" t="s">
        <v>4686</v>
      </c>
      <c r="B46" s="93">
        <v>4620000</v>
      </c>
      <c r="C46" s="93">
        <v>4770000</v>
      </c>
      <c r="D46" s="93">
        <v>13600</v>
      </c>
      <c r="E46" s="93">
        <v>13700</v>
      </c>
    </row>
    <row r="47" spans="1:19">
      <c r="A47" s="97" t="s">
        <v>4690</v>
      </c>
      <c r="B47" s="93">
        <v>4400000</v>
      </c>
      <c r="C47" s="93">
        <v>4600000</v>
      </c>
      <c r="D47" s="93">
        <v>13200</v>
      </c>
      <c r="E47" s="93">
        <v>13400</v>
      </c>
      <c r="L47">
        <f>140-M41</f>
        <v>0</v>
      </c>
      <c r="M47">
        <f>70-M2-M4-M5-M7-M9-M10-M12-M14-M16-M18-M20-M22-M25-M27-M29-M31-M33-M35-M37</f>
        <v>0</v>
      </c>
      <c r="N47" t="s">
        <v>480</v>
      </c>
    </row>
    <row r="48" spans="1:19">
      <c r="A48" s="97" t="s">
        <v>4691</v>
      </c>
      <c r="B48" s="93">
        <v>4250000</v>
      </c>
      <c r="C48" s="93">
        <v>4450000</v>
      </c>
      <c r="D48" s="93">
        <v>12750</v>
      </c>
      <c r="E48" s="93">
        <v>12900</v>
      </c>
      <c r="M48">
        <f>65-M3-M6-M8-M11-M13-M15-M17-M19-M21-M23-M26-M28-M30-M32-M34-M36-M38</f>
        <v>0</v>
      </c>
      <c r="N48" t="s">
        <v>5</v>
      </c>
    </row>
    <row r="49" spans="1:17">
      <c r="A49" s="97" t="s">
        <v>4698</v>
      </c>
      <c r="B49" s="93">
        <v>4380000</v>
      </c>
      <c r="C49" s="93">
        <v>4520000</v>
      </c>
      <c r="D49" s="93">
        <v>12750</v>
      </c>
      <c r="E49" s="93">
        <v>12900</v>
      </c>
      <c r="K49">
        <v>16</v>
      </c>
      <c r="L49" s="212">
        <v>807756734</v>
      </c>
      <c r="M49">
        <f>L49/16</f>
        <v>50484795.875</v>
      </c>
      <c r="N49">
        <f>M49*4</f>
        <v>201939183.5</v>
      </c>
    </row>
    <row r="50" spans="1:17">
      <c r="A50" s="97" t="s">
        <v>4700</v>
      </c>
      <c r="B50" s="93">
        <v>4500000</v>
      </c>
      <c r="C50" s="93">
        <v>4630000</v>
      </c>
      <c r="D50" s="93">
        <v>13200</v>
      </c>
      <c r="E50" s="93">
        <v>13400</v>
      </c>
      <c r="N50">
        <f>M49*9</f>
        <v>454363162.875</v>
      </c>
    </row>
    <row r="51" spans="1:17">
      <c r="A51" s="97" t="s">
        <v>957</v>
      </c>
      <c r="B51" s="93">
        <v>4480000</v>
      </c>
      <c r="C51" s="93">
        <v>4620000</v>
      </c>
      <c r="D51" s="93">
        <v>13100</v>
      </c>
      <c r="E51" s="93">
        <v>13250</v>
      </c>
    </row>
    <row r="52" spans="1:17">
      <c r="A52" s="97" t="s">
        <v>4719</v>
      </c>
      <c r="B52" s="93">
        <v>4480000</v>
      </c>
      <c r="C52" s="93">
        <v>4600000</v>
      </c>
      <c r="D52" s="93">
        <v>13050</v>
      </c>
      <c r="E52" s="93">
        <v>13200</v>
      </c>
      <c r="K52" s="166" t="s">
        <v>4473</v>
      </c>
      <c r="L52" s="166" t="s">
        <v>1068</v>
      </c>
      <c r="M52" s="166" t="s">
        <v>4216</v>
      </c>
      <c r="N52" s="166" t="s">
        <v>4489</v>
      </c>
      <c r="O52" s="166"/>
    </row>
    <row r="53" spans="1:17">
      <c r="A53" s="97" t="s">
        <v>4721</v>
      </c>
      <c r="B53" s="93">
        <v>4400000</v>
      </c>
      <c r="C53" s="93">
        <v>4550000</v>
      </c>
      <c r="D53" s="93">
        <v>12850</v>
      </c>
      <c r="E53" s="93">
        <v>13000</v>
      </c>
      <c r="K53" s="166" t="s">
        <v>4466</v>
      </c>
      <c r="L53" s="166">
        <v>3390000</v>
      </c>
      <c r="M53" s="166">
        <v>161.4</v>
      </c>
      <c r="N53" s="166">
        <f>L53/M53</f>
        <v>21003.717472118959</v>
      </c>
      <c r="O53" s="166"/>
    </row>
    <row r="54" spans="1:17">
      <c r="A54" s="97" t="s">
        <v>4723</v>
      </c>
      <c r="B54" s="93">
        <v>4400000</v>
      </c>
      <c r="C54" s="93">
        <v>4520000</v>
      </c>
      <c r="D54" s="93">
        <v>12800</v>
      </c>
      <c r="E54" s="93">
        <v>12950</v>
      </c>
      <c r="K54" s="166"/>
      <c r="L54" s="166"/>
      <c r="M54" s="166"/>
      <c r="N54" s="166"/>
      <c r="O54" s="166"/>
    </row>
    <row r="55" spans="1:17">
      <c r="A55" s="97" t="s">
        <v>4726</v>
      </c>
      <c r="B55" s="93">
        <v>4460000</v>
      </c>
      <c r="C55" s="93">
        <v>4580000</v>
      </c>
      <c r="D55" s="93">
        <v>12850</v>
      </c>
      <c r="E55" s="93">
        <v>13000</v>
      </c>
      <c r="K55" s="166"/>
      <c r="L55" s="166"/>
      <c r="M55" s="166"/>
      <c r="N55" s="166"/>
      <c r="O55" s="166"/>
    </row>
    <row r="56" spans="1:17">
      <c r="A56" s="97" t="s">
        <v>4732</v>
      </c>
      <c r="B56" s="93">
        <v>4500000</v>
      </c>
      <c r="C56" s="93">
        <v>4620000</v>
      </c>
      <c r="D56" s="93">
        <v>13000</v>
      </c>
      <c r="E56" s="93">
        <v>13200</v>
      </c>
      <c r="K56" s="166"/>
      <c r="L56" s="166"/>
      <c r="M56" s="166"/>
      <c r="N56" s="166"/>
      <c r="O56" s="166"/>
    </row>
    <row r="57" spans="1:17">
      <c r="A57" s="97" t="s">
        <v>4737</v>
      </c>
      <c r="B57" s="93">
        <v>4450000</v>
      </c>
      <c r="C57" s="93">
        <v>4600000</v>
      </c>
      <c r="D57" s="93">
        <v>12850</v>
      </c>
      <c r="E57" s="93">
        <v>13050</v>
      </c>
      <c r="K57" s="166"/>
      <c r="L57" s="166"/>
      <c r="M57" s="166"/>
      <c r="N57" s="166"/>
      <c r="O57" s="166"/>
    </row>
    <row r="58" spans="1:17">
      <c r="A58" s="97" t="s">
        <v>4746</v>
      </c>
      <c r="B58" s="93">
        <v>4500000</v>
      </c>
      <c r="C58" s="93">
        <v>4650000</v>
      </c>
      <c r="D58" s="93">
        <v>12900</v>
      </c>
      <c r="E58" s="93">
        <v>13100</v>
      </c>
      <c r="K58" s="166"/>
      <c r="L58" s="166"/>
      <c r="M58" s="166"/>
      <c r="N58" s="166"/>
      <c r="O58" s="166"/>
    </row>
    <row r="59" spans="1:17">
      <c r="A59" s="97" t="s">
        <v>4772</v>
      </c>
      <c r="B59" s="93">
        <v>4700000</v>
      </c>
      <c r="C59" s="93">
        <v>4800000</v>
      </c>
      <c r="D59" s="93">
        <v>13300</v>
      </c>
      <c r="E59" s="93">
        <v>13450</v>
      </c>
      <c r="K59" s="166"/>
      <c r="L59" s="166"/>
      <c r="M59" s="166"/>
      <c r="N59" s="166"/>
      <c r="O59" s="166"/>
    </row>
    <row r="60" spans="1:17">
      <c r="A60" s="97" t="s">
        <v>4773</v>
      </c>
      <c r="B60" s="93">
        <v>4750000</v>
      </c>
      <c r="C60" s="93">
        <v>4850000</v>
      </c>
      <c r="D60" s="93">
        <v>13500</v>
      </c>
      <c r="E60" s="93">
        <v>13650</v>
      </c>
      <c r="K60" s="166"/>
      <c r="L60" s="166"/>
      <c r="M60" s="166"/>
      <c r="N60" s="166"/>
      <c r="O60" s="166"/>
    </row>
    <row r="61" spans="1:17">
      <c r="A61" s="97" t="s">
        <v>4780</v>
      </c>
      <c r="B61" s="93">
        <v>4850000</v>
      </c>
      <c r="C61" s="93">
        <v>4950000</v>
      </c>
      <c r="D61" s="93">
        <v>13750</v>
      </c>
      <c r="E61" s="93">
        <v>13900</v>
      </c>
    </row>
    <row r="62" spans="1:17">
      <c r="A62" s="97" t="s">
        <v>4796</v>
      </c>
      <c r="B62" s="93">
        <v>4680000</v>
      </c>
      <c r="C62" s="93">
        <v>4780000</v>
      </c>
      <c r="D62" s="93">
        <v>13500</v>
      </c>
      <c r="E62" s="93">
        <v>13650</v>
      </c>
    </row>
    <row r="63" spans="1:17">
      <c r="A63" s="97" t="s">
        <v>4874</v>
      </c>
      <c r="B63" s="93">
        <v>4700000</v>
      </c>
      <c r="C63" s="93">
        <v>4830000</v>
      </c>
      <c r="D63" s="93">
        <v>13850</v>
      </c>
      <c r="E63" s="93">
        <v>14050</v>
      </c>
      <c r="I63" s="205" t="s">
        <v>8</v>
      </c>
      <c r="J63" s="205" t="s">
        <v>4664</v>
      </c>
      <c r="K63" s="205" t="s">
        <v>180</v>
      </c>
      <c r="L63" s="214" t="s">
        <v>4662</v>
      </c>
      <c r="M63" s="214" t="s">
        <v>4663</v>
      </c>
      <c r="N63" s="205" t="s">
        <v>6</v>
      </c>
      <c r="O63" s="205" t="s">
        <v>4665</v>
      </c>
      <c r="P63" s="205" t="s">
        <v>4675</v>
      </c>
    </row>
    <row r="64" spans="1:17">
      <c r="A64" s="97" t="s">
        <v>4912</v>
      </c>
      <c r="B64" s="93">
        <v>4600000</v>
      </c>
      <c r="C64" s="93">
        <v>4700000</v>
      </c>
      <c r="D64" s="93">
        <v>13300</v>
      </c>
      <c r="E64" s="93">
        <v>13500</v>
      </c>
      <c r="G64" t="s">
        <v>25</v>
      </c>
      <c r="I64" s="205"/>
      <c r="J64" s="205"/>
      <c r="K64" s="205" t="s">
        <v>4617</v>
      </c>
      <c r="L64" s="82">
        <v>535989412</v>
      </c>
      <c r="M64" s="82"/>
      <c r="N64" s="205"/>
      <c r="O64" s="205"/>
      <c r="P64" s="205"/>
      <c r="Q64" s="82">
        <v>0</v>
      </c>
    </row>
    <row r="65" spans="1:17">
      <c r="A65" s="97" t="s">
        <v>4947</v>
      </c>
      <c r="B65" s="93">
        <v>4520000</v>
      </c>
      <c r="C65" s="93">
        <v>4620000</v>
      </c>
      <c r="D65" s="93">
        <v>12950</v>
      </c>
      <c r="E65" s="93">
        <v>13150</v>
      </c>
      <c r="I65" s="205"/>
      <c r="J65" s="111">
        <f>L65-L64</f>
        <v>12939932</v>
      </c>
      <c r="K65" s="205" t="s">
        <v>4642</v>
      </c>
      <c r="L65" s="82">
        <v>548929344</v>
      </c>
      <c r="M65" s="82"/>
      <c r="N65" s="205"/>
      <c r="O65" s="205"/>
      <c r="P65" s="205"/>
      <c r="Q65" s="82">
        <v>0</v>
      </c>
    </row>
    <row r="66" spans="1:17">
      <c r="A66" s="97" t="s">
        <v>4981</v>
      </c>
      <c r="B66" s="93">
        <v>3900000</v>
      </c>
      <c r="C66" s="93">
        <v>4050000</v>
      </c>
      <c r="D66" s="93">
        <v>10900</v>
      </c>
      <c r="E66" s="93">
        <v>11150</v>
      </c>
      <c r="F66" t="s">
        <v>25</v>
      </c>
      <c r="I66" s="205"/>
      <c r="J66" s="111">
        <f t="shared" ref="J66:J88" si="1">L66-L65</f>
        <v>11531981</v>
      </c>
      <c r="K66" s="205" t="s">
        <v>4647</v>
      </c>
      <c r="L66" s="82">
        <v>560461325</v>
      </c>
      <c r="M66" s="82"/>
      <c r="N66" s="205"/>
      <c r="O66" s="205"/>
      <c r="P66" s="205"/>
      <c r="Q66" s="82">
        <v>0</v>
      </c>
    </row>
    <row r="67" spans="1:17">
      <c r="A67" s="97" t="s">
        <v>5020</v>
      </c>
      <c r="B67" s="93">
        <v>3950000</v>
      </c>
      <c r="C67" s="93">
        <v>4070000</v>
      </c>
      <c r="D67" s="93">
        <v>11000</v>
      </c>
      <c r="E67" s="93">
        <v>11200</v>
      </c>
      <c r="I67" s="205"/>
      <c r="J67" s="111">
        <f t="shared" si="1"/>
        <v>17387769</v>
      </c>
      <c r="K67" s="205" t="s">
        <v>4652</v>
      </c>
      <c r="L67" s="82">
        <v>577849094</v>
      </c>
      <c r="M67" s="82"/>
      <c r="N67" s="205"/>
      <c r="O67" s="205"/>
      <c r="P67" s="205"/>
      <c r="Q67" s="82">
        <v>0</v>
      </c>
    </row>
    <row r="68" spans="1:17">
      <c r="A68" s="97" t="s">
        <v>5023</v>
      </c>
      <c r="B68" s="93">
        <v>4050000</v>
      </c>
      <c r="C68" s="93">
        <v>4150000</v>
      </c>
      <c r="D68" s="93">
        <v>11150</v>
      </c>
      <c r="E68" s="93">
        <v>11350</v>
      </c>
      <c r="I68" s="205"/>
      <c r="J68" s="111">
        <f t="shared" si="1"/>
        <v>11024486</v>
      </c>
      <c r="K68" s="205" t="s">
        <v>4654</v>
      </c>
      <c r="L68" s="82">
        <v>588873580</v>
      </c>
      <c r="M68" s="82">
        <v>250255923</v>
      </c>
      <c r="N68" s="111">
        <f>L68+M68</f>
        <v>839129503</v>
      </c>
      <c r="O68" s="111">
        <f>M68-M67</f>
        <v>250255923</v>
      </c>
      <c r="P68" s="111">
        <f>N68-N67</f>
        <v>839129503</v>
      </c>
      <c r="Q68" s="82">
        <v>0</v>
      </c>
    </row>
    <row r="69" spans="1:17">
      <c r="A69" s="97" t="s">
        <v>5044</v>
      </c>
      <c r="B69" s="93">
        <v>4060000</v>
      </c>
      <c r="C69" s="93">
        <v>4160000</v>
      </c>
      <c r="D69" s="93">
        <v>11500</v>
      </c>
      <c r="E69" s="93">
        <v>11700</v>
      </c>
      <c r="I69" s="205"/>
      <c r="J69" s="111">
        <f t="shared" si="1"/>
        <v>-8942851</v>
      </c>
      <c r="K69" s="205" t="s">
        <v>4661</v>
      </c>
      <c r="L69" s="216">
        <v>579930729</v>
      </c>
      <c r="M69" s="82">
        <v>247714729</v>
      </c>
      <c r="N69" s="111">
        <f t="shared" ref="N69:N91" si="2">L69+M69</f>
        <v>827645458</v>
      </c>
      <c r="O69" s="111">
        <f t="shared" ref="O69:O88" si="3">M69-M68</f>
        <v>-2541194</v>
      </c>
      <c r="P69" s="111">
        <f t="shared" ref="P69:P88" si="4">N69-N68</f>
        <v>-11484045</v>
      </c>
      <c r="Q69" s="82">
        <v>0</v>
      </c>
    </row>
    <row r="70" spans="1:17">
      <c r="A70" s="97" t="s">
        <v>5046</v>
      </c>
      <c r="B70" s="93">
        <v>4020000</v>
      </c>
      <c r="C70" s="93">
        <v>4120000</v>
      </c>
      <c r="D70" s="93">
        <v>11400</v>
      </c>
      <c r="E70" s="93">
        <v>11600</v>
      </c>
      <c r="I70" s="5" t="s">
        <v>4672</v>
      </c>
      <c r="J70" s="35">
        <f t="shared" si="1"/>
        <v>45893629</v>
      </c>
      <c r="K70" s="5" t="s">
        <v>4667</v>
      </c>
      <c r="L70" s="217">
        <v>625824358</v>
      </c>
      <c r="M70" s="217">
        <v>243028777</v>
      </c>
      <c r="N70" s="35">
        <f t="shared" si="2"/>
        <v>868853135</v>
      </c>
      <c r="O70" s="35">
        <f t="shared" si="3"/>
        <v>-4685952</v>
      </c>
      <c r="P70" s="35">
        <f>N70-N69-50000000</f>
        <v>-8792323</v>
      </c>
      <c r="Q70" s="82">
        <v>50000000</v>
      </c>
    </row>
    <row r="71" spans="1:17">
      <c r="A71" s="97" t="s">
        <v>5050</v>
      </c>
      <c r="B71" s="93">
        <v>3930000</v>
      </c>
      <c r="C71" s="93">
        <v>4030000</v>
      </c>
      <c r="D71" s="93">
        <v>11100</v>
      </c>
      <c r="E71" s="93">
        <v>11300</v>
      </c>
      <c r="I71" s="205"/>
      <c r="J71" s="111">
        <f t="shared" si="1"/>
        <v>3462014</v>
      </c>
      <c r="K71" s="205" t="s">
        <v>4673</v>
      </c>
      <c r="L71" s="82">
        <v>629286372</v>
      </c>
      <c r="M71" s="82">
        <v>246690884</v>
      </c>
      <c r="N71" s="111">
        <f t="shared" si="2"/>
        <v>875977256</v>
      </c>
      <c r="O71" s="111">
        <f t="shared" si="3"/>
        <v>3662107</v>
      </c>
      <c r="P71" s="111">
        <f t="shared" si="4"/>
        <v>7124121</v>
      </c>
      <c r="Q71" s="82">
        <v>0</v>
      </c>
    </row>
    <row r="72" spans="1:17">
      <c r="A72" s="97" t="s">
        <v>5052</v>
      </c>
      <c r="B72" s="93">
        <v>3950000</v>
      </c>
      <c r="C72" s="93">
        <v>4050000</v>
      </c>
      <c r="D72" s="93">
        <v>11200</v>
      </c>
      <c r="E72" s="93">
        <v>11300</v>
      </c>
      <c r="I72" s="205"/>
      <c r="J72" s="111">
        <f t="shared" si="1"/>
        <v>-2687296</v>
      </c>
      <c r="K72" s="205" t="s">
        <v>4686</v>
      </c>
      <c r="L72" s="82">
        <v>626599076</v>
      </c>
      <c r="M72" s="82">
        <v>244530128</v>
      </c>
      <c r="N72" s="111">
        <f t="shared" si="2"/>
        <v>871129204</v>
      </c>
      <c r="O72" s="111">
        <f t="shared" si="3"/>
        <v>-2160756</v>
      </c>
      <c r="P72" s="111">
        <f t="shared" si="4"/>
        <v>-4848052</v>
      </c>
      <c r="Q72" s="82">
        <v>0</v>
      </c>
    </row>
    <row r="73" spans="1:17">
      <c r="A73" s="97" t="s">
        <v>5053</v>
      </c>
      <c r="B73" s="93">
        <v>3970000</v>
      </c>
      <c r="C73" s="93">
        <v>4070000</v>
      </c>
      <c r="D73" s="93">
        <v>11250</v>
      </c>
      <c r="E73" s="93">
        <v>11400</v>
      </c>
      <c r="I73" s="205"/>
      <c r="J73" s="111">
        <f t="shared" si="1"/>
        <v>-6009466</v>
      </c>
      <c r="K73" s="205" t="s">
        <v>4690</v>
      </c>
      <c r="L73" s="82">
        <v>620589610</v>
      </c>
      <c r="M73" s="82">
        <v>242967684</v>
      </c>
      <c r="N73" s="111">
        <f t="shared" si="2"/>
        <v>863557294</v>
      </c>
      <c r="O73" s="111">
        <f t="shared" si="3"/>
        <v>-1562444</v>
      </c>
      <c r="P73" s="111">
        <f t="shared" si="4"/>
        <v>-7571910</v>
      </c>
      <c r="Q73" s="82">
        <v>0</v>
      </c>
    </row>
    <row r="74" spans="1:17">
      <c r="A74" s="97" t="s">
        <v>4316</v>
      </c>
      <c r="B74" s="93">
        <v>3980000</v>
      </c>
      <c r="C74" s="93">
        <v>4080000</v>
      </c>
      <c r="D74" s="93">
        <v>11250</v>
      </c>
      <c r="E74" s="93">
        <v>11450</v>
      </c>
      <c r="G74" t="s">
        <v>25</v>
      </c>
      <c r="I74" s="205"/>
      <c r="J74" s="111">
        <f t="shared" si="1"/>
        <v>-1273071</v>
      </c>
      <c r="K74" s="205" t="s">
        <v>4691</v>
      </c>
      <c r="L74" s="82">
        <v>619316539</v>
      </c>
      <c r="M74" s="82">
        <v>242985726</v>
      </c>
      <c r="N74" s="111">
        <f t="shared" si="2"/>
        <v>862302265</v>
      </c>
      <c r="O74" s="111">
        <f t="shared" si="3"/>
        <v>18042</v>
      </c>
      <c r="P74" s="111">
        <f t="shared" si="4"/>
        <v>-1255029</v>
      </c>
      <c r="Q74" s="82">
        <v>0</v>
      </c>
    </row>
    <row r="75" spans="1:17">
      <c r="A75" s="97" t="s">
        <v>5055</v>
      </c>
      <c r="B75" s="93">
        <v>4020000</v>
      </c>
      <c r="C75" s="93">
        <v>4120000</v>
      </c>
      <c r="D75" s="93">
        <v>11350</v>
      </c>
      <c r="E75" s="93">
        <v>11500</v>
      </c>
      <c r="I75" s="205"/>
      <c r="J75" s="111">
        <f t="shared" si="1"/>
        <v>112274</v>
      </c>
      <c r="K75" s="205" t="s">
        <v>4698</v>
      </c>
      <c r="L75" s="82">
        <v>619428813</v>
      </c>
      <c r="M75" s="82">
        <v>242060147</v>
      </c>
      <c r="N75" s="111">
        <f t="shared" si="2"/>
        <v>861488960</v>
      </c>
      <c r="O75" s="111">
        <f t="shared" si="3"/>
        <v>-925579</v>
      </c>
      <c r="P75" s="111">
        <f t="shared" si="4"/>
        <v>-813305</v>
      </c>
      <c r="Q75" s="82">
        <v>0</v>
      </c>
    </row>
    <row r="76" spans="1:17">
      <c r="A76" s="97" t="s">
        <v>5058</v>
      </c>
      <c r="B76" s="93">
        <v>4000000</v>
      </c>
      <c r="C76" s="93">
        <v>4100000</v>
      </c>
      <c r="D76" s="93">
        <v>11250</v>
      </c>
      <c r="E76" s="93">
        <v>11400</v>
      </c>
      <c r="G76" t="s">
        <v>25</v>
      </c>
      <c r="I76" s="205"/>
      <c r="J76" s="111">
        <f t="shared" si="1"/>
        <v>6567221</v>
      </c>
      <c r="K76" s="205" t="s">
        <v>4700</v>
      </c>
      <c r="L76" s="82">
        <v>625996034</v>
      </c>
      <c r="M76" s="82">
        <v>242597875</v>
      </c>
      <c r="N76" s="111">
        <f t="shared" si="2"/>
        <v>868593909</v>
      </c>
      <c r="O76" s="111">
        <f t="shared" si="3"/>
        <v>537728</v>
      </c>
      <c r="P76" s="111">
        <f t="shared" si="4"/>
        <v>7104949</v>
      </c>
      <c r="Q76" s="82">
        <v>0</v>
      </c>
    </row>
    <row r="77" spans="1:17">
      <c r="A77" s="97" t="s">
        <v>5098</v>
      </c>
      <c r="B77" s="93">
        <v>3930000</v>
      </c>
      <c r="C77" s="93">
        <v>4030000</v>
      </c>
      <c r="D77" s="93">
        <v>11300</v>
      </c>
      <c r="E77" s="93">
        <v>11500</v>
      </c>
      <c r="I77" s="205"/>
      <c r="J77" s="111">
        <f t="shared" si="1"/>
        <v>4477051</v>
      </c>
      <c r="K77" s="205" t="s">
        <v>957</v>
      </c>
      <c r="L77" s="82">
        <v>630473085</v>
      </c>
      <c r="M77" s="82">
        <v>243884962</v>
      </c>
      <c r="N77" s="111">
        <f t="shared" si="2"/>
        <v>874358047</v>
      </c>
      <c r="O77" s="111">
        <f t="shared" si="3"/>
        <v>1287087</v>
      </c>
      <c r="P77" s="111">
        <f t="shared" si="4"/>
        <v>5764138</v>
      </c>
      <c r="Q77" s="82">
        <v>0</v>
      </c>
    </row>
    <row r="78" spans="1:17">
      <c r="A78" s="97" t="s">
        <v>958</v>
      </c>
      <c r="B78" s="93">
        <v>3950000</v>
      </c>
      <c r="C78" s="93">
        <v>4030000</v>
      </c>
      <c r="D78" s="93">
        <v>11300</v>
      </c>
      <c r="E78" s="93">
        <v>11500</v>
      </c>
      <c r="F78" t="s">
        <v>25</v>
      </c>
      <c r="I78" s="205"/>
      <c r="J78" s="111">
        <f t="shared" si="1"/>
        <v>6046556</v>
      </c>
      <c r="K78" s="205" t="s">
        <v>4719</v>
      </c>
      <c r="L78" s="82">
        <v>636519641</v>
      </c>
      <c r="M78" s="82">
        <v>248242879</v>
      </c>
      <c r="N78" s="111">
        <f t="shared" si="2"/>
        <v>884762520</v>
      </c>
      <c r="O78" s="111">
        <f t="shared" si="3"/>
        <v>4357917</v>
      </c>
      <c r="P78" s="111">
        <f t="shared" si="4"/>
        <v>10404473</v>
      </c>
      <c r="Q78" s="82">
        <v>0</v>
      </c>
    </row>
    <row r="79" spans="1:17">
      <c r="A79" s="97" t="s">
        <v>5106</v>
      </c>
      <c r="B79" s="93">
        <v>3940000</v>
      </c>
      <c r="C79" s="93">
        <v>4020000</v>
      </c>
      <c r="D79" s="93">
        <v>11250</v>
      </c>
      <c r="E79" s="93">
        <v>11450</v>
      </c>
      <c r="I79" s="205"/>
      <c r="J79" s="111">
        <f t="shared" si="1"/>
        <v>6885870</v>
      </c>
      <c r="K79" s="205" t="s">
        <v>4721</v>
      </c>
      <c r="L79" s="82">
        <v>643405511</v>
      </c>
      <c r="M79" s="82">
        <v>252682386</v>
      </c>
      <c r="N79" s="111">
        <f t="shared" si="2"/>
        <v>896087897</v>
      </c>
      <c r="O79" s="111">
        <f t="shared" si="3"/>
        <v>4439507</v>
      </c>
      <c r="P79" s="111">
        <f t="shared" si="4"/>
        <v>11325377</v>
      </c>
      <c r="Q79" s="82">
        <v>0</v>
      </c>
    </row>
    <row r="80" spans="1:17">
      <c r="A80" s="97" t="s">
        <v>5109</v>
      </c>
      <c r="B80" s="93">
        <v>3940000</v>
      </c>
      <c r="C80" s="93">
        <v>4020000</v>
      </c>
      <c r="D80" s="93">
        <v>11250</v>
      </c>
      <c r="E80" s="93">
        <v>11450</v>
      </c>
      <c r="G80" t="s">
        <v>25</v>
      </c>
      <c r="I80" s="5" t="s">
        <v>4736</v>
      </c>
      <c r="J80" s="35">
        <f t="shared" si="1"/>
        <v>-1984018</v>
      </c>
      <c r="K80" s="5" t="s">
        <v>4723</v>
      </c>
      <c r="L80" s="217">
        <v>641421493</v>
      </c>
      <c r="M80" s="217">
        <v>250864833</v>
      </c>
      <c r="N80" s="35">
        <f t="shared" si="2"/>
        <v>892286326</v>
      </c>
      <c r="O80" s="35">
        <f t="shared" si="3"/>
        <v>-1817553</v>
      </c>
      <c r="P80" s="35">
        <f>N80-N79-2000000</f>
        <v>-5801571</v>
      </c>
      <c r="Q80" s="82">
        <v>2000000</v>
      </c>
    </row>
    <row r="81" spans="1:21">
      <c r="A81" s="97" t="s">
        <v>5110</v>
      </c>
      <c r="B81" s="93">
        <v>3940000</v>
      </c>
      <c r="C81" s="93">
        <v>4020000</v>
      </c>
      <c r="D81" s="93">
        <v>11300</v>
      </c>
      <c r="E81" s="93">
        <v>11450</v>
      </c>
      <c r="I81" s="205"/>
      <c r="J81" s="111">
        <f t="shared" si="1"/>
        <v>6117877</v>
      </c>
      <c r="K81" s="205" t="s">
        <v>4726</v>
      </c>
      <c r="L81" s="82">
        <v>647539370</v>
      </c>
      <c r="M81" s="82">
        <v>254691103</v>
      </c>
      <c r="N81" s="210">
        <f t="shared" si="2"/>
        <v>902230473</v>
      </c>
      <c r="O81" s="111">
        <f t="shared" si="3"/>
        <v>3826270</v>
      </c>
      <c r="P81" s="111">
        <f t="shared" si="4"/>
        <v>9944147</v>
      </c>
      <c r="Q81" s="82">
        <v>0</v>
      </c>
    </row>
    <row r="82" spans="1:21">
      <c r="A82" s="97" t="s">
        <v>5113</v>
      </c>
      <c r="B82" s="93">
        <v>3970000</v>
      </c>
      <c r="C82" s="93">
        <v>4030000</v>
      </c>
      <c r="D82" s="93">
        <v>11300</v>
      </c>
      <c r="E82" s="93">
        <v>11500</v>
      </c>
      <c r="I82" s="219" t="s">
        <v>4735</v>
      </c>
      <c r="J82" s="84">
        <f t="shared" si="1"/>
        <v>8860702</v>
      </c>
      <c r="K82" s="189" t="s">
        <v>4732</v>
      </c>
      <c r="L82" s="218">
        <v>656400072</v>
      </c>
      <c r="M82" s="218">
        <v>260846052</v>
      </c>
      <c r="N82" s="210">
        <f t="shared" si="2"/>
        <v>917246124</v>
      </c>
      <c r="O82" s="84">
        <f t="shared" si="3"/>
        <v>6154949</v>
      </c>
      <c r="P82" s="84">
        <f>N82-N81-4250000</f>
        <v>10765651</v>
      </c>
      <c r="Q82" s="82">
        <v>4250000</v>
      </c>
    </row>
    <row r="83" spans="1:21" ht="30">
      <c r="A83" s="97" t="s">
        <v>975</v>
      </c>
      <c r="B83" s="93">
        <v>3920000</v>
      </c>
      <c r="C83" s="93">
        <v>3990000</v>
      </c>
      <c r="D83" s="93">
        <v>11200</v>
      </c>
      <c r="E83" s="93">
        <v>11350</v>
      </c>
      <c r="I83" s="219" t="s">
        <v>4744</v>
      </c>
      <c r="J83" s="84">
        <f>L83-L82+31412200</f>
        <v>20439704</v>
      </c>
      <c r="K83" s="189" t="s">
        <v>4737</v>
      </c>
      <c r="L83" s="218">
        <v>645427576</v>
      </c>
      <c r="M83" s="218">
        <v>263837297</v>
      </c>
      <c r="N83" s="210">
        <f t="shared" si="2"/>
        <v>909264873</v>
      </c>
      <c r="O83" s="84">
        <f>M83-M82+2060725</f>
        <v>5051970</v>
      </c>
      <c r="P83" s="84">
        <f>N83-N82+2060725+31412200</f>
        <v>25491674</v>
      </c>
      <c r="Q83" s="82">
        <v>-33472925</v>
      </c>
    </row>
    <row r="84" spans="1:21">
      <c r="A84" s="97" t="s">
        <v>4253</v>
      </c>
      <c r="B84" s="93">
        <v>3930000</v>
      </c>
      <c r="C84" s="93">
        <v>4000000</v>
      </c>
      <c r="D84" s="93">
        <v>11250</v>
      </c>
      <c r="E84" s="93">
        <v>11400</v>
      </c>
      <c r="F84" t="s">
        <v>25</v>
      </c>
      <c r="I84" s="187" t="s">
        <v>4745</v>
      </c>
      <c r="J84" s="186">
        <f t="shared" si="1"/>
        <v>21224293</v>
      </c>
      <c r="K84" s="187" t="s">
        <v>4746</v>
      </c>
      <c r="L84" s="220">
        <v>666651869</v>
      </c>
      <c r="M84" s="220">
        <v>303563891</v>
      </c>
      <c r="N84" s="210">
        <f t="shared" si="2"/>
        <v>970215760</v>
      </c>
      <c r="O84" s="186">
        <f>M84-M83-28000000</f>
        <v>11726594</v>
      </c>
      <c r="P84" s="186">
        <f>N84-N83-28000000</f>
        <v>32950887</v>
      </c>
      <c r="Q84" s="82">
        <v>28000000</v>
      </c>
    </row>
    <row r="85" spans="1:21">
      <c r="A85" s="97" t="s">
        <v>959</v>
      </c>
      <c r="B85" s="93">
        <v>3910000</v>
      </c>
      <c r="C85" s="93">
        <v>3970000</v>
      </c>
      <c r="D85" s="93">
        <v>11150</v>
      </c>
      <c r="E85" s="93">
        <v>11300</v>
      </c>
      <c r="G85" t="s">
        <v>25</v>
      </c>
      <c r="I85" s="205"/>
      <c r="J85" s="111">
        <f t="shared" si="1"/>
        <v>9478107</v>
      </c>
      <c r="K85" s="205" t="s">
        <v>964</v>
      </c>
      <c r="L85" s="82">
        <v>676129976</v>
      </c>
      <c r="M85" s="82">
        <v>302822379</v>
      </c>
      <c r="N85" s="210">
        <f t="shared" si="2"/>
        <v>978952355</v>
      </c>
      <c r="O85" s="111">
        <f t="shared" si="3"/>
        <v>-741512</v>
      </c>
      <c r="P85" s="111">
        <f t="shared" si="4"/>
        <v>8736595</v>
      </c>
      <c r="Q85" s="82">
        <v>0</v>
      </c>
    </row>
    <row r="86" spans="1:21">
      <c r="A86" s="97"/>
      <c r="B86" s="93"/>
      <c r="C86" s="93"/>
      <c r="D86" s="93"/>
      <c r="E86" s="93"/>
      <c r="I86" s="205"/>
      <c r="J86" s="111">
        <f t="shared" si="1"/>
        <v>-8249999</v>
      </c>
      <c r="K86" s="205" t="s">
        <v>4751</v>
      </c>
      <c r="L86" s="82">
        <v>667879977</v>
      </c>
      <c r="M86" s="82">
        <v>298414541</v>
      </c>
      <c r="N86" s="111">
        <f t="shared" si="2"/>
        <v>966294518</v>
      </c>
      <c r="O86" s="111">
        <f t="shared" si="3"/>
        <v>-4407838</v>
      </c>
      <c r="P86" s="111">
        <f t="shared" si="4"/>
        <v>-12657837</v>
      </c>
      <c r="Q86" s="82">
        <v>0</v>
      </c>
    </row>
    <row r="87" spans="1:21">
      <c r="A87" s="97"/>
      <c r="B87" s="93"/>
      <c r="C87" s="93"/>
      <c r="D87" s="93"/>
      <c r="E87" s="93"/>
      <c r="I87" s="221" t="s">
        <v>4762</v>
      </c>
      <c r="J87" s="192">
        <f>L87-L86-20000</f>
        <v>7878257</v>
      </c>
      <c r="K87" s="188" t="s">
        <v>4752</v>
      </c>
      <c r="L87" s="222">
        <v>675778234</v>
      </c>
      <c r="M87" s="222">
        <v>302388050</v>
      </c>
      <c r="N87" s="192">
        <f>L87+M87</f>
        <v>978166284</v>
      </c>
      <c r="O87" s="192">
        <f>M87-M86-850000</f>
        <v>3123509</v>
      </c>
      <c r="P87" s="192">
        <f>N87-N86-870000</f>
        <v>11001766</v>
      </c>
      <c r="Q87" s="82">
        <v>870000</v>
      </c>
    </row>
    <row r="88" spans="1:21">
      <c r="A88" s="97"/>
      <c r="B88" s="93"/>
      <c r="C88" s="93"/>
      <c r="D88" s="93"/>
      <c r="E88" s="93"/>
      <c r="I88" s="205" t="s">
        <v>25</v>
      </c>
      <c r="J88" s="111">
        <f t="shared" si="1"/>
        <v>17031996</v>
      </c>
      <c r="K88" s="205" t="s">
        <v>4764</v>
      </c>
      <c r="L88" s="82">
        <v>692810230</v>
      </c>
      <c r="M88" s="82">
        <v>311823171</v>
      </c>
      <c r="N88" s="210">
        <f t="shared" si="2"/>
        <v>1004633401</v>
      </c>
      <c r="O88" s="111">
        <f t="shared" si="3"/>
        <v>9435121</v>
      </c>
      <c r="P88" s="111">
        <f t="shared" si="4"/>
        <v>26467117</v>
      </c>
      <c r="Q88" s="82">
        <v>0</v>
      </c>
    </row>
    <row r="89" spans="1:21">
      <c r="A89" s="97"/>
      <c r="B89" s="93"/>
      <c r="C89" s="93"/>
      <c r="D89" s="93"/>
      <c r="E89" s="93"/>
      <c r="I89" s="205"/>
      <c r="J89" s="111">
        <f>L89-L88</f>
        <v>-12175091</v>
      </c>
      <c r="K89" s="205" t="s">
        <v>4765</v>
      </c>
      <c r="L89" s="82">
        <v>680635139</v>
      </c>
      <c r="M89" s="82">
        <v>313005875</v>
      </c>
      <c r="N89" s="111">
        <f t="shared" si="2"/>
        <v>993641014</v>
      </c>
      <c r="O89" s="111">
        <f>M89-M88</f>
        <v>1182704</v>
      </c>
      <c r="P89" s="111">
        <f>N89-N88</f>
        <v>-10992387</v>
      </c>
      <c r="Q89" s="82">
        <v>0</v>
      </c>
    </row>
    <row r="90" spans="1:21">
      <c r="A90" s="97"/>
      <c r="B90" s="93"/>
      <c r="C90" s="93"/>
      <c r="D90" s="93"/>
      <c r="E90" s="93"/>
      <c r="I90" s="188" t="s">
        <v>4789</v>
      </c>
      <c r="J90" s="192">
        <f>L90-L89-1000000</f>
        <v>3840350</v>
      </c>
      <c r="K90" s="188" t="s">
        <v>4772</v>
      </c>
      <c r="L90" s="222">
        <v>685475489</v>
      </c>
      <c r="M90" s="222">
        <v>312030960</v>
      </c>
      <c r="N90" s="192">
        <f t="shared" si="2"/>
        <v>997506449</v>
      </c>
      <c r="O90" s="192">
        <f>M90-M89</f>
        <v>-974915</v>
      </c>
      <c r="P90" s="192">
        <f>N90-N89-1000000</f>
        <v>2865435</v>
      </c>
      <c r="Q90" s="82">
        <v>1000000</v>
      </c>
    </row>
    <row r="91" spans="1:21">
      <c r="I91" s="205"/>
      <c r="J91" s="111">
        <f t="shared" ref="J91:J141" si="5">L91-L90</f>
        <v>-12127865</v>
      </c>
      <c r="K91" s="205" t="s">
        <v>4773</v>
      </c>
      <c r="L91" s="82">
        <v>673347624</v>
      </c>
      <c r="M91" s="82">
        <v>308820785</v>
      </c>
      <c r="N91" s="111">
        <f t="shared" si="2"/>
        <v>982168409</v>
      </c>
      <c r="O91" s="111">
        <f>M91-M90</f>
        <v>-3210175</v>
      </c>
      <c r="P91" s="111">
        <f>N91-N90</f>
        <v>-15338040</v>
      </c>
      <c r="Q91" s="82">
        <v>0</v>
      </c>
    </row>
    <row r="92" spans="1:21">
      <c r="I92" s="205"/>
      <c r="J92" s="111">
        <f t="shared" si="5"/>
        <v>11765514</v>
      </c>
      <c r="K92" s="205" t="s">
        <v>4780</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5"/>
      <c r="J93" s="111">
        <f t="shared" si="5"/>
        <v>2886862</v>
      </c>
      <c r="K93" s="205" t="s">
        <v>4781</v>
      </c>
      <c r="L93" s="82">
        <v>688000000</v>
      </c>
      <c r="M93" s="82">
        <v>312500000</v>
      </c>
      <c r="N93" s="111">
        <f t="shared" si="6"/>
        <v>1000500000</v>
      </c>
      <c r="O93" s="111">
        <f t="shared" si="7"/>
        <v>756067</v>
      </c>
      <c r="P93" s="111">
        <f t="shared" si="8"/>
        <v>3642929</v>
      </c>
      <c r="Q93" s="82">
        <v>0</v>
      </c>
    </row>
    <row r="94" spans="1:21">
      <c r="B94" t="s">
        <v>25</v>
      </c>
      <c r="I94" s="205"/>
      <c r="J94" s="111">
        <f t="shared" si="5"/>
        <v>10450869</v>
      </c>
      <c r="K94" s="205" t="s">
        <v>4782</v>
      </c>
      <c r="L94" s="82">
        <v>698450869</v>
      </c>
      <c r="M94" s="82">
        <v>316326929</v>
      </c>
      <c r="N94" s="210">
        <f t="shared" si="6"/>
        <v>1014777798</v>
      </c>
      <c r="O94" s="111">
        <f t="shared" si="7"/>
        <v>3826929</v>
      </c>
      <c r="P94" s="111">
        <f t="shared" si="8"/>
        <v>14277798</v>
      </c>
      <c r="Q94" s="82">
        <v>0</v>
      </c>
    </row>
    <row r="95" spans="1:21">
      <c r="I95" s="188" t="s">
        <v>4788</v>
      </c>
      <c r="J95" s="192">
        <f>L95-L94-2520000</f>
        <v>-274657</v>
      </c>
      <c r="K95" s="188" t="s">
        <v>4785</v>
      </c>
      <c r="L95" s="222">
        <v>700696212</v>
      </c>
      <c r="M95" s="222">
        <v>314277518</v>
      </c>
      <c r="N95" s="192">
        <f t="shared" si="6"/>
        <v>1014973730</v>
      </c>
      <c r="O95" s="192">
        <f t="shared" si="7"/>
        <v>-2049411</v>
      </c>
      <c r="P95" s="192">
        <f>N95-N94-2520000</f>
        <v>-2324068</v>
      </c>
      <c r="Q95" s="82">
        <v>2520000</v>
      </c>
      <c r="U95" t="s">
        <v>25</v>
      </c>
    </row>
    <row r="96" spans="1:21">
      <c r="D96" t="s">
        <v>25</v>
      </c>
      <c r="E96" t="s">
        <v>25</v>
      </c>
      <c r="I96" s="205"/>
      <c r="J96" s="111">
        <f t="shared" si="5"/>
        <v>3959605</v>
      </c>
      <c r="K96" s="205" t="s">
        <v>4790</v>
      </c>
      <c r="L96" s="82">
        <v>704655817</v>
      </c>
      <c r="M96" s="82">
        <v>315439070</v>
      </c>
      <c r="N96" s="210">
        <f t="shared" si="6"/>
        <v>1020094887</v>
      </c>
      <c r="O96" s="111">
        <f t="shared" si="7"/>
        <v>1161552</v>
      </c>
      <c r="P96" s="111">
        <f t="shared" si="8"/>
        <v>5121157</v>
      </c>
      <c r="Q96" s="82">
        <v>0</v>
      </c>
    </row>
    <row r="97" spans="3:20">
      <c r="I97" s="205"/>
      <c r="J97" s="111">
        <f t="shared" si="5"/>
        <v>4588822</v>
      </c>
      <c r="K97" s="205" t="s">
        <v>4791</v>
      </c>
      <c r="L97" s="82">
        <v>709244639</v>
      </c>
      <c r="M97" s="82">
        <v>318439707</v>
      </c>
      <c r="N97" s="210">
        <f t="shared" si="6"/>
        <v>1027684346</v>
      </c>
      <c r="O97" s="111">
        <f t="shared" si="7"/>
        <v>3000637</v>
      </c>
      <c r="P97" s="111">
        <f t="shared" si="8"/>
        <v>7589459</v>
      </c>
      <c r="Q97" s="82">
        <v>0</v>
      </c>
    </row>
    <row r="98" spans="3:20">
      <c r="I98" s="205"/>
      <c r="J98" s="111">
        <f t="shared" si="5"/>
        <v>-11230604</v>
      </c>
      <c r="K98" s="205" t="s">
        <v>4793</v>
      </c>
      <c r="L98" s="82">
        <v>698014035</v>
      </c>
      <c r="M98" s="82">
        <v>314823372</v>
      </c>
      <c r="N98" s="111">
        <f t="shared" ref="N98:N110" si="9">L98+M98</f>
        <v>1012837407</v>
      </c>
      <c r="O98" s="111">
        <f t="shared" ref="O98:O109" si="10">M98-M97</f>
        <v>-3616335</v>
      </c>
      <c r="P98" s="111">
        <f t="shared" ref="P98:P109" si="11">N98-N97</f>
        <v>-14846939</v>
      </c>
      <c r="Q98" s="82">
        <v>0</v>
      </c>
    </row>
    <row r="99" spans="3:20">
      <c r="I99" s="205"/>
      <c r="J99" s="111">
        <f t="shared" si="5"/>
        <v>6285999</v>
      </c>
      <c r="K99" s="205" t="s">
        <v>4794</v>
      </c>
      <c r="L99" s="82">
        <v>704300034</v>
      </c>
      <c r="M99" s="82">
        <v>315795916</v>
      </c>
      <c r="N99" s="111">
        <f t="shared" si="9"/>
        <v>1020095950</v>
      </c>
      <c r="O99" s="111">
        <f t="shared" si="10"/>
        <v>972544</v>
      </c>
      <c r="P99" s="111">
        <f t="shared" si="11"/>
        <v>7258543</v>
      </c>
      <c r="Q99" s="82">
        <v>0</v>
      </c>
    </row>
    <row r="100" spans="3:20">
      <c r="C100" t="s">
        <v>25</v>
      </c>
      <c r="I100" s="205"/>
      <c r="J100" s="111">
        <f t="shared" si="5"/>
        <v>17278812</v>
      </c>
      <c r="K100" s="205" t="s">
        <v>4796</v>
      </c>
      <c r="L100" s="82">
        <v>721578846</v>
      </c>
      <c r="M100" s="82">
        <v>322263065</v>
      </c>
      <c r="N100" s="210">
        <f t="shared" si="9"/>
        <v>1043841911</v>
      </c>
      <c r="O100" s="111">
        <f t="shared" si="10"/>
        <v>6467149</v>
      </c>
      <c r="P100" s="111">
        <f t="shared" si="11"/>
        <v>23745961</v>
      </c>
      <c r="Q100" s="82">
        <v>0</v>
      </c>
    </row>
    <row r="101" spans="3:20">
      <c r="I101" s="205"/>
      <c r="J101" s="111">
        <f t="shared" si="5"/>
        <v>287745</v>
      </c>
      <c r="K101" s="205" t="s">
        <v>4797</v>
      </c>
      <c r="L101" s="82">
        <v>721866591</v>
      </c>
      <c r="M101" s="82">
        <v>321203407</v>
      </c>
      <c r="N101" s="111">
        <f t="shared" si="9"/>
        <v>1043069998</v>
      </c>
      <c r="O101" s="111">
        <f t="shared" si="10"/>
        <v>-1059658</v>
      </c>
      <c r="P101" s="111">
        <f t="shared" si="11"/>
        <v>-771913</v>
      </c>
      <c r="Q101" s="82">
        <v>0</v>
      </c>
    </row>
    <row r="102" spans="3:20">
      <c r="I102" s="205"/>
      <c r="J102" s="111">
        <f t="shared" si="5"/>
        <v>-5866591</v>
      </c>
      <c r="K102" s="205" t="s">
        <v>4800</v>
      </c>
      <c r="L102" s="82">
        <v>716000000</v>
      </c>
      <c r="M102" s="82">
        <v>319000000</v>
      </c>
      <c r="N102" s="111">
        <f t="shared" si="9"/>
        <v>1035000000</v>
      </c>
      <c r="O102" s="111">
        <f t="shared" si="10"/>
        <v>-2203407</v>
      </c>
      <c r="P102" s="111">
        <f t="shared" si="11"/>
        <v>-8069998</v>
      </c>
      <c r="Q102" s="82">
        <v>0</v>
      </c>
    </row>
    <row r="103" spans="3:20">
      <c r="I103" s="205"/>
      <c r="J103" s="111">
        <f t="shared" si="5"/>
        <v>288384</v>
      </c>
      <c r="K103" s="205" t="s">
        <v>4799</v>
      </c>
      <c r="L103" s="82">
        <v>716288384</v>
      </c>
      <c r="M103" s="82">
        <v>320388494</v>
      </c>
      <c r="N103" s="111">
        <f t="shared" si="9"/>
        <v>1036676878</v>
      </c>
      <c r="O103" s="111">
        <f t="shared" si="10"/>
        <v>1388494</v>
      </c>
      <c r="P103" s="111">
        <f t="shared" si="11"/>
        <v>1676878</v>
      </c>
      <c r="Q103" s="82">
        <v>0</v>
      </c>
    </row>
    <row r="104" spans="3:20">
      <c r="I104" s="188" t="s">
        <v>4834</v>
      </c>
      <c r="J104" s="192">
        <f>L104-L103-1400000</f>
        <v>-1688384</v>
      </c>
      <c r="K104" s="188" t="s">
        <v>4832</v>
      </c>
      <c r="L104" s="222">
        <v>716000000</v>
      </c>
      <c r="M104" s="222">
        <v>322000000</v>
      </c>
      <c r="N104" s="192">
        <f t="shared" si="9"/>
        <v>1038000000</v>
      </c>
      <c r="O104" s="192">
        <f t="shared" si="10"/>
        <v>1611506</v>
      </c>
      <c r="P104" s="192">
        <f>N104-N103-1400000</f>
        <v>-76878</v>
      </c>
      <c r="Q104" s="82">
        <v>1400000</v>
      </c>
    </row>
    <row r="105" spans="3:20">
      <c r="I105" s="205"/>
      <c r="J105" s="111">
        <f t="shared" si="5"/>
        <v>8529471</v>
      </c>
      <c r="K105" s="205" t="s">
        <v>4833</v>
      </c>
      <c r="L105" s="82">
        <v>724529471</v>
      </c>
      <c r="M105" s="82">
        <v>326836192</v>
      </c>
      <c r="N105" s="210">
        <f t="shared" si="9"/>
        <v>1051365663</v>
      </c>
      <c r="O105" s="111">
        <f t="shared" si="10"/>
        <v>4836192</v>
      </c>
      <c r="P105" s="111">
        <f t="shared" si="11"/>
        <v>13365663</v>
      </c>
      <c r="Q105" s="82">
        <v>0</v>
      </c>
    </row>
    <row r="106" spans="3:20">
      <c r="I106" s="187" t="s">
        <v>4836</v>
      </c>
      <c r="J106" s="186">
        <f>L106-L105-1550000</f>
        <v>16319322</v>
      </c>
      <c r="K106" s="187" t="s">
        <v>4835</v>
      </c>
      <c r="L106" s="220">
        <v>742398793</v>
      </c>
      <c r="M106" s="220">
        <v>333388204</v>
      </c>
      <c r="N106" s="210">
        <f t="shared" si="9"/>
        <v>1075786997</v>
      </c>
      <c r="O106" s="186">
        <f>M106-M105-1550000</f>
        <v>5002012</v>
      </c>
      <c r="P106" s="186">
        <f>N106-N105-3100000</f>
        <v>21321334</v>
      </c>
      <c r="Q106" s="82">
        <v>3100000</v>
      </c>
    </row>
    <row r="107" spans="3:20">
      <c r="I107" s="205"/>
      <c r="J107" s="111">
        <f t="shared" si="5"/>
        <v>7585832</v>
      </c>
      <c r="K107" s="205" t="s">
        <v>4837</v>
      </c>
      <c r="L107" s="82">
        <v>749984625</v>
      </c>
      <c r="M107" s="82">
        <v>336802679</v>
      </c>
      <c r="N107" s="210">
        <f t="shared" si="9"/>
        <v>1086787304</v>
      </c>
      <c r="O107" s="111">
        <f t="shared" si="10"/>
        <v>3414475</v>
      </c>
      <c r="P107" s="111">
        <f t="shared" si="11"/>
        <v>11000307</v>
      </c>
      <c r="Q107" s="82">
        <v>0</v>
      </c>
    </row>
    <row r="108" spans="3:20">
      <c r="I108" s="187" t="s">
        <v>4840</v>
      </c>
      <c r="J108" s="186">
        <f>L108-L107-250000</f>
        <v>9825827</v>
      </c>
      <c r="K108" s="187" t="s">
        <v>4792</v>
      </c>
      <c r="L108" s="220">
        <v>760060452</v>
      </c>
      <c r="M108" s="220">
        <v>342834562</v>
      </c>
      <c r="N108" s="210">
        <f t="shared" si="9"/>
        <v>1102895014</v>
      </c>
      <c r="O108" s="186">
        <f t="shared" si="10"/>
        <v>6031883</v>
      </c>
      <c r="P108" s="186">
        <f>N108-N107-250000</f>
        <v>15857710</v>
      </c>
      <c r="Q108" s="82">
        <v>250000</v>
      </c>
    </row>
    <row r="109" spans="3:20">
      <c r="I109" s="205"/>
      <c r="J109" s="111">
        <f t="shared" si="5"/>
        <v>4204925</v>
      </c>
      <c r="K109" s="205" t="s">
        <v>4841</v>
      </c>
      <c r="L109" s="82">
        <v>764265377</v>
      </c>
      <c r="M109" s="82">
        <v>346850621</v>
      </c>
      <c r="N109" s="210">
        <f t="shared" si="9"/>
        <v>1111115998</v>
      </c>
      <c r="O109" s="111">
        <f t="shared" si="10"/>
        <v>4016059</v>
      </c>
      <c r="P109" s="111">
        <f t="shared" si="11"/>
        <v>8220984</v>
      </c>
      <c r="Q109" s="82">
        <v>0</v>
      </c>
    </row>
    <row r="110" spans="3:20" ht="30">
      <c r="I110" s="226" t="s">
        <v>4847</v>
      </c>
      <c r="J110" s="227">
        <f>L110-L109+48527480</f>
        <v>-4646184</v>
      </c>
      <c r="K110" s="208" t="s">
        <v>4844</v>
      </c>
      <c r="L110" s="228">
        <v>711091713</v>
      </c>
      <c r="M110" s="228">
        <v>365802118</v>
      </c>
      <c r="N110" s="227">
        <f t="shared" si="9"/>
        <v>1076893831</v>
      </c>
      <c r="O110" s="227">
        <f>M110-M109+2668880-50000000</f>
        <v>-28379623</v>
      </c>
      <c r="P110" s="227">
        <f>N110-N109-50000000+48527480+2668880</f>
        <v>-33025807</v>
      </c>
      <c r="Q110" s="82">
        <v>-1196360</v>
      </c>
    </row>
    <row r="111" spans="3:20">
      <c r="I111" s="205"/>
      <c r="J111" s="111">
        <f t="shared" si="5"/>
        <v>12126436</v>
      </c>
      <c r="K111" s="205" t="s">
        <v>4849</v>
      </c>
      <c r="L111" s="82">
        <v>723218149</v>
      </c>
      <c r="M111" s="82">
        <v>378192152</v>
      </c>
      <c r="N111" s="111">
        <f t="shared" ref="N111:N122" si="12">L111+M111</f>
        <v>1101410301</v>
      </c>
      <c r="O111" s="111">
        <f t="shared" ref="O111:O144" si="13">M111-M110</f>
        <v>12390034</v>
      </c>
      <c r="P111" s="111">
        <f>N111-N110</f>
        <v>24516470</v>
      </c>
      <c r="Q111" s="82">
        <v>0</v>
      </c>
    </row>
    <row r="112" spans="3:20">
      <c r="I112" s="187" t="s">
        <v>4854</v>
      </c>
      <c r="J112" s="186">
        <f t="shared" si="5"/>
        <v>-11559770</v>
      </c>
      <c r="K112" s="187" t="s">
        <v>4850</v>
      </c>
      <c r="L112" s="220">
        <v>711658379</v>
      </c>
      <c r="M112" s="220">
        <v>375825031</v>
      </c>
      <c r="N112" s="186">
        <f t="shared" si="12"/>
        <v>1087483410</v>
      </c>
      <c r="O112" s="186">
        <f>M112-M111-400000</f>
        <v>-2767121</v>
      </c>
      <c r="P112" s="186">
        <f>N112-N111-400000</f>
        <v>-14326891</v>
      </c>
      <c r="Q112" s="82">
        <v>400000</v>
      </c>
      <c r="T112" t="s">
        <v>25</v>
      </c>
    </row>
    <row r="113" spans="9:19">
      <c r="I113" s="205" t="s">
        <v>4856</v>
      </c>
      <c r="J113" s="111">
        <f t="shared" si="5"/>
        <v>-47970668</v>
      </c>
      <c r="K113" s="205" t="s">
        <v>4855</v>
      </c>
      <c r="L113" s="82">
        <v>663687711</v>
      </c>
      <c r="M113" s="82">
        <v>375638602</v>
      </c>
      <c r="N113" s="111">
        <f t="shared" si="12"/>
        <v>1039326313</v>
      </c>
      <c r="O113" s="111">
        <f t="shared" si="13"/>
        <v>-186429</v>
      </c>
      <c r="P113" s="111">
        <f>N113-N112</f>
        <v>-48157097</v>
      </c>
      <c r="Q113" s="82">
        <v>0</v>
      </c>
      <c r="S113" t="s">
        <v>25</v>
      </c>
    </row>
    <row r="114" spans="9:19">
      <c r="I114" s="205"/>
      <c r="J114" s="111">
        <f t="shared" si="5"/>
        <v>9507166</v>
      </c>
      <c r="K114" s="205" t="s">
        <v>4857</v>
      </c>
      <c r="L114" s="82">
        <v>673194877</v>
      </c>
      <c r="M114" s="82">
        <v>380477962</v>
      </c>
      <c r="N114" s="111">
        <f t="shared" si="12"/>
        <v>1053672839</v>
      </c>
      <c r="O114" s="111">
        <f t="shared" si="13"/>
        <v>4839360</v>
      </c>
      <c r="P114" s="111">
        <f>N114-N113</f>
        <v>14346526</v>
      </c>
      <c r="Q114" s="82">
        <v>0</v>
      </c>
    </row>
    <row r="115" spans="9:19">
      <c r="I115" s="205"/>
      <c r="J115" s="111">
        <f t="shared" si="5"/>
        <v>351502</v>
      </c>
      <c r="K115" s="205" t="s">
        <v>4858</v>
      </c>
      <c r="L115" s="82">
        <v>673546379</v>
      </c>
      <c r="M115" s="82">
        <v>385390359</v>
      </c>
      <c r="N115" s="111">
        <f t="shared" si="12"/>
        <v>1058936738</v>
      </c>
      <c r="O115" s="111">
        <f t="shared" si="13"/>
        <v>4912397</v>
      </c>
      <c r="P115" s="111">
        <f>N115-N114</f>
        <v>5263899</v>
      </c>
      <c r="Q115" s="82">
        <v>0</v>
      </c>
    </row>
    <row r="116" spans="9:19">
      <c r="I116" s="187" t="s">
        <v>4861</v>
      </c>
      <c r="J116" s="186">
        <f t="shared" si="5"/>
        <v>-3653734</v>
      </c>
      <c r="K116" s="187" t="s">
        <v>4859</v>
      </c>
      <c r="L116" s="220">
        <v>669892645</v>
      </c>
      <c r="M116" s="220">
        <v>383350206</v>
      </c>
      <c r="N116" s="186">
        <f>L116+M116</f>
        <v>1053242851</v>
      </c>
      <c r="O116" s="186">
        <f>M116-M115-2000000</f>
        <v>-4040153</v>
      </c>
      <c r="P116" s="186">
        <f>N116-N115-2000000</f>
        <v>-7693887</v>
      </c>
      <c r="Q116" s="82">
        <v>2000000</v>
      </c>
    </row>
    <row r="117" spans="9:19">
      <c r="I117" s="187" t="s">
        <v>4863</v>
      </c>
      <c r="J117" s="186">
        <f t="shared" si="5"/>
        <v>-492645</v>
      </c>
      <c r="K117" s="187" t="s">
        <v>4862</v>
      </c>
      <c r="L117" s="220">
        <v>669400000</v>
      </c>
      <c r="M117" s="220">
        <v>385000000</v>
      </c>
      <c r="N117" s="186">
        <f t="shared" si="12"/>
        <v>1054400000</v>
      </c>
      <c r="O117" s="186">
        <f>M117-M116-100000</f>
        <v>1549794</v>
      </c>
      <c r="P117" s="186">
        <f>N117-N116-100000</f>
        <v>1057149</v>
      </c>
      <c r="Q117" s="82">
        <v>100000</v>
      </c>
    </row>
    <row r="118" spans="9:19">
      <c r="I118" s="205"/>
      <c r="J118" s="111">
        <f t="shared" si="5"/>
        <v>7765061</v>
      </c>
      <c r="K118" s="205" t="s">
        <v>4864</v>
      </c>
      <c r="L118" s="82">
        <v>677165061</v>
      </c>
      <c r="M118" s="82">
        <v>392704452</v>
      </c>
      <c r="N118" s="111">
        <f t="shared" si="12"/>
        <v>1069869513</v>
      </c>
      <c r="O118" s="111">
        <f t="shared" si="13"/>
        <v>7704452</v>
      </c>
      <c r="P118" s="111">
        <f>N118-N117</f>
        <v>15469513</v>
      </c>
      <c r="Q118" s="82">
        <v>0</v>
      </c>
    </row>
    <row r="119" spans="9:19">
      <c r="I119" s="205"/>
      <c r="J119" s="111">
        <f t="shared" si="5"/>
        <v>7834939</v>
      </c>
      <c r="K119" s="205" t="s">
        <v>4865</v>
      </c>
      <c r="L119" s="82">
        <v>685000000</v>
      </c>
      <c r="M119" s="82">
        <v>395000000</v>
      </c>
      <c r="N119" s="111">
        <f t="shared" si="12"/>
        <v>1080000000</v>
      </c>
      <c r="O119" s="111">
        <f t="shared" si="13"/>
        <v>2295548</v>
      </c>
      <c r="P119" s="111">
        <f>N119-N118</f>
        <v>10130487</v>
      </c>
      <c r="Q119" s="82">
        <v>0</v>
      </c>
    </row>
    <row r="120" spans="9:19">
      <c r="I120" s="187" t="s">
        <v>4867</v>
      </c>
      <c r="J120" s="186">
        <f>L120-L119-2100000</f>
        <v>2603523</v>
      </c>
      <c r="K120" s="187" t="s">
        <v>4866</v>
      </c>
      <c r="L120" s="220">
        <v>689703523</v>
      </c>
      <c r="M120" s="220">
        <v>399879880</v>
      </c>
      <c r="N120" s="186">
        <f t="shared" si="12"/>
        <v>1089583403</v>
      </c>
      <c r="O120" s="186">
        <f t="shared" si="13"/>
        <v>4879880</v>
      </c>
      <c r="P120" s="186">
        <f>N120-N119-2100000</f>
        <v>7483403</v>
      </c>
      <c r="Q120" s="82">
        <v>2100000</v>
      </c>
    </row>
    <row r="121" spans="9:19">
      <c r="I121" s="187" t="s">
        <v>4870</v>
      </c>
      <c r="J121" s="186">
        <f>L121-L120-100000</f>
        <v>1223636</v>
      </c>
      <c r="K121" s="187" t="s">
        <v>4869</v>
      </c>
      <c r="L121" s="220">
        <v>691027159</v>
      </c>
      <c r="M121" s="220">
        <v>401920713</v>
      </c>
      <c r="N121" s="186">
        <f t="shared" si="12"/>
        <v>1092947872</v>
      </c>
      <c r="O121" s="186">
        <f>M121-M120-100000</f>
        <v>1940833</v>
      </c>
      <c r="P121" s="186">
        <f>N121-N120-200000</f>
        <v>3164469</v>
      </c>
      <c r="Q121" s="82">
        <v>200000</v>
      </c>
    </row>
    <row r="122" spans="9:19">
      <c r="I122" s="205"/>
      <c r="J122" s="111">
        <f t="shared" si="5"/>
        <v>-3258218</v>
      </c>
      <c r="K122" s="205" t="s">
        <v>4872</v>
      </c>
      <c r="L122" s="82">
        <v>687768941</v>
      </c>
      <c r="M122" s="82">
        <v>400952125</v>
      </c>
      <c r="N122" s="111">
        <f t="shared" si="12"/>
        <v>1088721066</v>
      </c>
      <c r="O122" s="111">
        <f t="shared" si="13"/>
        <v>-968588</v>
      </c>
      <c r="P122" s="111">
        <f>N122-N121</f>
        <v>-4226806</v>
      </c>
      <c r="Q122" s="216">
        <v>0</v>
      </c>
    </row>
    <row r="123" spans="9:19">
      <c r="I123" s="187" t="s">
        <v>4878</v>
      </c>
      <c r="J123" s="186">
        <f>L123-L122-115000</f>
        <v>-1004989</v>
      </c>
      <c r="K123" s="187" t="s">
        <v>4874</v>
      </c>
      <c r="L123" s="220">
        <v>686878952</v>
      </c>
      <c r="M123" s="220">
        <v>402566982</v>
      </c>
      <c r="N123" s="186">
        <f>L123+M123</f>
        <v>1089445934</v>
      </c>
      <c r="O123" s="186">
        <f>M123-M122-115000</f>
        <v>1499857</v>
      </c>
      <c r="P123" s="186">
        <f>N123-N122-230000</f>
        <v>494868</v>
      </c>
      <c r="Q123" s="216">
        <v>230000</v>
      </c>
    </row>
    <row r="124" spans="9:19">
      <c r="I124" s="187" t="s">
        <v>4881</v>
      </c>
      <c r="J124" s="186">
        <f>L124-L123-900000</f>
        <v>16455514</v>
      </c>
      <c r="K124" s="187" t="s">
        <v>4880</v>
      </c>
      <c r="L124" s="220">
        <v>704234466</v>
      </c>
      <c r="M124" s="220">
        <v>413359717</v>
      </c>
      <c r="N124" s="210">
        <f t="shared" ref="N124:N145" si="14">L124+M124</f>
        <v>1117594183</v>
      </c>
      <c r="O124" s="186">
        <f t="shared" si="13"/>
        <v>10792735</v>
      </c>
      <c r="P124" s="186">
        <f>N124-N123-900000</f>
        <v>27248249</v>
      </c>
      <c r="Q124" s="216">
        <v>900000</v>
      </c>
    </row>
    <row r="125" spans="9:19">
      <c r="I125" s="187" t="s">
        <v>4883</v>
      </c>
      <c r="J125" s="186">
        <f>L125-L124-241774</f>
        <v>7847987</v>
      </c>
      <c r="K125" s="187" t="s">
        <v>4882</v>
      </c>
      <c r="L125" s="220">
        <v>712324227</v>
      </c>
      <c r="M125" s="220">
        <v>416450606</v>
      </c>
      <c r="N125" s="210">
        <f>L125+M125</f>
        <v>1128774833</v>
      </c>
      <c r="O125" s="186">
        <f>M125-M124-50000</f>
        <v>3040889</v>
      </c>
      <c r="P125" s="186">
        <f>N125-N124-291774</f>
        <v>10888876</v>
      </c>
      <c r="Q125" s="216">
        <v>291774</v>
      </c>
    </row>
    <row r="126" spans="9:19">
      <c r="I126" s="187" t="s">
        <v>4891</v>
      </c>
      <c r="J126" s="186">
        <f>L126-L125-5701774</f>
        <v>-18426154</v>
      </c>
      <c r="K126" s="187" t="s">
        <v>4890</v>
      </c>
      <c r="L126" s="220">
        <v>699599847</v>
      </c>
      <c r="M126" s="220">
        <v>407446033</v>
      </c>
      <c r="N126" s="186">
        <f t="shared" si="14"/>
        <v>1107045880</v>
      </c>
      <c r="O126" s="186">
        <f>M126-M125-50000</f>
        <v>-9054573</v>
      </c>
      <c r="P126" s="186">
        <f>N126-N125-5751774</f>
        <v>-27480727</v>
      </c>
      <c r="Q126" s="216">
        <v>5751774</v>
      </c>
    </row>
    <row r="127" spans="9:19">
      <c r="I127" s="229" t="s">
        <v>4896</v>
      </c>
      <c r="J127" s="230">
        <f t="shared" si="5"/>
        <v>9831878</v>
      </c>
      <c r="K127" s="229" t="s">
        <v>4892</v>
      </c>
      <c r="L127" s="231">
        <v>709431725</v>
      </c>
      <c r="M127" s="231">
        <v>415572724</v>
      </c>
      <c r="N127" s="230">
        <f t="shared" si="14"/>
        <v>1125004449</v>
      </c>
      <c r="O127" s="230">
        <f>M127-M126-25000</f>
        <v>8101691</v>
      </c>
      <c r="P127" s="230">
        <f>N127-N126-25000</f>
        <v>17933569</v>
      </c>
      <c r="Q127" s="216">
        <v>25000</v>
      </c>
    </row>
    <row r="128" spans="9:19">
      <c r="I128" s="97"/>
      <c r="J128" s="111">
        <f t="shared" si="5"/>
        <v>3212707</v>
      </c>
      <c r="K128" s="205" t="s">
        <v>4897</v>
      </c>
      <c r="L128" s="82">
        <v>712644432</v>
      </c>
      <c r="M128" s="82">
        <v>416860968</v>
      </c>
      <c r="N128" s="111">
        <f t="shared" si="14"/>
        <v>1129505400</v>
      </c>
      <c r="O128" s="111">
        <f t="shared" si="13"/>
        <v>1288244</v>
      </c>
      <c r="P128" s="111">
        <f>N128-N127</f>
        <v>4500951</v>
      </c>
      <c r="Q128" s="216">
        <v>0</v>
      </c>
    </row>
    <row r="129" spans="9:30">
      <c r="I129" s="19"/>
      <c r="J129" s="115">
        <f t="shared" si="5"/>
        <v>3661985</v>
      </c>
      <c r="K129" s="19" t="s">
        <v>4898</v>
      </c>
      <c r="L129" s="233">
        <v>716306417</v>
      </c>
      <c r="M129" s="233">
        <v>419768145</v>
      </c>
      <c r="N129" s="210">
        <f>L129+M129</f>
        <v>1136074562</v>
      </c>
      <c r="O129" s="115">
        <f>M129-M128</f>
        <v>2907177</v>
      </c>
      <c r="P129" s="115">
        <f>N129-N128</f>
        <v>6569162</v>
      </c>
      <c r="Q129" s="216">
        <v>0</v>
      </c>
    </row>
    <row r="130" spans="9:30">
      <c r="I130" s="187" t="s">
        <v>4902</v>
      </c>
      <c r="J130" s="186">
        <f t="shared" si="5"/>
        <v>-9284823</v>
      </c>
      <c r="K130" s="187" t="s">
        <v>4900</v>
      </c>
      <c r="L130" s="220">
        <v>707021594</v>
      </c>
      <c r="M130" s="220">
        <v>420305454</v>
      </c>
      <c r="N130" s="186">
        <f t="shared" si="14"/>
        <v>1127327048</v>
      </c>
      <c r="O130" s="186">
        <f>M130-M129-6800000</f>
        <v>-6262691</v>
      </c>
      <c r="P130" s="186">
        <f>N130-N129-6800000</f>
        <v>-15547514</v>
      </c>
      <c r="Q130" s="216">
        <v>6800000</v>
      </c>
      <c r="S130" t="s">
        <v>25</v>
      </c>
    </row>
    <row r="131" spans="9:30">
      <c r="I131" s="187" t="s">
        <v>4906</v>
      </c>
      <c r="J131" s="186">
        <f t="shared" si="5"/>
        <v>2112595</v>
      </c>
      <c r="K131" s="187" t="s">
        <v>4903</v>
      </c>
      <c r="L131" s="220">
        <v>709134189</v>
      </c>
      <c r="M131" s="220">
        <v>421097153</v>
      </c>
      <c r="N131" s="186">
        <f t="shared" si="14"/>
        <v>1130231342</v>
      </c>
      <c r="O131" s="186">
        <f>M131-M130-500000</f>
        <v>291699</v>
      </c>
      <c r="P131" s="186">
        <f>N131-N130-500000</f>
        <v>2404294</v>
      </c>
      <c r="Q131" s="216">
        <v>500000</v>
      </c>
      <c r="S131" t="s">
        <v>25</v>
      </c>
    </row>
    <row r="132" spans="9:30">
      <c r="I132" s="229" t="s">
        <v>4909</v>
      </c>
      <c r="J132" s="230">
        <f t="shared" si="5"/>
        <v>1064287</v>
      </c>
      <c r="K132" s="229" t="s">
        <v>4907</v>
      </c>
      <c r="L132" s="231">
        <v>710198476</v>
      </c>
      <c r="M132" s="231">
        <v>422434338</v>
      </c>
      <c r="N132" s="230">
        <f t="shared" si="14"/>
        <v>1132632814</v>
      </c>
      <c r="O132" s="230">
        <f>M132-M131-850000</f>
        <v>487185</v>
      </c>
      <c r="P132" s="230">
        <f>N132-N131-850000</f>
        <v>1551472</v>
      </c>
      <c r="Q132" s="216">
        <v>850000</v>
      </c>
    </row>
    <row r="133" spans="9:30">
      <c r="I133" s="205"/>
      <c r="J133" s="111">
        <f t="shared" si="5"/>
        <v>12623812</v>
      </c>
      <c r="K133" s="205" t="s">
        <v>4912</v>
      </c>
      <c r="L133" s="82">
        <v>722822288</v>
      </c>
      <c r="M133" s="82">
        <v>429606125</v>
      </c>
      <c r="N133" s="210">
        <f t="shared" si="14"/>
        <v>1152428413</v>
      </c>
      <c r="O133" s="111">
        <f t="shared" si="13"/>
        <v>7171787</v>
      </c>
      <c r="P133" s="111">
        <f>N133-N132</f>
        <v>19795599</v>
      </c>
      <c r="Q133" s="216">
        <v>0</v>
      </c>
    </row>
    <row r="134" spans="9:30">
      <c r="I134" s="205"/>
      <c r="J134" s="111">
        <f t="shared" si="5"/>
        <v>21458282</v>
      </c>
      <c r="K134" s="205" t="s">
        <v>4913</v>
      </c>
      <c r="L134" s="82">
        <v>744280570</v>
      </c>
      <c r="M134" s="82">
        <v>440002399</v>
      </c>
      <c r="N134" s="210">
        <f t="shared" si="14"/>
        <v>1184282969</v>
      </c>
      <c r="O134" s="111">
        <f t="shared" si="13"/>
        <v>10396274</v>
      </c>
      <c r="P134" s="111">
        <f>N134-N133</f>
        <v>31854556</v>
      </c>
      <c r="Q134" s="216">
        <v>0</v>
      </c>
    </row>
    <row r="135" spans="9:30">
      <c r="I135" s="187" t="s">
        <v>4927</v>
      </c>
      <c r="J135" s="186">
        <f>L135-L134-1130250</f>
        <v>-410820</v>
      </c>
      <c r="K135" s="187" t="s">
        <v>4915</v>
      </c>
      <c r="L135" s="220">
        <v>745000000</v>
      </c>
      <c r="M135" s="220">
        <v>437000000</v>
      </c>
      <c r="N135" s="186">
        <f t="shared" si="14"/>
        <v>1182000000</v>
      </c>
      <c r="O135" s="186">
        <f>M135-M134-1130250</f>
        <v>-4132649</v>
      </c>
      <c r="P135" s="186">
        <f>N135-N134-2260500</f>
        <v>-4543469</v>
      </c>
      <c r="Q135" s="216">
        <v>2260500</v>
      </c>
    </row>
    <row r="136" spans="9:30">
      <c r="I136" s="205"/>
      <c r="J136" s="111">
        <f t="shared" si="5"/>
        <v>-6610338</v>
      </c>
      <c r="K136" s="205" t="s">
        <v>4918</v>
      </c>
      <c r="L136" s="82">
        <v>738389662</v>
      </c>
      <c r="M136" s="82">
        <v>433994737</v>
      </c>
      <c r="N136" s="111">
        <f t="shared" si="14"/>
        <v>1172384399</v>
      </c>
      <c r="O136" s="111">
        <f t="shared" si="13"/>
        <v>-3005263</v>
      </c>
      <c r="P136" s="111">
        <f>N136-N135</f>
        <v>-9615601</v>
      </c>
      <c r="Q136" s="216">
        <v>0</v>
      </c>
    </row>
    <row r="137" spans="9:30">
      <c r="I137" s="205"/>
      <c r="J137" s="111">
        <f t="shared" si="5"/>
        <v>-6184317</v>
      </c>
      <c r="K137" s="205" t="s">
        <v>4921</v>
      </c>
      <c r="L137" s="82">
        <v>732205345</v>
      </c>
      <c r="M137" s="82">
        <v>433540549</v>
      </c>
      <c r="N137" s="111">
        <f t="shared" si="14"/>
        <v>1165745894</v>
      </c>
      <c r="O137" s="111">
        <f t="shared" si="13"/>
        <v>-454188</v>
      </c>
      <c r="P137" s="111">
        <f>N137-N136</f>
        <v>-6638505</v>
      </c>
      <c r="Q137" s="216">
        <v>0</v>
      </c>
    </row>
    <row r="138" spans="9:30">
      <c r="I138" s="205"/>
      <c r="J138" s="111">
        <f t="shared" si="5"/>
        <v>4122409</v>
      </c>
      <c r="K138" s="205" t="s">
        <v>4923</v>
      </c>
      <c r="L138" s="82">
        <v>736327754</v>
      </c>
      <c r="M138" s="82">
        <v>439057094</v>
      </c>
      <c r="N138" s="111">
        <f t="shared" si="14"/>
        <v>1175384848</v>
      </c>
      <c r="O138" s="111">
        <f t="shared" si="13"/>
        <v>5516545</v>
      </c>
      <c r="P138" s="111">
        <f>N138-N137</f>
        <v>9638954</v>
      </c>
      <c r="Q138" s="216">
        <v>0</v>
      </c>
      <c r="X138" s="94"/>
      <c r="Y138" s="94"/>
      <c r="Z138" s="94" t="s">
        <v>4573</v>
      </c>
      <c r="AA138" s="94"/>
    </row>
    <row r="139" spans="9:30">
      <c r="I139" s="187" t="s">
        <v>4926</v>
      </c>
      <c r="J139" s="186">
        <f>L139-L138-206000</f>
        <v>15013287</v>
      </c>
      <c r="K139" s="187" t="s">
        <v>4925</v>
      </c>
      <c r="L139" s="220">
        <v>751547041</v>
      </c>
      <c r="M139" s="220">
        <v>448656068</v>
      </c>
      <c r="N139" s="210">
        <f t="shared" si="14"/>
        <v>1200203109</v>
      </c>
      <c r="O139" s="186">
        <f>M139-M138-206000</f>
        <v>9392974</v>
      </c>
      <c r="P139" s="186">
        <f>N139-N138-412000</f>
        <v>24406261</v>
      </c>
      <c r="Q139" s="216">
        <v>412000</v>
      </c>
      <c r="X139" s="94"/>
      <c r="Y139" s="94"/>
      <c r="Z139" s="94" t="s">
        <v>4574</v>
      </c>
      <c r="AA139" s="202">
        <v>35441</v>
      </c>
      <c r="AD139" t="s">
        <v>25</v>
      </c>
    </row>
    <row r="140" spans="9:30" ht="90">
      <c r="I140" s="229" t="s">
        <v>4931</v>
      </c>
      <c r="J140" s="230">
        <f>L140-L139-50000</f>
        <v>22852739</v>
      </c>
      <c r="K140" s="229" t="s">
        <v>4930</v>
      </c>
      <c r="L140" s="231">
        <v>774449780</v>
      </c>
      <c r="M140" s="231">
        <v>460796198</v>
      </c>
      <c r="N140" s="210">
        <f t="shared" si="14"/>
        <v>1235245978</v>
      </c>
      <c r="O140" s="230">
        <f>M140-M139-50000</f>
        <v>12090130</v>
      </c>
      <c r="P140" s="230">
        <f>N140-N139-100000</f>
        <v>34942869</v>
      </c>
      <c r="Q140" s="216">
        <v>100000</v>
      </c>
      <c r="X140" s="22" t="s">
        <v>4577</v>
      </c>
      <c r="Y140" s="22" t="s">
        <v>4576</v>
      </c>
      <c r="Z140" s="22" t="s">
        <v>4575</v>
      </c>
      <c r="AA140" s="22" t="s">
        <v>4578</v>
      </c>
    </row>
    <row r="141" spans="9:30">
      <c r="I141" s="205"/>
      <c r="J141" s="111">
        <f t="shared" si="5"/>
        <v>13614989</v>
      </c>
      <c r="K141" s="205" t="s">
        <v>4933</v>
      </c>
      <c r="L141" s="82">
        <v>788064769</v>
      </c>
      <c r="M141" s="82">
        <v>470434493</v>
      </c>
      <c r="N141" s="210">
        <f t="shared" si="14"/>
        <v>1258499262</v>
      </c>
      <c r="O141" s="111">
        <f t="shared" si="13"/>
        <v>9638295</v>
      </c>
      <c r="P141" s="111">
        <f>N141-N140</f>
        <v>23253284</v>
      </c>
      <c r="Q141" s="216">
        <v>0</v>
      </c>
    </row>
    <row r="142" spans="9:30">
      <c r="I142" s="187" t="s">
        <v>4936</v>
      </c>
      <c r="J142" s="186">
        <f>L142-L141-105000</f>
        <v>7274368</v>
      </c>
      <c r="K142" s="187" t="s">
        <v>4934</v>
      </c>
      <c r="L142" s="220">
        <v>795444137</v>
      </c>
      <c r="M142" s="220">
        <v>496046411</v>
      </c>
      <c r="N142" s="210">
        <f t="shared" si="14"/>
        <v>1291490548</v>
      </c>
      <c r="O142" s="186">
        <f>M142-M141-20000000</f>
        <v>5611918</v>
      </c>
      <c r="P142" s="186">
        <f>N142-N141-20105000</f>
        <v>12886286</v>
      </c>
      <c r="Q142" s="216">
        <v>20105000</v>
      </c>
    </row>
    <row r="143" spans="9:30">
      <c r="I143" s="242" t="s">
        <v>4942</v>
      </c>
      <c r="J143" s="243">
        <f>L143-L142+21285588</f>
        <v>17942685</v>
      </c>
      <c r="K143" s="242" t="s">
        <v>4938</v>
      </c>
      <c r="L143" s="244">
        <v>792101234</v>
      </c>
      <c r="M143" s="244">
        <v>504721695</v>
      </c>
      <c r="N143" s="210">
        <f t="shared" si="14"/>
        <v>1296822929</v>
      </c>
      <c r="O143" s="243">
        <f t="shared" si="13"/>
        <v>8675284</v>
      </c>
      <c r="P143" s="243">
        <f>N143-N142+21285588</f>
        <v>26617969</v>
      </c>
      <c r="Q143" s="216">
        <v>-21285588</v>
      </c>
    </row>
    <row r="144" spans="9:30">
      <c r="I144" s="242" t="s">
        <v>4943</v>
      </c>
      <c r="J144" s="243">
        <f>L144-L143+5949277</f>
        <v>6616903</v>
      </c>
      <c r="K144" s="242" t="s">
        <v>4939</v>
      </c>
      <c r="L144" s="244">
        <v>792768860</v>
      </c>
      <c r="M144" s="244">
        <v>507955566</v>
      </c>
      <c r="N144" s="210">
        <f t="shared" si="14"/>
        <v>1300724426</v>
      </c>
      <c r="O144" s="243">
        <f t="shared" si="13"/>
        <v>3233871</v>
      </c>
      <c r="P144" s="243">
        <f>N144-N143+5949277</f>
        <v>9850774</v>
      </c>
      <c r="Q144" s="216">
        <v>-5949277</v>
      </c>
    </row>
    <row r="145" spans="9:23" ht="30">
      <c r="I145" s="226" t="s">
        <v>4944</v>
      </c>
      <c r="J145" s="227">
        <f>L145-L144+16266000</f>
        <v>-3424278</v>
      </c>
      <c r="K145" s="208" t="s">
        <v>976</v>
      </c>
      <c r="L145" s="228">
        <v>773078582</v>
      </c>
      <c r="M145" s="228">
        <v>483243300</v>
      </c>
      <c r="N145" s="227">
        <f t="shared" si="14"/>
        <v>1256321882</v>
      </c>
      <c r="O145" s="227">
        <f>M145-M144+24159150</f>
        <v>-553116</v>
      </c>
      <c r="P145" s="227">
        <f>N145-N144+40425150</f>
        <v>-3977394</v>
      </c>
      <c r="Q145" s="216">
        <v>-40425150</v>
      </c>
    </row>
    <row r="146" spans="9:23">
      <c r="I146" s="245" t="s">
        <v>4946</v>
      </c>
      <c r="J146" s="210">
        <f>L146-L145+15482124</f>
        <v>-6662026</v>
      </c>
      <c r="K146" s="209" t="s">
        <v>4945</v>
      </c>
      <c r="L146" s="246">
        <v>750934432</v>
      </c>
      <c r="M146" s="246">
        <v>477277384</v>
      </c>
      <c r="N146" s="210">
        <f t="shared" ref="N146:N203" si="15">L146+M146</f>
        <v>1228211816</v>
      </c>
      <c r="O146" s="210">
        <f>M146-M145-50000</f>
        <v>-6015916</v>
      </c>
      <c r="P146" s="210">
        <f>N146-N145-50000+15482124</f>
        <v>-12677942</v>
      </c>
      <c r="Q146" s="216">
        <f>50000-15482124</f>
        <v>-15432124</v>
      </c>
    </row>
    <row r="147" spans="9:23">
      <c r="I147" s="205"/>
      <c r="J147" s="111">
        <f t="shared" ref="J147:J199" si="16">L147-L146</f>
        <v>-5020195</v>
      </c>
      <c r="K147" s="205" t="s">
        <v>4947</v>
      </c>
      <c r="L147" s="82">
        <v>745914237</v>
      </c>
      <c r="M147" s="82">
        <v>473862216</v>
      </c>
      <c r="N147" s="111">
        <f t="shared" si="15"/>
        <v>1219776453</v>
      </c>
      <c r="O147" s="111">
        <f t="shared" ref="O147:O158" si="17">M147-M146</f>
        <v>-3415168</v>
      </c>
      <c r="P147" s="111">
        <f t="shared" ref="P147:P158" si="18">N147-N146</f>
        <v>-8435363</v>
      </c>
      <c r="Q147" s="216">
        <v>0</v>
      </c>
    </row>
    <row r="148" spans="9:23">
      <c r="I148" s="205"/>
      <c r="J148" s="111">
        <f t="shared" si="16"/>
        <v>-2990159</v>
      </c>
      <c r="K148" s="205" t="s">
        <v>4948</v>
      </c>
      <c r="L148" s="82">
        <v>742924078</v>
      </c>
      <c r="M148" s="82">
        <v>472064753</v>
      </c>
      <c r="N148" s="111">
        <f t="shared" si="15"/>
        <v>1214988831</v>
      </c>
      <c r="O148" s="111">
        <f t="shared" si="17"/>
        <v>-1797463</v>
      </c>
      <c r="P148" s="111">
        <f t="shared" si="18"/>
        <v>-4787622</v>
      </c>
      <c r="Q148" s="216">
        <v>0</v>
      </c>
      <c r="T148" t="s">
        <v>25</v>
      </c>
    </row>
    <row r="149" spans="9:23">
      <c r="I149" s="205"/>
      <c r="J149" s="111">
        <f t="shared" si="16"/>
        <v>-2104826</v>
      </c>
      <c r="K149" s="205" t="s">
        <v>4949</v>
      </c>
      <c r="L149" s="82">
        <v>740819252</v>
      </c>
      <c r="M149" s="82">
        <v>470305993</v>
      </c>
      <c r="N149" s="111">
        <f t="shared" si="15"/>
        <v>1211125245</v>
      </c>
      <c r="O149" s="111">
        <f t="shared" si="17"/>
        <v>-1758760</v>
      </c>
      <c r="P149" s="111">
        <f t="shared" si="18"/>
        <v>-3863586</v>
      </c>
      <c r="Q149" s="216">
        <v>0</v>
      </c>
      <c r="V149" t="s">
        <v>25</v>
      </c>
    </row>
    <row r="150" spans="9:23">
      <c r="I150" s="187" t="s">
        <v>4952</v>
      </c>
      <c r="J150" s="186">
        <f t="shared" si="16"/>
        <v>19640187</v>
      </c>
      <c r="K150" s="187" t="s">
        <v>4951</v>
      </c>
      <c r="L150" s="220">
        <v>760459439</v>
      </c>
      <c r="M150" s="220">
        <v>480341526</v>
      </c>
      <c r="N150" s="186">
        <f t="shared" si="15"/>
        <v>1240800965</v>
      </c>
      <c r="O150" s="186">
        <f>M150-M149-2480000</f>
        <v>7555533</v>
      </c>
      <c r="P150" s="186">
        <f>N150-N149-2480000</f>
        <v>27195720</v>
      </c>
      <c r="Q150" s="216">
        <v>2480000</v>
      </c>
    </row>
    <row r="151" spans="9:23">
      <c r="I151" s="205" t="s">
        <v>4955</v>
      </c>
      <c r="J151" s="111">
        <f>L151-L150-10000000</f>
        <v>7047541</v>
      </c>
      <c r="K151" s="205" t="s">
        <v>4954</v>
      </c>
      <c r="L151" s="82">
        <v>777506980</v>
      </c>
      <c r="M151" s="82">
        <v>487011941</v>
      </c>
      <c r="N151" s="210">
        <f t="shared" si="15"/>
        <v>1264518921</v>
      </c>
      <c r="O151" s="111">
        <f t="shared" si="17"/>
        <v>6670415</v>
      </c>
      <c r="P151" s="111">
        <f>N151-N150-10000000</f>
        <v>13717956</v>
      </c>
      <c r="Q151" s="216">
        <v>10000000</v>
      </c>
    </row>
    <row r="152" spans="9:23">
      <c r="I152" s="205"/>
      <c r="J152" s="111">
        <f t="shared" si="16"/>
        <v>12326187</v>
      </c>
      <c r="K152" s="205" t="s">
        <v>4956</v>
      </c>
      <c r="L152" s="82">
        <v>789833167</v>
      </c>
      <c r="M152" s="82">
        <v>496662271</v>
      </c>
      <c r="N152" s="210">
        <f t="shared" si="15"/>
        <v>1286495438</v>
      </c>
      <c r="O152" s="111">
        <f t="shared" si="17"/>
        <v>9650330</v>
      </c>
      <c r="P152" s="111">
        <f t="shared" si="18"/>
        <v>21976517</v>
      </c>
      <c r="Q152" s="216">
        <v>0</v>
      </c>
    </row>
    <row r="153" spans="9:23">
      <c r="I153" s="205"/>
      <c r="J153" s="111">
        <f t="shared" si="16"/>
        <v>-15331439</v>
      </c>
      <c r="K153" s="205" t="s">
        <v>4959</v>
      </c>
      <c r="L153" s="82">
        <v>774501728</v>
      </c>
      <c r="M153" s="82">
        <v>489029442</v>
      </c>
      <c r="N153" s="111">
        <f t="shared" si="15"/>
        <v>1263531170</v>
      </c>
      <c r="O153" s="111">
        <f t="shared" si="17"/>
        <v>-7632829</v>
      </c>
      <c r="P153" s="111">
        <f t="shared" si="18"/>
        <v>-22964268</v>
      </c>
      <c r="Q153" s="216">
        <v>0</v>
      </c>
    </row>
    <row r="154" spans="9:23">
      <c r="I154" s="205"/>
      <c r="J154" s="111">
        <f t="shared" si="16"/>
        <v>-32356446</v>
      </c>
      <c r="K154" s="205" t="s">
        <v>4960</v>
      </c>
      <c r="L154" s="82">
        <v>742145282</v>
      </c>
      <c r="M154" s="82">
        <v>468861007</v>
      </c>
      <c r="N154" s="111">
        <f t="shared" si="15"/>
        <v>1211006289</v>
      </c>
      <c r="O154" s="111">
        <f t="shared" si="17"/>
        <v>-20168435</v>
      </c>
      <c r="P154" s="111">
        <f t="shared" si="18"/>
        <v>-52524881</v>
      </c>
      <c r="Q154" s="216">
        <v>0</v>
      </c>
      <c r="S154" s="112"/>
    </row>
    <row r="155" spans="9:23">
      <c r="I155" s="205"/>
      <c r="J155" s="111">
        <f t="shared" si="16"/>
        <v>27087716</v>
      </c>
      <c r="K155" s="205" t="s">
        <v>4957</v>
      </c>
      <c r="L155" s="82">
        <v>769232998</v>
      </c>
      <c r="M155" s="82">
        <v>486200144</v>
      </c>
      <c r="N155" s="111">
        <f t="shared" si="15"/>
        <v>1255433142</v>
      </c>
      <c r="O155" s="111">
        <f t="shared" si="17"/>
        <v>17339137</v>
      </c>
      <c r="P155" s="111">
        <f t="shared" si="18"/>
        <v>44426853</v>
      </c>
      <c r="Q155" s="216">
        <v>0</v>
      </c>
    </row>
    <row r="156" spans="9:23">
      <c r="I156" s="205"/>
      <c r="J156" s="111">
        <f t="shared" si="16"/>
        <v>-11588296</v>
      </c>
      <c r="K156" s="205" t="s">
        <v>4961</v>
      </c>
      <c r="L156" s="82">
        <v>757644702</v>
      </c>
      <c r="M156" s="82">
        <v>479518419</v>
      </c>
      <c r="N156" s="111">
        <f t="shared" si="15"/>
        <v>1237163121</v>
      </c>
      <c r="O156" s="111">
        <f t="shared" si="17"/>
        <v>-6681725</v>
      </c>
      <c r="P156" s="111">
        <f t="shared" si="18"/>
        <v>-18270021</v>
      </c>
      <c r="Q156" s="216">
        <v>0</v>
      </c>
    </row>
    <row r="157" spans="9:23">
      <c r="I157" s="205"/>
      <c r="J157" s="111">
        <f t="shared" si="16"/>
        <v>44081635</v>
      </c>
      <c r="K157" s="205" t="s">
        <v>4210</v>
      </c>
      <c r="L157" s="82">
        <v>801726337</v>
      </c>
      <c r="M157" s="82">
        <v>506850552</v>
      </c>
      <c r="N157" s="210">
        <f t="shared" si="15"/>
        <v>1308576889</v>
      </c>
      <c r="O157" s="111">
        <f t="shared" si="17"/>
        <v>27332133</v>
      </c>
      <c r="P157" s="111">
        <f t="shared" si="18"/>
        <v>71413768</v>
      </c>
      <c r="Q157" s="216">
        <v>0</v>
      </c>
      <c r="W157" t="s">
        <v>25</v>
      </c>
    </row>
    <row r="158" spans="9:23">
      <c r="I158" s="205"/>
      <c r="J158" s="111">
        <f t="shared" si="16"/>
        <v>6630946</v>
      </c>
      <c r="K158" s="205" t="s">
        <v>4962</v>
      </c>
      <c r="L158" s="82">
        <v>808357283</v>
      </c>
      <c r="M158" s="82">
        <v>511928213</v>
      </c>
      <c r="N158" s="210">
        <f t="shared" si="15"/>
        <v>1320285496</v>
      </c>
      <c r="O158" s="111">
        <f t="shared" si="17"/>
        <v>5077661</v>
      </c>
      <c r="P158" s="111">
        <f t="shared" si="18"/>
        <v>11708607</v>
      </c>
      <c r="Q158" s="216">
        <v>0</v>
      </c>
    </row>
    <row r="159" spans="9:23">
      <c r="I159" s="205"/>
      <c r="J159" s="111">
        <f t="shared" si="16"/>
        <v>-3113999</v>
      </c>
      <c r="K159" s="205" t="s">
        <v>4958</v>
      </c>
      <c r="L159" s="82">
        <v>805243284</v>
      </c>
      <c r="M159" s="82">
        <v>510366011</v>
      </c>
      <c r="N159" s="111">
        <f t="shared" si="15"/>
        <v>1315609295</v>
      </c>
      <c r="O159" s="111">
        <f t="shared" ref="O159:O203" si="19">M159-M158</f>
        <v>-1562202</v>
      </c>
      <c r="P159" s="111">
        <f t="shared" ref="P159:P199" si="20">N159-N158</f>
        <v>-4676201</v>
      </c>
      <c r="Q159" s="216">
        <v>0</v>
      </c>
    </row>
    <row r="160" spans="9:23">
      <c r="I160" s="248" t="s">
        <v>4973</v>
      </c>
      <c r="J160" s="186">
        <f>L160-L159-1000000</f>
        <v>-11757327</v>
      </c>
      <c r="K160" s="187" t="s">
        <v>4972</v>
      </c>
      <c r="L160" s="220">
        <v>794485957</v>
      </c>
      <c r="M160" s="220">
        <v>500307505</v>
      </c>
      <c r="N160" s="186">
        <f t="shared" si="15"/>
        <v>1294793462</v>
      </c>
      <c r="O160" s="186">
        <f>M160-M159-400000</f>
        <v>-10458506</v>
      </c>
      <c r="P160" s="186">
        <f>N160-N159-1400000</f>
        <v>-22215833</v>
      </c>
      <c r="Q160" s="216">
        <v>1400000</v>
      </c>
    </row>
    <row r="161" spans="9:18">
      <c r="I161" s="205"/>
      <c r="J161" s="111">
        <f t="shared" si="16"/>
        <v>15301801</v>
      </c>
      <c r="K161" s="205" t="s">
        <v>4974</v>
      </c>
      <c r="L161" s="82">
        <v>809787758</v>
      </c>
      <c r="M161" s="82">
        <v>508573621</v>
      </c>
      <c r="N161" s="111">
        <f t="shared" si="15"/>
        <v>1318361379</v>
      </c>
      <c r="O161" s="111">
        <f t="shared" si="19"/>
        <v>8266116</v>
      </c>
      <c r="P161" s="111">
        <f t="shared" si="20"/>
        <v>23567917</v>
      </c>
    </row>
    <row r="162" spans="9:18">
      <c r="I162" s="229" t="s">
        <v>4976</v>
      </c>
      <c r="J162" s="230">
        <f>L162-L161-40000</f>
        <v>22492792</v>
      </c>
      <c r="K162" s="229" t="s">
        <v>4975</v>
      </c>
      <c r="L162" s="231">
        <v>832320550</v>
      </c>
      <c r="M162" s="231">
        <v>520218492</v>
      </c>
      <c r="N162" s="210">
        <f t="shared" si="15"/>
        <v>1352539042</v>
      </c>
      <c r="O162" s="230">
        <f>M162-M161-40000</f>
        <v>11604871</v>
      </c>
      <c r="P162" s="230">
        <f>N162-N161-80000</f>
        <v>34097663</v>
      </c>
      <c r="Q162" s="216">
        <v>80000</v>
      </c>
    </row>
    <row r="163" spans="9:18">
      <c r="I163" s="205"/>
      <c r="J163" s="111">
        <f t="shared" si="16"/>
        <v>17160356</v>
      </c>
      <c r="K163" s="205" t="s">
        <v>4978</v>
      </c>
      <c r="L163" s="82">
        <v>849480906</v>
      </c>
      <c r="M163" s="82">
        <v>529879172</v>
      </c>
      <c r="N163" s="210">
        <f t="shared" si="15"/>
        <v>1379360078</v>
      </c>
      <c r="O163" s="111">
        <f t="shared" si="19"/>
        <v>9660680</v>
      </c>
      <c r="P163" s="111">
        <f t="shared" si="20"/>
        <v>26821036</v>
      </c>
      <c r="Q163" s="216">
        <v>0</v>
      </c>
    </row>
    <row r="164" spans="9:18">
      <c r="I164" s="205"/>
      <c r="J164" s="111">
        <f t="shared" si="16"/>
        <v>-9629608</v>
      </c>
      <c r="K164" s="205" t="s">
        <v>4982</v>
      </c>
      <c r="L164" s="82">
        <v>839851298</v>
      </c>
      <c r="M164" s="82">
        <v>524867809</v>
      </c>
      <c r="N164" s="111">
        <f t="shared" si="15"/>
        <v>1364719107</v>
      </c>
      <c r="O164" s="111">
        <f t="shared" si="19"/>
        <v>-5011363</v>
      </c>
      <c r="P164" s="111">
        <f t="shared" si="20"/>
        <v>-14640971</v>
      </c>
      <c r="Q164" s="216">
        <v>0</v>
      </c>
    </row>
    <row r="165" spans="9:18">
      <c r="I165" s="229" t="s">
        <v>4984</v>
      </c>
      <c r="J165" s="230">
        <f>L165-L164-120000</f>
        <v>-2216696</v>
      </c>
      <c r="K165" s="229" t="s">
        <v>4983</v>
      </c>
      <c r="L165" s="231">
        <v>837754602</v>
      </c>
      <c r="M165" s="231">
        <v>524141818</v>
      </c>
      <c r="N165" s="230">
        <f t="shared" si="15"/>
        <v>1361896420</v>
      </c>
      <c r="O165" s="230">
        <f>M165-M164-200000</f>
        <v>-925991</v>
      </c>
      <c r="P165" s="230">
        <f>N165-N164-320000</f>
        <v>-3142687</v>
      </c>
      <c r="Q165" s="216">
        <v>320000</v>
      </c>
    </row>
    <row r="166" spans="9:18">
      <c r="I166" s="229" t="s">
        <v>4906</v>
      </c>
      <c r="J166" s="230">
        <f t="shared" si="16"/>
        <v>-5830761</v>
      </c>
      <c r="K166" s="229" t="s">
        <v>4987</v>
      </c>
      <c r="L166" s="231">
        <v>831923841</v>
      </c>
      <c r="M166" s="231">
        <v>520741895</v>
      </c>
      <c r="N166" s="230">
        <f t="shared" si="15"/>
        <v>1352665736</v>
      </c>
      <c r="O166" s="230">
        <f>M166-M165-500000</f>
        <v>-3899923</v>
      </c>
      <c r="P166" s="230">
        <f>N166-N165-500000</f>
        <v>-9730684</v>
      </c>
      <c r="Q166" s="216">
        <v>500000</v>
      </c>
    </row>
    <row r="167" spans="9:18">
      <c r="I167" s="229" t="s">
        <v>4906</v>
      </c>
      <c r="J167" s="230">
        <f t="shared" si="16"/>
        <v>-22467551</v>
      </c>
      <c r="K167" s="229" t="s">
        <v>4989</v>
      </c>
      <c r="L167" s="231">
        <v>809456290</v>
      </c>
      <c r="M167" s="231">
        <v>509313372</v>
      </c>
      <c r="N167" s="230">
        <f t="shared" si="15"/>
        <v>1318769662</v>
      </c>
      <c r="O167" s="230">
        <f>M167-M166-500000</f>
        <v>-11928523</v>
      </c>
      <c r="P167" s="230">
        <f>N167-N166-500000</f>
        <v>-34396074</v>
      </c>
      <c r="Q167" s="216">
        <v>500000</v>
      </c>
    </row>
    <row r="168" spans="9:18">
      <c r="I168" s="229" t="s">
        <v>4990</v>
      </c>
      <c r="J168" s="230">
        <f>L168-L167-249000</f>
        <v>-15588738</v>
      </c>
      <c r="K168" s="229" t="s">
        <v>4980</v>
      </c>
      <c r="L168" s="231">
        <v>794116552</v>
      </c>
      <c r="M168" s="231">
        <v>501172095</v>
      </c>
      <c r="N168" s="230">
        <f t="shared" si="15"/>
        <v>1295288647</v>
      </c>
      <c r="O168" s="230">
        <f>M168-M167-250000</f>
        <v>-8391277</v>
      </c>
      <c r="P168" s="230">
        <f>N168-N167-499000</f>
        <v>-23980015</v>
      </c>
      <c r="Q168" s="216">
        <v>499000</v>
      </c>
    </row>
    <row r="169" spans="9:18">
      <c r="I169" s="205"/>
      <c r="J169" s="111">
        <f t="shared" si="16"/>
        <v>11269240</v>
      </c>
      <c r="K169" s="205" t="s">
        <v>4991</v>
      </c>
      <c r="L169" s="82">
        <v>805385792</v>
      </c>
      <c r="M169" s="82">
        <v>507195022</v>
      </c>
      <c r="N169" s="111">
        <f t="shared" si="15"/>
        <v>1312580814</v>
      </c>
      <c r="O169" s="111">
        <f t="shared" si="19"/>
        <v>6022927</v>
      </c>
      <c r="P169" s="111">
        <f t="shared" si="20"/>
        <v>17292167</v>
      </c>
      <c r="Q169" s="216">
        <v>0</v>
      </c>
    </row>
    <row r="170" spans="9:18">
      <c r="I170" s="205"/>
      <c r="J170" s="111">
        <f t="shared" si="16"/>
        <v>-18119284</v>
      </c>
      <c r="K170" s="205" t="s">
        <v>4994</v>
      </c>
      <c r="L170" s="82">
        <v>787266508</v>
      </c>
      <c r="M170" s="82">
        <v>498492039</v>
      </c>
      <c r="N170" s="111">
        <f t="shared" si="15"/>
        <v>1285758547</v>
      </c>
      <c r="O170" s="111">
        <f t="shared" si="19"/>
        <v>-8702983</v>
      </c>
      <c r="P170" s="111">
        <f t="shared" si="20"/>
        <v>-26822267</v>
      </c>
      <c r="Q170" s="216">
        <v>0</v>
      </c>
    </row>
    <row r="171" spans="9:18">
      <c r="I171" s="205"/>
      <c r="J171" s="111">
        <f t="shared" si="16"/>
        <v>19151757</v>
      </c>
      <c r="K171" s="205" t="s">
        <v>3835</v>
      </c>
      <c r="L171" s="82">
        <v>806418265</v>
      </c>
      <c r="M171" s="82">
        <v>508251365</v>
      </c>
      <c r="N171" s="111">
        <f t="shared" si="15"/>
        <v>1314669630</v>
      </c>
      <c r="O171" s="111">
        <f t="shared" si="19"/>
        <v>9759326</v>
      </c>
      <c r="P171" s="111">
        <f t="shared" si="20"/>
        <v>28911083</v>
      </c>
      <c r="Q171" s="216">
        <v>0</v>
      </c>
    </row>
    <row r="172" spans="9:18">
      <c r="I172" s="205"/>
      <c r="J172" s="111">
        <f t="shared" si="16"/>
        <v>-130356</v>
      </c>
      <c r="K172" s="205" t="s">
        <v>5002</v>
      </c>
      <c r="L172" s="82">
        <v>806287909</v>
      </c>
      <c r="M172" s="233">
        <v>508728805</v>
      </c>
      <c r="N172" s="111">
        <f t="shared" si="15"/>
        <v>1315016714</v>
      </c>
      <c r="O172" s="111">
        <f t="shared" si="19"/>
        <v>477440</v>
      </c>
      <c r="P172" s="111">
        <f t="shared" si="20"/>
        <v>347084</v>
      </c>
      <c r="Q172" s="216">
        <v>0</v>
      </c>
    </row>
    <row r="173" spans="9:18">
      <c r="I173" s="205"/>
      <c r="J173" s="111">
        <f t="shared" si="16"/>
        <v>-4205755</v>
      </c>
      <c r="K173" s="205" t="s">
        <v>5003</v>
      </c>
      <c r="L173" s="82">
        <v>802082154</v>
      </c>
      <c r="M173" s="82">
        <v>508611485</v>
      </c>
      <c r="N173" s="111">
        <f t="shared" si="15"/>
        <v>1310693639</v>
      </c>
      <c r="O173" s="111">
        <f t="shared" si="19"/>
        <v>-117320</v>
      </c>
      <c r="P173" s="111">
        <f t="shared" si="20"/>
        <v>-4323075</v>
      </c>
      <c r="Q173" s="216">
        <v>0</v>
      </c>
      <c r="R173" t="s">
        <v>25</v>
      </c>
    </row>
    <row r="174" spans="9:18">
      <c r="I174" s="229" t="s">
        <v>5006</v>
      </c>
      <c r="J174" s="230">
        <f>L174-L173-65000</f>
        <v>5888390</v>
      </c>
      <c r="K174" s="229" t="s">
        <v>5005</v>
      </c>
      <c r="L174" s="231">
        <v>808035544</v>
      </c>
      <c r="M174" s="231">
        <v>512177913</v>
      </c>
      <c r="N174" s="230">
        <f t="shared" si="15"/>
        <v>1320213457</v>
      </c>
      <c r="O174" s="230">
        <f t="shared" si="19"/>
        <v>3566428</v>
      </c>
      <c r="P174" s="230">
        <f>N174-N173-65000</f>
        <v>9454818</v>
      </c>
      <c r="Q174" s="216">
        <v>65000</v>
      </c>
    </row>
    <row r="175" spans="9:18">
      <c r="I175" s="205"/>
      <c r="J175" s="111">
        <f t="shared" si="16"/>
        <v>347325</v>
      </c>
      <c r="K175" s="205" t="s">
        <v>4211</v>
      </c>
      <c r="L175" s="82">
        <v>808382869</v>
      </c>
      <c r="M175" s="82">
        <v>512740969</v>
      </c>
      <c r="N175" s="111">
        <f t="shared" si="15"/>
        <v>1321123838</v>
      </c>
      <c r="O175" s="111">
        <f t="shared" si="19"/>
        <v>563056</v>
      </c>
      <c r="P175" s="111">
        <f t="shared" si="20"/>
        <v>910381</v>
      </c>
      <c r="Q175" s="216">
        <v>0</v>
      </c>
    </row>
    <row r="176" spans="9:18">
      <c r="I176" s="208" t="s">
        <v>5011</v>
      </c>
      <c r="J176" s="227">
        <f>L176-L175+305807</f>
        <v>8668560</v>
      </c>
      <c r="K176" s="208" t="s">
        <v>5009</v>
      </c>
      <c r="L176" s="228">
        <v>816745622</v>
      </c>
      <c r="M176" s="228">
        <v>516127148</v>
      </c>
      <c r="N176" s="227">
        <f t="shared" si="15"/>
        <v>1332872770</v>
      </c>
      <c r="O176" s="227">
        <f>M176-M175+305807</f>
        <v>3691986</v>
      </c>
      <c r="P176" s="227">
        <f>N176-N175+611614</f>
        <v>12360546</v>
      </c>
      <c r="Q176" s="216">
        <v>-611614</v>
      </c>
    </row>
    <row r="177" spans="9:17">
      <c r="I177" s="150" t="s">
        <v>5012</v>
      </c>
      <c r="J177" s="227">
        <f>L177-L176+63348</f>
        <v>4837676</v>
      </c>
      <c r="K177" s="208" t="s">
        <v>5010</v>
      </c>
      <c r="L177" s="228">
        <v>821519950</v>
      </c>
      <c r="M177" s="228">
        <v>505943649</v>
      </c>
      <c r="N177" s="227">
        <f t="shared" si="15"/>
        <v>1327463599</v>
      </c>
      <c r="O177" s="227">
        <f>M177-M176+13076601</f>
        <v>2893102</v>
      </c>
      <c r="P177" s="227">
        <f>N177-N176+13139949</f>
        <v>7730778</v>
      </c>
      <c r="Q177" s="216">
        <v>-13139949</v>
      </c>
    </row>
    <row r="178" spans="9:17">
      <c r="I178" s="249" t="s">
        <v>5015</v>
      </c>
      <c r="J178" s="250">
        <f>L178-L177-50000</f>
        <v>30757186</v>
      </c>
      <c r="K178" s="249" t="s">
        <v>5014</v>
      </c>
      <c r="L178" s="251">
        <v>852327136</v>
      </c>
      <c r="M178" s="251">
        <v>521297098</v>
      </c>
      <c r="N178" s="210">
        <f t="shared" si="15"/>
        <v>1373624234</v>
      </c>
      <c r="O178" s="250">
        <f>M178-M177+1330520</f>
        <v>16683969</v>
      </c>
      <c r="P178" s="250">
        <f t="shared" si="20"/>
        <v>46160635</v>
      </c>
      <c r="Q178" s="216">
        <v>1280520</v>
      </c>
    </row>
    <row r="179" spans="9:17">
      <c r="I179" s="205"/>
      <c r="J179" s="111">
        <f t="shared" si="16"/>
        <v>3566567</v>
      </c>
      <c r="K179" s="205" t="s">
        <v>4981</v>
      </c>
      <c r="L179" s="82">
        <v>855893703</v>
      </c>
      <c r="M179" s="82">
        <v>523555571</v>
      </c>
      <c r="N179" s="210">
        <f t="shared" si="15"/>
        <v>1379449274</v>
      </c>
      <c r="O179" s="111">
        <f t="shared" si="19"/>
        <v>2258473</v>
      </c>
      <c r="P179" s="111">
        <f t="shared" si="20"/>
        <v>5825040</v>
      </c>
      <c r="Q179" s="216">
        <v>0</v>
      </c>
    </row>
    <row r="180" spans="9:17">
      <c r="I180" s="205"/>
      <c r="J180" s="111">
        <f t="shared" si="16"/>
        <v>38722880</v>
      </c>
      <c r="K180" s="205" t="s">
        <v>5020</v>
      </c>
      <c r="L180" s="82">
        <v>894616583</v>
      </c>
      <c r="M180" s="82">
        <v>542439358</v>
      </c>
      <c r="N180" s="210">
        <f t="shared" si="15"/>
        <v>1437055941</v>
      </c>
      <c r="O180" s="111">
        <f t="shared" si="19"/>
        <v>18883787</v>
      </c>
      <c r="P180" s="111">
        <f t="shared" si="20"/>
        <v>57606667</v>
      </c>
      <c r="Q180" s="216">
        <v>0</v>
      </c>
    </row>
    <row r="181" spans="9:17">
      <c r="I181" s="205"/>
      <c r="J181" s="111">
        <f t="shared" si="16"/>
        <v>16136832</v>
      </c>
      <c r="K181" s="205" t="s">
        <v>5023</v>
      </c>
      <c r="L181" s="82">
        <v>910753415</v>
      </c>
      <c r="M181" s="82">
        <v>556456529</v>
      </c>
      <c r="N181" s="210">
        <f>L181+M181</f>
        <v>1467209944</v>
      </c>
      <c r="O181" s="111">
        <f t="shared" si="19"/>
        <v>14017171</v>
      </c>
      <c r="P181" s="111">
        <f t="shared" si="20"/>
        <v>30154003</v>
      </c>
      <c r="Q181" s="216">
        <v>0</v>
      </c>
    </row>
    <row r="182" spans="9:17">
      <c r="I182" s="205"/>
      <c r="J182" s="111">
        <f t="shared" si="16"/>
        <v>12506133</v>
      </c>
      <c r="K182" s="205" t="s">
        <v>5024</v>
      </c>
      <c r="L182" s="82">
        <v>923259548</v>
      </c>
      <c r="M182" s="82">
        <v>567570020</v>
      </c>
      <c r="N182" s="210">
        <f t="shared" si="15"/>
        <v>1490829568</v>
      </c>
      <c r="O182" s="111">
        <f t="shared" si="19"/>
        <v>11113491</v>
      </c>
      <c r="P182" s="111">
        <f t="shared" si="20"/>
        <v>23619624</v>
      </c>
      <c r="Q182" s="216">
        <v>0</v>
      </c>
    </row>
    <row r="183" spans="9:17">
      <c r="I183" s="205"/>
      <c r="J183" s="111">
        <f t="shared" si="16"/>
        <v>-6894672</v>
      </c>
      <c r="K183" s="205" t="s">
        <v>5029</v>
      </c>
      <c r="L183" s="82">
        <v>916364876</v>
      </c>
      <c r="M183" s="82">
        <v>564106459</v>
      </c>
      <c r="N183" s="111">
        <f t="shared" si="15"/>
        <v>1480471335</v>
      </c>
      <c r="O183" s="111">
        <f t="shared" si="19"/>
        <v>-3463561</v>
      </c>
      <c r="P183" s="111">
        <f t="shared" si="20"/>
        <v>-10358233</v>
      </c>
      <c r="Q183" s="216">
        <v>0</v>
      </c>
    </row>
    <row r="184" spans="9:17">
      <c r="I184" s="205"/>
      <c r="J184" s="111">
        <f t="shared" si="16"/>
        <v>-11657822</v>
      </c>
      <c r="K184" s="205" t="s">
        <v>5030</v>
      </c>
      <c r="L184" s="82">
        <v>904707054</v>
      </c>
      <c r="M184" s="82">
        <v>557394961</v>
      </c>
      <c r="N184" s="111">
        <f t="shared" si="15"/>
        <v>1462102015</v>
      </c>
      <c r="O184" s="111">
        <f t="shared" si="19"/>
        <v>-6711498</v>
      </c>
      <c r="P184" s="111">
        <f t="shared" si="20"/>
        <v>-18369320</v>
      </c>
      <c r="Q184" s="216">
        <v>0</v>
      </c>
    </row>
    <row r="185" spans="9:17">
      <c r="I185" s="187" t="s">
        <v>5033</v>
      </c>
      <c r="J185" s="186">
        <f>L185-L184-200000</f>
        <v>15983884</v>
      </c>
      <c r="K185" s="187" t="s">
        <v>5031</v>
      </c>
      <c r="L185" s="220">
        <v>920890938</v>
      </c>
      <c r="M185" s="220">
        <v>566042468</v>
      </c>
      <c r="N185" s="186">
        <f t="shared" si="15"/>
        <v>1486933406</v>
      </c>
      <c r="O185" s="186">
        <f t="shared" si="19"/>
        <v>8647507</v>
      </c>
      <c r="P185" s="186">
        <f>N185-N184-200000</f>
        <v>24631391</v>
      </c>
      <c r="Q185" s="216">
        <v>200000</v>
      </c>
    </row>
    <row r="186" spans="9:17">
      <c r="I186" s="187" t="s">
        <v>5040</v>
      </c>
      <c r="J186" s="186">
        <f>L186-L185-30000</f>
        <v>1392982</v>
      </c>
      <c r="K186" s="187" t="s">
        <v>5034</v>
      </c>
      <c r="L186" s="220">
        <v>922313920</v>
      </c>
      <c r="M186" s="220">
        <v>567221668</v>
      </c>
      <c r="N186" s="186">
        <f t="shared" si="15"/>
        <v>1489535588</v>
      </c>
      <c r="O186" s="186">
        <f t="shared" si="19"/>
        <v>1179200</v>
      </c>
      <c r="P186" s="186">
        <f>N186-N185-30000</f>
        <v>2572182</v>
      </c>
      <c r="Q186" s="216">
        <v>30000</v>
      </c>
    </row>
    <row r="187" spans="9:17">
      <c r="I187" s="205" t="s">
        <v>5045</v>
      </c>
      <c r="J187" s="111">
        <f t="shared" si="16"/>
        <v>-1865454</v>
      </c>
      <c r="K187" s="205" t="s">
        <v>5044</v>
      </c>
      <c r="L187" s="82">
        <v>920448466</v>
      </c>
      <c r="M187" s="82">
        <v>581598140</v>
      </c>
      <c r="N187" s="111">
        <f t="shared" si="15"/>
        <v>1502046606</v>
      </c>
      <c r="O187" s="111">
        <f>M187-M186-14340000</f>
        <v>36472</v>
      </c>
      <c r="P187" s="111">
        <f>N187-N186-14340000</f>
        <v>-1828982</v>
      </c>
      <c r="Q187" s="216">
        <v>14340000</v>
      </c>
    </row>
    <row r="188" spans="9:17">
      <c r="I188" s="205"/>
      <c r="J188" s="111">
        <f t="shared" si="16"/>
        <v>12522279</v>
      </c>
      <c r="K188" s="205" t="s">
        <v>5046</v>
      </c>
      <c r="L188" s="82">
        <v>932970745</v>
      </c>
      <c r="M188" s="82">
        <v>587671418</v>
      </c>
      <c r="N188" s="210">
        <f t="shared" si="15"/>
        <v>1520642163</v>
      </c>
      <c r="O188" s="111">
        <f t="shared" si="19"/>
        <v>6073278</v>
      </c>
      <c r="P188" s="111">
        <f t="shared" si="20"/>
        <v>18595557</v>
      </c>
      <c r="Q188" s="216">
        <v>0</v>
      </c>
    </row>
    <row r="189" spans="9:17">
      <c r="I189" s="205"/>
      <c r="J189" s="111">
        <f t="shared" si="16"/>
        <v>18096784</v>
      </c>
      <c r="K189" s="205" t="s">
        <v>4993</v>
      </c>
      <c r="L189" s="82">
        <v>951067529</v>
      </c>
      <c r="M189" s="82">
        <v>596275041</v>
      </c>
      <c r="N189" s="210">
        <f t="shared" si="15"/>
        <v>1547342570</v>
      </c>
      <c r="O189" s="111">
        <f t="shared" si="19"/>
        <v>8603623</v>
      </c>
      <c r="P189" s="111">
        <f t="shared" si="20"/>
        <v>26700407</v>
      </c>
      <c r="Q189" s="216">
        <v>0</v>
      </c>
    </row>
    <row r="190" spans="9:17" ht="30">
      <c r="I190" s="248" t="s">
        <v>5051</v>
      </c>
      <c r="J190" s="186">
        <f>L190-L189+4000000</f>
        <v>-1393565</v>
      </c>
      <c r="K190" s="187" t="s">
        <v>5050</v>
      </c>
      <c r="L190" s="220">
        <v>945673964</v>
      </c>
      <c r="M190" s="220">
        <v>604047583</v>
      </c>
      <c r="N190" s="186">
        <f t="shared" si="15"/>
        <v>1549721547</v>
      </c>
      <c r="O190" s="186">
        <f>M190-M189-10000000</f>
        <v>-2227458</v>
      </c>
      <c r="P190" s="186">
        <f>N190-N189-6000000</f>
        <v>-3621023</v>
      </c>
      <c r="Q190" s="216">
        <v>6000000</v>
      </c>
    </row>
    <row r="191" spans="9:17">
      <c r="I191" s="205"/>
      <c r="J191" s="111">
        <f t="shared" si="16"/>
        <v>3150981</v>
      </c>
      <c r="K191" s="205" t="s">
        <v>5052</v>
      </c>
      <c r="L191" s="82">
        <v>948824945</v>
      </c>
      <c r="M191" s="82">
        <v>605597895</v>
      </c>
      <c r="N191" s="210">
        <f t="shared" si="15"/>
        <v>1554422840</v>
      </c>
      <c r="O191" s="111">
        <f t="shared" si="19"/>
        <v>1550312</v>
      </c>
      <c r="P191" s="111">
        <f t="shared" si="20"/>
        <v>4701293</v>
      </c>
      <c r="Q191" s="216">
        <v>0</v>
      </c>
    </row>
    <row r="192" spans="9:17">
      <c r="I192" s="205"/>
      <c r="J192" s="111">
        <f t="shared" si="16"/>
        <v>-10638388</v>
      </c>
      <c r="K192" s="205" t="s">
        <v>5053</v>
      </c>
      <c r="L192" s="82">
        <v>938186557</v>
      </c>
      <c r="M192" s="82">
        <v>598751030</v>
      </c>
      <c r="N192" s="111">
        <f t="shared" si="15"/>
        <v>1536937587</v>
      </c>
      <c r="O192" s="111">
        <f t="shared" si="19"/>
        <v>-6846865</v>
      </c>
      <c r="P192" s="111">
        <f t="shared" si="20"/>
        <v>-17485253</v>
      </c>
      <c r="Q192" s="216">
        <v>0</v>
      </c>
    </row>
    <row r="193" spans="9:17">
      <c r="I193" s="205"/>
      <c r="J193" s="111">
        <f t="shared" si="16"/>
        <v>-21535837</v>
      </c>
      <c r="K193" s="205" t="s">
        <v>4316</v>
      </c>
      <c r="L193" s="82">
        <v>916650720</v>
      </c>
      <c r="M193" s="82">
        <v>586585010</v>
      </c>
      <c r="N193" s="111">
        <f t="shared" si="15"/>
        <v>1503235730</v>
      </c>
      <c r="O193" s="111">
        <f t="shared" si="19"/>
        <v>-12166020</v>
      </c>
      <c r="P193" s="111">
        <f t="shared" si="20"/>
        <v>-33701857</v>
      </c>
      <c r="Q193" s="216">
        <v>0</v>
      </c>
    </row>
    <row r="194" spans="9:17">
      <c r="I194" s="19"/>
      <c r="J194" s="115">
        <f>L194-L193</f>
        <v>-15375391</v>
      </c>
      <c r="K194" s="19" t="s">
        <v>5055</v>
      </c>
      <c r="L194" s="233">
        <v>901275329</v>
      </c>
      <c r="M194" s="233">
        <v>583098793</v>
      </c>
      <c r="N194" s="115">
        <f>L194+M194</f>
        <v>1484374122</v>
      </c>
      <c r="O194" s="115">
        <f t="shared" si="19"/>
        <v>-3486217</v>
      </c>
      <c r="P194" s="115">
        <f>N194-N193</f>
        <v>-18861608</v>
      </c>
      <c r="Q194" s="216">
        <v>0</v>
      </c>
    </row>
    <row r="195" spans="9:17">
      <c r="I195" s="187" t="s">
        <v>5060</v>
      </c>
      <c r="J195" s="186">
        <f>L195-L194-150000</f>
        <v>17593478</v>
      </c>
      <c r="K195" s="187" t="s">
        <v>5058</v>
      </c>
      <c r="L195" s="220">
        <v>919018807</v>
      </c>
      <c r="M195" s="220">
        <v>589857160</v>
      </c>
      <c r="N195" s="186">
        <f t="shared" si="15"/>
        <v>1508875967</v>
      </c>
      <c r="O195" s="186">
        <f>M195-M194</f>
        <v>6758367</v>
      </c>
      <c r="P195" s="186">
        <f>N195-N194-150000</f>
        <v>24351845</v>
      </c>
      <c r="Q195" s="216">
        <v>150000</v>
      </c>
    </row>
    <row r="196" spans="9:17">
      <c r="I196" s="205"/>
      <c r="J196" s="111">
        <f t="shared" si="16"/>
        <v>32160045</v>
      </c>
      <c r="K196" s="205" t="s">
        <v>5061</v>
      </c>
      <c r="L196" s="82">
        <v>951178852</v>
      </c>
      <c r="M196" s="82">
        <v>603949839</v>
      </c>
      <c r="N196" s="210">
        <f t="shared" si="15"/>
        <v>1555128691</v>
      </c>
      <c r="O196" s="111">
        <f t="shared" si="19"/>
        <v>14092679</v>
      </c>
      <c r="P196" s="111">
        <f t="shared" si="20"/>
        <v>46252724</v>
      </c>
      <c r="Q196" s="216">
        <v>0</v>
      </c>
    </row>
    <row r="197" spans="9:17">
      <c r="I197" s="205"/>
      <c r="J197" s="111">
        <f t="shared" si="16"/>
        <v>9807002</v>
      </c>
      <c r="K197" s="205" t="s">
        <v>5062</v>
      </c>
      <c r="L197" s="82">
        <v>960985854</v>
      </c>
      <c r="M197" s="82">
        <v>620237864</v>
      </c>
      <c r="N197" s="210">
        <f t="shared" si="15"/>
        <v>1581223718</v>
      </c>
      <c r="O197" s="111">
        <f t="shared" si="19"/>
        <v>16288025</v>
      </c>
      <c r="P197" s="111">
        <f t="shared" si="20"/>
        <v>26095027</v>
      </c>
      <c r="Q197" s="216">
        <v>0</v>
      </c>
    </row>
    <row r="198" spans="9:17">
      <c r="I198" s="205"/>
      <c r="J198" s="111">
        <f t="shared" si="16"/>
        <v>19013006</v>
      </c>
      <c r="K198" s="205" t="s">
        <v>5065</v>
      </c>
      <c r="L198" s="82">
        <v>979998860</v>
      </c>
      <c r="M198" s="82">
        <v>637744664</v>
      </c>
      <c r="N198" s="210">
        <f t="shared" si="15"/>
        <v>1617743524</v>
      </c>
      <c r="O198" s="111">
        <f t="shared" si="19"/>
        <v>17506800</v>
      </c>
      <c r="P198" s="111">
        <f t="shared" si="20"/>
        <v>36519806</v>
      </c>
      <c r="Q198" s="216">
        <v>0</v>
      </c>
    </row>
    <row r="199" spans="9:17">
      <c r="I199" s="205"/>
      <c r="J199" s="111">
        <f t="shared" si="16"/>
        <v>12077451</v>
      </c>
      <c r="K199" s="205" t="s">
        <v>5090</v>
      </c>
      <c r="L199" s="82">
        <v>992076311</v>
      </c>
      <c r="M199" s="82">
        <v>638214788</v>
      </c>
      <c r="N199" s="210">
        <f t="shared" si="15"/>
        <v>1630291099</v>
      </c>
      <c r="O199" s="111">
        <f t="shared" si="19"/>
        <v>470124</v>
      </c>
      <c r="P199" s="111">
        <f t="shared" si="20"/>
        <v>12547575</v>
      </c>
      <c r="Q199" s="216">
        <v>0</v>
      </c>
    </row>
    <row r="200" spans="9:17">
      <c r="I200" s="187" t="s">
        <v>5093</v>
      </c>
      <c r="J200" s="186">
        <f>L200-L199-400000</f>
        <v>-7612896</v>
      </c>
      <c r="K200" s="187" t="s">
        <v>5091</v>
      </c>
      <c r="L200" s="220">
        <v>984863415</v>
      </c>
      <c r="M200" s="220">
        <v>632226484</v>
      </c>
      <c r="N200" s="186">
        <f t="shared" si="15"/>
        <v>1617089899</v>
      </c>
      <c r="O200" s="186">
        <f t="shared" si="19"/>
        <v>-5988304</v>
      </c>
      <c r="P200" s="186">
        <f>N200-N199-400000</f>
        <v>-13601200</v>
      </c>
      <c r="Q200" s="216">
        <v>400000</v>
      </c>
    </row>
    <row r="201" spans="9:17">
      <c r="I201" s="208" t="s">
        <v>5096</v>
      </c>
      <c r="J201" s="227">
        <f>L201-L200+100000</f>
        <v>12509920</v>
      </c>
      <c r="K201" s="208" t="s">
        <v>5094</v>
      </c>
      <c r="L201" s="228">
        <v>997273335</v>
      </c>
      <c r="M201" s="228">
        <v>639479822</v>
      </c>
      <c r="N201" s="210">
        <f t="shared" si="15"/>
        <v>1636753157</v>
      </c>
      <c r="O201" s="227">
        <f t="shared" si="19"/>
        <v>7253338</v>
      </c>
      <c r="P201" s="227">
        <f>N201-N200+100000</f>
        <v>19763258</v>
      </c>
      <c r="Q201" s="216">
        <v>-100000</v>
      </c>
    </row>
    <row r="202" spans="9:17">
      <c r="I202" s="187" t="s">
        <v>5099</v>
      </c>
      <c r="J202" s="186">
        <f>L202-L201-10000000</f>
        <v>-2265988</v>
      </c>
      <c r="K202" s="187" t="s">
        <v>5098</v>
      </c>
      <c r="L202" s="220">
        <v>1005007347</v>
      </c>
      <c r="M202" s="220">
        <v>636084938</v>
      </c>
      <c r="N202" s="186">
        <f t="shared" si="15"/>
        <v>1641092285</v>
      </c>
      <c r="O202" s="186">
        <f t="shared" si="19"/>
        <v>-3394884</v>
      </c>
      <c r="P202" s="186">
        <f>N202-N201-10000000</f>
        <v>-5660872</v>
      </c>
      <c r="Q202" s="216">
        <v>10000000</v>
      </c>
    </row>
    <row r="203" spans="9:17">
      <c r="I203" s="208" t="s">
        <v>5104</v>
      </c>
      <c r="J203" s="227">
        <f>L203-L202+400000</f>
        <v>8061336</v>
      </c>
      <c r="K203" s="208" t="s">
        <v>5103</v>
      </c>
      <c r="L203" s="228">
        <v>1012668683</v>
      </c>
      <c r="M203" s="228">
        <v>641491326</v>
      </c>
      <c r="N203" s="210">
        <f t="shared" si="15"/>
        <v>1654160009</v>
      </c>
      <c r="O203" s="227">
        <f t="shared" si="19"/>
        <v>5406388</v>
      </c>
      <c r="P203" s="227">
        <f>N203-N202+400000</f>
        <v>13467724</v>
      </c>
      <c r="Q203" s="216">
        <v>-400000</v>
      </c>
    </row>
    <row r="204" spans="9:17">
      <c r="I204" s="208" t="s">
        <v>5105</v>
      </c>
      <c r="J204" s="227">
        <f t="shared" ref="J204:J237" si="21">L204-L203</f>
        <v>-21392180</v>
      </c>
      <c r="K204" s="208" t="s">
        <v>958</v>
      </c>
      <c r="L204" s="228">
        <v>991276503</v>
      </c>
      <c r="M204" s="228">
        <v>624698003</v>
      </c>
      <c r="N204" s="227">
        <f t="shared" ref="N204:N213" si="22">L204+M204</f>
        <v>1615974506</v>
      </c>
      <c r="O204" s="227">
        <f>M204-M203+3960043</f>
        <v>-12833280</v>
      </c>
      <c r="P204" s="227">
        <f>N204-N203+3960043</f>
        <v>-34225460</v>
      </c>
      <c r="Q204" s="216">
        <v>-3960043</v>
      </c>
    </row>
    <row r="205" spans="9:17">
      <c r="I205" s="205"/>
      <c r="J205" s="111">
        <f t="shared" si="21"/>
        <v>3426714</v>
      </c>
      <c r="K205" s="205" t="s">
        <v>5106</v>
      </c>
      <c r="L205" s="82">
        <v>994703217</v>
      </c>
      <c r="M205" s="82">
        <v>626521958</v>
      </c>
      <c r="N205" s="111">
        <f t="shared" si="22"/>
        <v>1621225175</v>
      </c>
      <c r="O205" s="111">
        <f>M205-M204</f>
        <v>1823955</v>
      </c>
      <c r="P205" s="111">
        <f>N205-N204</f>
        <v>5250669</v>
      </c>
      <c r="Q205" s="216">
        <v>0</v>
      </c>
    </row>
    <row r="206" spans="9:17">
      <c r="I206" s="205"/>
      <c r="J206" s="111">
        <f t="shared" si="21"/>
        <v>-3600500</v>
      </c>
      <c r="K206" s="205" t="s">
        <v>5109</v>
      </c>
      <c r="L206" s="82">
        <v>991102717</v>
      </c>
      <c r="M206" s="82">
        <v>623731041</v>
      </c>
      <c r="N206" s="111">
        <f t="shared" si="22"/>
        <v>1614833758</v>
      </c>
      <c r="O206" s="111">
        <f>M206-M205</f>
        <v>-2790917</v>
      </c>
      <c r="P206" s="111">
        <f>N206-N205</f>
        <v>-6391417</v>
      </c>
      <c r="Q206" s="216">
        <v>0</v>
      </c>
    </row>
    <row r="207" spans="9:17">
      <c r="I207" s="187" t="s">
        <v>5112</v>
      </c>
      <c r="J207" s="186">
        <f>L207-L206-1300000</f>
        <v>-17889835</v>
      </c>
      <c r="K207" s="187" t="s">
        <v>5110</v>
      </c>
      <c r="L207" s="220">
        <v>974512882</v>
      </c>
      <c r="M207" s="220">
        <v>611227725</v>
      </c>
      <c r="N207" s="186">
        <f t="shared" si="22"/>
        <v>1585740607</v>
      </c>
      <c r="O207" s="186">
        <f>M207-M206-230000</f>
        <v>-12733316</v>
      </c>
      <c r="P207" s="186">
        <f>N207-N206-1530000</f>
        <v>-30623151</v>
      </c>
      <c r="Q207" s="216">
        <v>1530000</v>
      </c>
    </row>
    <row r="208" spans="9:17">
      <c r="I208" s="208" t="s">
        <v>5114</v>
      </c>
      <c r="J208" s="227">
        <f>L208-L207-230000</f>
        <v>26666770</v>
      </c>
      <c r="K208" s="208" t="s">
        <v>5113</v>
      </c>
      <c r="L208" s="228">
        <v>1001409652</v>
      </c>
      <c r="M208" s="228">
        <v>627313031</v>
      </c>
      <c r="N208" s="227">
        <f t="shared" si="22"/>
        <v>1628722683</v>
      </c>
      <c r="O208" s="227">
        <f>M208-M207+880000</f>
        <v>16965306</v>
      </c>
      <c r="P208" s="227">
        <f>N208-N207</f>
        <v>42982076</v>
      </c>
      <c r="Q208" s="216">
        <v>-650000</v>
      </c>
    </row>
    <row r="209" spans="9:19">
      <c r="I209" s="187" t="s">
        <v>5115</v>
      </c>
      <c r="J209" s="186">
        <f>L209-L208-880000</f>
        <v>38363123</v>
      </c>
      <c r="K209" s="187" t="s">
        <v>5116</v>
      </c>
      <c r="L209" s="220">
        <v>1040652775</v>
      </c>
      <c r="M209" s="220">
        <v>653526288</v>
      </c>
      <c r="N209" s="210">
        <f t="shared" si="22"/>
        <v>1694179063</v>
      </c>
      <c r="O209" s="186">
        <f>M209-M208</f>
        <v>26213257</v>
      </c>
      <c r="P209" s="186">
        <f>N209-N208-880000</f>
        <v>64576380</v>
      </c>
      <c r="Q209" s="216">
        <v>880000</v>
      </c>
    </row>
    <row r="210" spans="9:19">
      <c r="I210" s="208" t="s">
        <v>5118</v>
      </c>
      <c r="J210" s="227">
        <f>L210-L209+900000</f>
        <v>20298534</v>
      </c>
      <c r="K210" s="208" t="s">
        <v>5117</v>
      </c>
      <c r="L210" s="228">
        <v>1060051309</v>
      </c>
      <c r="M210" s="228">
        <v>663872836</v>
      </c>
      <c r="N210" s="210">
        <f t="shared" si="22"/>
        <v>1723924145</v>
      </c>
      <c r="O210" s="227">
        <f>M210-M209-200000</f>
        <v>10146548</v>
      </c>
      <c r="P210" s="227">
        <f>N210-N209+700000</f>
        <v>30445082</v>
      </c>
      <c r="Q210" s="216">
        <v>-700000</v>
      </c>
    </row>
    <row r="211" spans="9:19">
      <c r="I211" s="187" t="s">
        <v>5119</v>
      </c>
      <c r="J211" s="186">
        <f>L211-L210+3500000</f>
        <v>4965285</v>
      </c>
      <c r="K211" s="187" t="s">
        <v>975</v>
      </c>
      <c r="L211" s="220">
        <v>1061516594</v>
      </c>
      <c r="M211" s="220">
        <v>663100475</v>
      </c>
      <c r="N211" s="186">
        <f t="shared" si="22"/>
        <v>1724617069</v>
      </c>
      <c r="O211" s="186">
        <f>M211-M210-4300000</f>
        <v>-5072361</v>
      </c>
      <c r="P211" s="186">
        <f>N211-N210-800000</f>
        <v>-107076</v>
      </c>
      <c r="Q211" s="216">
        <v>800000</v>
      </c>
    </row>
    <row r="212" spans="9:19">
      <c r="I212" s="205" t="s">
        <v>5120</v>
      </c>
      <c r="J212" s="111">
        <f>L212-L211+1600000</f>
        <v>-56870795</v>
      </c>
      <c r="K212" s="205" t="s">
        <v>4253</v>
      </c>
      <c r="L212" s="82">
        <v>1003045799</v>
      </c>
      <c r="M212" s="82">
        <v>634655771</v>
      </c>
      <c r="N212" s="111">
        <f t="shared" si="22"/>
        <v>1637701570</v>
      </c>
      <c r="O212" s="111">
        <f>M212-M211-1600000</f>
        <v>-30044704</v>
      </c>
      <c r="P212" s="111">
        <f>N212-N211</f>
        <v>-86915499</v>
      </c>
      <c r="Q212" s="216">
        <v>0</v>
      </c>
    </row>
    <row r="213" spans="9:19">
      <c r="I213" s="205" t="s">
        <v>5121</v>
      </c>
      <c r="J213" s="111">
        <f>L213-L212+800000</f>
        <v>15351721</v>
      </c>
      <c r="K213" s="205" t="s">
        <v>5122</v>
      </c>
      <c r="L213" s="82">
        <v>1017597520</v>
      </c>
      <c r="M213" s="82">
        <v>638870084</v>
      </c>
      <c r="N213" s="111">
        <f t="shared" si="22"/>
        <v>1656467604</v>
      </c>
      <c r="O213" s="111">
        <f>M213-M212+10000000</f>
        <v>14214313</v>
      </c>
      <c r="P213" s="111">
        <f>N213-N212+10800000</f>
        <v>29566034</v>
      </c>
      <c r="Q213" s="216">
        <v>-10800000</v>
      </c>
    </row>
    <row r="214" spans="9:19">
      <c r="I214" s="208" t="s">
        <v>5128</v>
      </c>
      <c r="J214" s="227">
        <f t="shared" si="21"/>
        <v>-18127600</v>
      </c>
      <c r="K214" s="208" t="s">
        <v>5124</v>
      </c>
      <c r="L214" s="228">
        <v>999469920</v>
      </c>
      <c r="M214" s="228">
        <v>621895248</v>
      </c>
      <c r="N214" s="227">
        <f t="shared" ref="N214:N239" si="23">L214+M214</f>
        <v>1621365168</v>
      </c>
      <c r="O214" s="227">
        <f>M214-M213-771000</f>
        <v>-17745836</v>
      </c>
      <c r="P214" s="227">
        <f>N214-N213-771000</f>
        <v>-35873436</v>
      </c>
      <c r="Q214" s="216">
        <v>771000</v>
      </c>
    </row>
    <row r="215" spans="9:19">
      <c r="I215" s="205"/>
      <c r="J215" s="111">
        <f t="shared" si="21"/>
        <v>11344596</v>
      </c>
      <c r="K215" s="205" t="s">
        <v>5129</v>
      </c>
      <c r="L215" s="82">
        <v>1010814516</v>
      </c>
      <c r="M215" s="82">
        <v>632227289</v>
      </c>
      <c r="N215" s="111">
        <f t="shared" si="23"/>
        <v>1643041805</v>
      </c>
      <c r="O215" s="111">
        <f t="shared" ref="O215:O239" si="24">M215-M214</f>
        <v>10332041</v>
      </c>
      <c r="P215" s="111">
        <f t="shared" ref="P215:P237" si="25">N215-N214</f>
        <v>21676637</v>
      </c>
      <c r="Q215" s="216">
        <v>0</v>
      </c>
    </row>
    <row r="216" spans="9:19">
      <c r="I216" s="205"/>
      <c r="J216" s="111">
        <f t="shared" si="21"/>
        <v>3409742</v>
      </c>
      <c r="K216" s="205" t="s">
        <v>959</v>
      </c>
      <c r="L216" s="82">
        <v>1014224258</v>
      </c>
      <c r="M216" s="82">
        <v>635501882</v>
      </c>
      <c r="N216" s="111">
        <f t="shared" si="23"/>
        <v>1649726140</v>
      </c>
      <c r="O216" s="111">
        <f t="shared" si="24"/>
        <v>3274593</v>
      </c>
      <c r="P216" s="111">
        <f t="shared" si="25"/>
        <v>6684335</v>
      </c>
      <c r="Q216" s="216">
        <v>0</v>
      </c>
    </row>
    <row r="217" spans="9:19">
      <c r="I217" s="208" t="s">
        <v>5131</v>
      </c>
      <c r="J217" s="227">
        <f>L217-L216-50000</f>
        <v>-3947893</v>
      </c>
      <c r="K217" s="208" t="s">
        <v>5130</v>
      </c>
      <c r="L217" s="228">
        <v>1010326365</v>
      </c>
      <c r="M217" s="228">
        <v>632690003</v>
      </c>
      <c r="N217" s="227">
        <f t="shared" si="23"/>
        <v>1643016368</v>
      </c>
      <c r="O217" s="227">
        <f t="shared" si="24"/>
        <v>-2811879</v>
      </c>
      <c r="P217" s="227">
        <f>N217-N216-50000</f>
        <v>-6759772</v>
      </c>
      <c r="Q217" s="216">
        <v>50000</v>
      </c>
    </row>
    <row r="218" spans="9:19">
      <c r="I218" s="208" t="s">
        <v>5133</v>
      </c>
      <c r="J218" s="227">
        <f>L218-L217-400000</f>
        <v>-7352281</v>
      </c>
      <c r="K218" s="208" t="s">
        <v>5135</v>
      </c>
      <c r="L218" s="228">
        <v>1003374084</v>
      </c>
      <c r="M218" s="228">
        <v>629402570</v>
      </c>
      <c r="N218" s="227">
        <f t="shared" si="23"/>
        <v>1632776654</v>
      </c>
      <c r="O218" s="227">
        <f t="shared" si="24"/>
        <v>-3287433</v>
      </c>
      <c r="P218" s="227">
        <f>N218-N217-400000</f>
        <v>-10639714</v>
      </c>
      <c r="Q218" s="216">
        <v>400000</v>
      </c>
      <c r="S218" t="s">
        <v>25</v>
      </c>
    </row>
    <row r="219" spans="9:19">
      <c r="I219" s="205"/>
      <c r="J219" s="111">
        <f t="shared" si="21"/>
        <v>-3856402</v>
      </c>
      <c r="K219" s="205" t="s">
        <v>5137</v>
      </c>
      <c r="L219" s="82">
        <v>999517682</v>
      </c>
      <c r="M219" s="82">
        <v>627640361</v>
      </c>
      <c r="N219" s="111">
        <f t="shared" si="23"/>
        <v>1627158043</v>
      </c>
      <c r="O219" s="111">
        <f t="shared" si="24"/>
        <v>-1762209</v>
      </c>
      <c r="P219" s="111">
        <f t="shared" si="25"/>
        <v>-5618611</v>
      </c>
      <c r="Q219" s="216">
        <v>0</v>
      </c>
    </row>
    <row r="220" spans="9:19">
      <c r="I220" s="187" t="s">
        <v>5139</v>
      </c>
      <c r="J220" s="186">
        <f t="shared" si="21"/>
        <v>30762624</v>
      </c>
      <c r="K220" s="187" t="s">
        <v>5138</v>
      </c>
      <c r="L220" s="220">
        <v>1030280306</v>
      </c>
      <c r="M220" s="220">
        <v>645538230</v>
      </c>
      <c r="N220" s="186">
        <f t="shared" si="23"/>
        <v>1675818536</v>
      </c>
      <c r="O220" s="186">
        <f>M220-M219+500000</f>
        <v>18397869</v>
      </c>
      <c r="P220" s="186">
        <f>N220-N219+500000</f>
        <v>49160493</v>
      </c>
      <c r="Q220" s="216">
        <v>-500000</v>
      </c>
    </row>
    <row r="221" spans="9:19">
      <c r="I221" s="205"/>
      <c r="J221" s="111">
        <f t="shared" si="21"/>
        <v>-16347657</v>
      </c>
      <c r="K221" s="205" t="s">
        <v>5108</v>
      </c>
      <c r="L221" s="82">
        <v>1013932649</v>
      </c>
      <c r="M221" s="82">
        <v>635152182</v>
      </c>
      <c r="N221" s="111">
        <f t="shared" si="23"/>
        <v>1649084831</v>
      </c>
      <c r="O221" s="111">
        <f t="shared" si="24"/>
        <v>-10386048</v>
      </c>
      <c r="P221" s="111">
        <f t="shared" si="25"/>
        <v>-26733705</v>
      </c>
      <c r="Q221" s="216">
        <v>0</v>
      </c>
    </row>
    <row r="222" spans="9:19">
      <c r="I222" s="253" t="s">
        <v>5143</v>
      </c>
      <c r="J222" s="254">
        <f>L222-L221+7000000</f>
        <v>4431891</v>
      </c>
      <c r="K222" s="253" t="s">
        <v>5144</v>
      </c>
      <c r="L222" s="255">
        <v>1011364540</v>
      </c>
      <c r="M222" s="255">
        <v>634014280</v>
      </c>
      <c r="N222" s="254">
        <f t="shared" si="23"/>
        <v>1645378820</v>
      </c>
      <c r="O222" s="254">
        <f t="shared" si="24"/>
        <v>-1137902</v>
      </c>
      <c r="P222" s="254">
        <f>N222-N221+7000000</f>
        <v>3293989</v>
      </c>
      <c r="Q222" s="216">
        <v>-7000000</v>
      </c>
    </row>
    <row r="223" spans="9:19">
      <c r="I223" s="208" t="s">
        <v>5146</v>
      </c>
      <c r="J223" s="227">
        <f t="shared" si="21"/>
        <v>-12364540</v>
      </c>
      <c r="K223" s="208" t="s">
        <v>5145</v>
      </c>
      <c r="L223" s="228">
        <v>999000000</v>
      </c>
      <c r="M223" s="228">
        <v>628000000</v>
      </c>
      <c r="N223" s="227">
        <f t="shared" si="23"/>
        <v>1627000000</v>
      </c>
      <c r="O223" s="227">
        <f>M223-M222-300000</f>
        <v>-6314280</v>
      </c>
      <c r="P223" s="227">
        <f>N223-N222-300000</f>
        <v>-18678820</v>
      </c>
      <c r="Q223" s="216">
        <v>300000</v>
      </c>
    </row>
    <row r="224" spans="9:19">
      <c r="I224" s="205"/>
      <c r="J224" s="111">
        <f t="shared" si="21"/>
        <v>1428495</v>
      </c>
      <c r="K224" s="205" t="s">
        <v>5147</v>
      </c>
      <c r="L224" s="82">
        <v>1000428495</v>
      </c>
      <c r="M224" s="82">
        <v>629000000</v>
      </c>
      <c r="N224" s="111">
        <f t="shared" si="23"/>
        <v>1629428495</v>
      </c>
      <c r="O224" s="111">
        <f t="shared" si="24"/>
        <v>1000000</v>
      </c>
      <c r="P224" s="111">
        <f t="shared" si="25"/>
        <v>2428495</v>
      </c>
      <c r="Q224" s="216">
        <v>0</v>
      </c>
    </row>
    <row r="225" spans="9:19">
      <c r="I225" s="205"/>
      <c r="J225" s="111">
        <f t="shared" si="21"/>
        <v>211881</v>
      </c>
      <c r="K225" s="205" t="s">
        <v>5148</v>
      </c>
      <c r="L225" s="82">
        <v>1000640376</v>
      </c>
      <c r="M225" s="82">
        <v>627621912</v>
      </c>
      <c r="N225" s="111">
        <f t="shared" si="23"/>
        <v>1628262288</v>
      </c>
      <c r="O225" s="111">
        <f t="shared" si="24"/>
        <v>-1378088</v>
      </c>
      <c r="P225" s="111">
        <f t="shared" si="25"/>
        <v>-1166207</v>
      </c>
      <c r="Q225" s="216">
        <v>0</v>
      </c>
    </row>
    <row r="226" spans="9:19">
      <c r="I226" s="205"/>
      <c r="J226" s="111">
        <f t="shared" si="21"/>
        <v>-5640376</v>
      </c>
      <c r="K226" s="205" t="s">
        <v>5149</v>
      </c>
      <c r="L226" s="82">
        <v>995000000</v>
      </c>
      <c r="M226" s="82">
        <v>625000000</v>
      </c>
      <c r="N226" s="111">
        <f t="shared" si="23"/>
        <v>1620000000</v>
      </c>
      <c r="O226" s="111">
        <f t="shared" si="24"/>
        <v>-2621912</v>
      </c>
      <c r="P226" s="111">
        <f t="shared" si="25"/>
        <v>-8262288</v>
      </c>
      <c r="Q226" s="216">
        <v>0</v>
      </c>
    </row>
    <row r="227" spans="9:19">
      <c r="I227" s="187" t="s">
        <v>5150</v>
      </c>
      <c r="J227" s="186">
        <f t="shared" si="21"/>
        <v>-3000000</v>
      </c>
      <c r="K227" s="187" t="s">
        <v>974</v>
      </c>
      <c r="L227" s="220">
        <v>992000000</v>
      </c>
      <c r="M227" s="220">
        <v>624000000</v>
      </c>
      <c r="N227" s="186">
        <f t="shared" si="23"/>
        <v>1616000000</v>
      </c>
      <c r="O227" s="186">
        <f>M227-M226+50000</f>
        <v>-950000</v>
      </c>
      <c r="P227" s="186">
        <f>N227-N226+50000</f>
        <v>-3950000</v>
      </c>
      <c r="Q227" s="216">
        <v>-50000</v>
      </c>
    </row>
    <row r="228" spans="9:19">
      <c r="I228" s="205"/>
      <c r="J228" s="111">
        <f t="shared" si="21"/>
        <v>-5000000</v>
      </c>
      <c r="K228" s="205" t="s">
        <v>5152</v>
      </c>
      <c r="L228" s="82">
        <v>987000000</v>
      </c>
      <c r="M228" s="82">
        <v>621000000</v>
      </c>
      <c r="N228" s="111">
        <f t="shared" si="23"/>
        <v>1608000000</v>
      </c>
      <c r="O228" s="111">
        <f t="shared" si="24"/>
        <v>-3000000</v>
      </c>
      <c r="P228" s="111">
        <f t="shared" si="25"/>
        <v>-8000000</v>
      </c>
      <c r="Q228" s="216">
        <v>0</v>
      </c>
    </row>
    <row r="229" spans="9:19">
      <c r="I229" s="205"/>
      <c r="J229" s="111">
        <f t="shared" si="21"/>
        <v>-3300000</v>
      </c>
      <c r="K229" s="205" t="s">
        <v>5153</v>
      </c>
      <c r="L229" s="82">
        <v>983700000</v>
      </c>
      <c r="M229" s="82">
        <v>617000000</v>
      </c>
      <c r="N229" s="111">
        <f t="shared" si="23"/>
        <v>1600700000</v>
      </c>
      <c r="O229" s="111">
        <f t="shared" si="24"/>
        <v>-4000000</v>
      </c>
      <c r="P229" s="111">
        <f t="shared" si="25"/>
        <v>-7300000</v>
      </c>
      <c r="Q229" s="216">
        <v>0</v>
      </c>
    </row>
    <row r="230" spans="9:19">
      <c r="I230" s="205"/>
      <c r="J230" s="111">
        <f t="shared" si="21"/>
        <v>-2353171</v>
      </c>
      <c r="K230" s="205" t="s">
        <v>5154</v>
      </c>
      <c r="L230" s="82">
        <v>981346829</v>
      </c>
      <c r="M230" s="82">
        <v>616768631</v>
      </c>
      <c r="N230" s="111">
        <f>L230+M230</f>
        <v>1598115460</v>
      </c>
      <c r="O230" s="111">
        <f t="shared" si="24"/>
        <v>-231369</v>
      </c>
      <c r="P230" s="111">
        <f t="shared" si="25"/>
        <v>-2584540</v>
      </c>
      <c r="Q230" s="216">
        <v>0</v>
      </c>
    </row>
    <row r="231" spans="9:19">
      <c r="I231" s="187" t="s">
        <v>5156</v>
      </c>
      <c r="J231" s="186">
        <f t="shared" si="21"/>
        <v>-16599065</v>
      </c>
      <c r="K231" s="187" t="s">
        <v>4363</v>
      </c>
      <c r="L231" s="220">
        <v>964747764</v>
      </c>
      <c r="M231" s="220">
        <v>608415190</v>
      </c>
      <c r="N231" s="186">
        <f t="shared" si="23"/>
        <v>1573162954</v>
      </c>
      <c r="O231" s="186">
        <f t="shared" si="24"/>
        <v>-8353441</v>
      </c>
      <c r="P231" s="186">
        <f t="shared" si="25"/>
        <v>-24952506</v>
      </c>
      <c r="Q231" s="216">
        <v>-268952</v>
      </c>
      <c r="S231" t="s">
        <v>25</v>
      </c>
    </row>
    <row r="232" spans="9:19">
      <c r="I232" s="205"/>
      <c r="J232" s="111">
        <f t="shared" si="21"/>
        <v>18016509</v>
      </c>
      <c r="K232" s="205" t="s">
        <v>5155</v>
      </c>
      <c r="L232" s="82">
        <v>982764273</v>
      </c>
      <c r="M232" s="82">
        <v>618232370</v>
      </c>
      <c r="N232" s="111">
        <f t="shared" si="23"/>
        <v>1600996643</v>
      </c>
      <c r="O232" s="111">
        <f t="shared" si="24"/>
        <v>9817180</v>
      </c>
      <c r="P232" s="111">
        <f t="shared" si="25"/>
        <v>27833689</v>
      </c>
      <c r="Q232" s="216">
        <v>0</v>
      </c>
    </row>
    <row r="233" spans="9:19">
      <c r="I233" s="187" t="s">
        <v>5158</v>
      </c>
      <c r="J233" s="186">
        <f>L233-L232+990760</f>
        <v>270597</v>
      </c>
      <c r="K233" s="187" t="s">
        <v>5157</v>
      </c>
      <c r="L233" s="220">
        <v>982044110</v>
      </c>
      <c r="M233" s="220">
        <v>618201286</v>
      </c>
      <c r="N233" s="186">
        <f t="shared" si="23"/>
        <v>1600245396</v>
      </c>
      <c r="O233" s="186">
        <f t="shared" si="24"/>
        <v>-31084</v>
      </c>
      <c r="P233" s="186">
        <f>N233-N232+990760</f>
        <v>239513</v>
      </c>
      <c r="Q233" s="216">
        <v>-990760</v>
      </c>
    </row>
    <row r="234" spans="9:19">
      <c r="I234" s="205"/>
      <c r="J234" s="111">
        <f t="shared" si="21"/>
        <v>5089506</v>
      </c>
      <c r="K234" s="205" t="s">
        <v>5159</v>
      </c>
      <c r="L234" s="82">
        <v>987133616</v>
      </c>
      <c r="M234" s="82">
        <v>620624722</v>
      </c>
      <c r="N234" s="111">
        <f t="shared" si="23"/>
        <v>1607758338</v>
      </c>
      <c r="O234" s="111">
        <f t="shared" si="24"/>
        <v>2423436</v>
      </c>
      <c r="P234" s="111">
        <f t="shared" si="25"/>
        <v>7512942</v>
      </c>
      <c r="Q234" s="216">
        <v>0</v>
      </c>
    </row>
    <row r="235" spans="9:19">
      <c r="I235" s="205"/>
      <c r="J235" s="111">
        <f t="shared" si="21"/>
        <v>4922472</v>
      </c>
      <c r="K235" s="205" t="s">
        <v>5160</v>
      </c>
      <c r="L235" s="82">
        <v>992056088</v>
      </c>
      <c r="M235" s="82">
        <v>622612430</v>
      </c>
      <c r="N235" s="111">
        <f t="shared" si="23"/>
        <v>1614668518</v>
      </c>
      <c r="O235" s="111">
        <f t="shared" si="24"/>
        <v>1987708</v>
      </c>
      <c r="P235" s="111">
        <f t="shared" si="25"/>
        <v>6910180</v>
      </c>
      <c r="Q235" s="216">
        <v>0</v>
      </c>
    </row>
    <row r="236" spans="9:19">
      <c r="I236" s="205"/>
      <c r="J236" s="111">
        <f t="shared" si="21"/>
        <v>-8549283</v>
      </c>
      <c r="K236" s="205" t="s">
        <v>5163</v>
      </c>
      <c r="L236" s="82">
        <v>983506805</v>
      </c>
      <c r="M236" s="82">
        <v>617484940</v>
      </c>
      <c r="N236" s="111">
        <f t="shared" si="23"/>
        <v>1600991745</v>
      </c>
      <c r="O236" s="111">
        <f t="shared" si="24"/>
        <v>-5127490</v>
      </c>
      <c r="P236" s="111">
        <f t="shared" si="25"/>
        <v>-13676773</v>
      </c>
      <c r="Q236" s="216">
        <v>0</v>
      </c>
    </row>
    <row r="237" spans="9:19">
      <c r="I237" s="205"/>
      <c r="J237" s="111">
        <f t="shared" si="21"/>
        <v>-9570969</v>
      </c>
      <c r="K237" s="205" t="s">
        <v>5164</v>
      </c>
      <c r="L237" s="82">
        <v>973935836</v>
      </c>
      <c r="M237" s="82">
        <v>612781866</v>
      </c>
      <c r="N237" s="111">
        <f t="shared" si="23"/>
        <v>1586717702</v>
      </c>
      <c r="O237" s="111">
        <f t="shared" si="24"/>
        <v>-4703074</v>
      </c>
      <c r="P237" s="111">
        <f t="shared" si="25"/>
        <v>-14274043</v>
      </c>
      <c r="Q237" s="216">
        <v>0</v>
      </c>
    </row>
    <row r="238" spans="9:19">
      <c r="I238" s="208" t="s">
        <v>5166</v>
      </c>
      <c r="J238" s="227">
        <f>L238-L237-101268</f>
        <v>10034013</v>
      </c>
      <c r="K238" s="208" t="s">
        <v>5165</v>
      </c>
      <c r="L238" s="228">
        <v>984071117</v>
      </c>
      <c r="M238" s="228">
        <v>619527192</v>
      </c>
      <c r="N238" s="227">
        <f t="shared" si="23"/>
        <v>1603598309</v>
      </c>
      <c r="O238" s="227">
        <f t="shared" si="24"/>
        <v>6745326</v>
      </c>
      <c r="P238" s="227">
        <f>N238-N237-101268</f>
        <v>16779339</v>
      </c>
      <c r="Q238" s="216">
        <v>101268</v>
      </c>
    </row>
    <row r="239" spans="9:19">
      <c r="I239" s="256" t="s">
        <v>5167</v>
      </c>
      <c r="J239" s="92">
        <f>L239-L238-101000</f>
        <v>-5512506</v>
      </c>
      <c r="K239" s="256" t="s">
        <v>5168</v>
      </c>
      <c r="L239" s="257">
        <v>978659611</v>
      </c>
      <c r="M239" s="257">
        <v>617623197</v>
      </c>
      <c r="N239" s="92">
        <f t="shared" si="23"/>
        <v>1596282808</v>
      </c>
      <c r="O239" s="92">
        <f t="shared" si="24"/>
        <v>-1903995</v>
      </c>
      <c r="P239" s="92">
        <f>N239-N238-101000</f>
        <v>-7416501</v>
      </c>
      <c r="Q239" s="216">
        <v>101000</v>
      </c>
    </row>
    <row r="240" spans="9:19">
      <c r="I240" s="205"/>
      <c r="J240" s="111">
        <f t="shared" ref="J240:J252" si="26">L240-L239</f>
        <v>-3538077</v>
      </c>
      <c r="K240" s="205" t="s">
        <v>5169</v>
      </c>
      <c r="L240" s="82">
        <v>975121534</v>
      </c>
      <c r="M240" s="82">
        <v>616980448</v>
      </c>
      <c r="N240" s="111">
        <f t="shared" ref="N240:N252" si="27">L240+M240</f>
        <v>1592101982</v>
      </c>
      <c r="O240" s="111">
        <f t="shared" ref="O240:P246" si="28">M240-M239</f>
        <v>-642749</v>
      </c>
      <c r="P240" s="111">
        <f t="shared" si="28"/>
        <v>-4180826</v>
      </c>
      <c r="Q240" s="216">
        <v>0</v>
      </c>
    </row>
    <row r="241" spans="9:19">
      <c r="I241" s="205"/>
      <c r="J241" s="111">
        <f t="shared" si="26"/>
        <v>8213727</v>
      </c>
      <c r="K241" s="205" t="s">
        <v>5171</v>
      </c>
      <c r="L241" s="82">
        <v>983335261</v>
      </c>
      <c r="M241" s="82">
        <v>621742615</v>
      </c>
      <c r="N241" s="111">
        <f t="shared" si="27"/>
        <v>1605077876</v>
      </c>
      <c r="O241" s="111">
        <f t="shared" si="28"/>
        <v>4762167</v>
      </c>
      <c r="P241" s="111">
        <f t="shared" si="28"/>
        <v>12975894</v>
      </c>
      <c r="Q241" s="216">
        <v>0</v>
      </c>
    </row>
    <row r="242" spans="9:19">
      <c r="I242" s="205"/>
      <c r="J242" s="111">
        <f t="shared" si="26"/>
        <v>-102557</v>
      </c>
      <c r="K242" s="205" t="s">
        <v>980</v>
      </c>
      <c r="L242" s="82">
        <v>983232704</v>
      </c>
      <c r="M242" s="82">
        <v>621149949</v>
      </c>
      <c r="N242" s="111">
        <f t="shared" si="27"/>
        <v>1604382653</v>
      </c>
      <c r="O242" s="111">
        <f t="shared" si="28"/>
        <v>-592666</v>
      </c>
      <c r="P242" s="111">
        <f t="shared" si="28"/>
        <v>-695223</v>
      </c>
      <c r="Q242" s="216">
        <v>0</v>
      </c>
    </row>
    <row r="243" spans="9:19">
      <c r="I243" s="205"/>
      <c r="J243" s="111">
        <f t="shared" si="26"/>
        <v>27014</v>
      </c>
      <c r="K243" s="205" t="s">
        <v>5173</v>
      </c>
      <c r="L243" s="82">
        <v>983259718</v>
      </c>
      <c r="M243" s="82">
        <v>621468793</v>
      </c>
      <c r="N243" s="111">
        <f t="shared" si="27"/>
        <v>1604728511</v>
      </c>
      <c r="O243" s="111">
        <f t="shared" si="28"/>
        <v>318844</v>
      </c>
      <c r="P243" s="111">
        <f t="shared" si="28"/>
        <v>345858</v>
      </c>
      <c r="Q243" s="216">
        <v>0</v>
      </c>
    </row>
    <row r="244" spans="9:19">
      <c r="I244" s="205"/>
      <c r="J244" s="111">
        <f t="shared" si="26"/>
        <v>19769</v>
      </c>
      <c r="K244" s="205" t="s">
        <v>5174</v>
      </c>
      <c r="L244" s="82">
        <v>983279487</v>
      </c>
      <c r="M244" s="82">
        <v>620877319</v>
      </c>
      <c r="N244" s="111">
        <f t="shared" si="27"/>
        <v>1604156806</v>
      </c>
      <c r="O244" s="111">
        <f t="shared" si="28"/>
        <v>-591474</v>
      </c>
      <c r="P244" s="111">
        <f t="shared" si="28"/>
        <v>-571705</v>
      </c>
      <c r="Q244" s="216">
        <v>0</v>
      </c>
    </row>
    <row r="245" spans="9:19">
      <c r="I245" s="205"/>
      <c r="J245" s="111">
        <f t="shared" si="26"/>
        <v>15299717</v>
      </c>
      <c r="K245" s="205" t="s">
        <v>5175</v>
      </c>
      <c r="L245" s="82">
        <v>998579204</v>
      </c>
      <c r="M245" s="82">
        <v>629376264</v>
      </c>
      <c r="N245" s="111">
        <f t="shared" si="27"/>
        <v>1627955468</v>
      </c>
      <c r="O245" s="111">
        <f t="shared" si="28"/>
        <v>8498945</v>
      </c>
      <c r="P245" s="111">
        <f t="shared" si="28"/>
        <v>23798662</v>
      </c>
      <c r="Q245" s="216">
        <v>0</v>
      </c>
    </row>
    <row r="246" spans="9:19">
      <c r="I246" s="205"/>
      <c r="J246" s="111">
        <f t="shared" si="26"/>
        <v>8005</v>
      </c>
      <c r="K246" s="205" t="s">
        <v>5178</v>
      </c>
      <c r="L246" s="82">
        <v>998587209</v>
      </c>
      <c r="M246" s="82">
        <v>628989460</v>
      </c>
      <c r="N246" s="111">
        <f t="shared" si="27"/>
        <v>1627576669</v>
      </c>
      <c r="O246" s="111">
        <f t="shared" si="28"/>
        <v>-386804</v>
      </c>
      <c r="P246" s="111">
        <f t="shared" si="28"/>
        <v>-378799</v>
      </c>
      <c r="Q246" s="216">
        <v>0</v>
      </c>
    </row>
    <row r="247" spans="9:19">
      <c r="I247" s="187" t="s">
        <v>5180</v>
      </c>
      <c r="J247" s="186">
        <f t="shared" si="26"/>
        <v>57939414</v>
      </c>
      <c r="K247" s="187" t="s">
        <v>5179</v>
      </c>
      <c r="L247" s="220">
        <v>1056526623</v>
      </c>
      <c r="M247" s="220">
        <v>660656770</v>
      </c>
      <c r="N247" s="210">
        <f t="shared" si="27"/>
        <v>1717183393</v>
      </c>
      <c r="O247" s="186">
        <f>M247-M246+3020635</f>
        <v>34687945</v>
      </c>
      <c r="P247" s="186">
        <f>N247-N246+3020635</f>
        <v>92627359</v>
      </c>
      <c r="Q247" s="216">
        <v>-3020635</v>
      </c>
    </row>
    <row r="248" spans="9:19">
      <c r="I248" s="205"/>
      <c r="J248" s="111">
        <f t="shared" si="26"/>
        <v>8473377</v>
      </c>
      <c r="K248" s="205" t="s">
        <v>5181</v>
      </c>
      <c r="L248" s="82">
        <v>1065000000</v>
      </c>
      <c r="M248" s="82">
        <v>666000000</v>
      </c>
      <c r="N248" s="210">
        <f t="shared" si="27"/>
        <v>1731000000</v>
      </c>
      <c r="O248" s="111">
        <f t="shared" ref="O248:P252" si="29">M248-M247</f>
        <v>5343230</v>
      </c>
      <c r="P248" s="111">
        <f t="shared" si="29"/>
        <v>13816607</v>
      </c>
      <c r="Q248" s="216">
        <v>0</v>
      </c>
    </row>
    <row r="249" spans="9:19">
      <c r="I249" s="205"/>
      <c r="J249" s="111">
        <f t="shared" si="26"/>
        <v>10753986</v>
      </c>
      <c r="K249" s="205" t="s">
        <v>5182</v>
      </c>
      <c r="L249" s="82">
        <v>1075753986</v>
      </c>
      <c r="M249" s="82">
        <v>672067588</v>
      </c>
      <c r="N249" s="210">
        <f t="shared" si="27"/>
        <v>1747821574</v>
      </c>
      <c r="O249" s="111">
        <f t="shared" si="29"/>
        <v>6067588</v>
      </c>
      <c r="P249" s="111">
        <f t="shared" si="29"/>
        <v>16821574</v>
      </c>
      <c r="Q249" s="216">
        <v>0</v>
      </c>
      <c r="S249" t="s">
        <v>25</v>
      </c>
    </row>
    <row r="250" spans="9:19">
      <c r="I250" s="205"/>
      <c r="J250" s="111">
        <f t="shared" si="26"/>
        <v>15270785</v>
      </c>
      <c r="K250" s="205" t="s">
        <v>5183</v>
      </c>
      <c r="L250" s="82">
        <v>1091024771</v>
      </c>
      <c r="M250" s="82">
        <v>681049309</v>
      </c>
      <c r="N250" s="210">
        <f t="shared" si="27"/>
        <v>1772074080</v>
      </c>
      <c r="O250" s="111">
        <f t="shared" si="29"/>
        <v>8981721</v>
      </c>
      <c r="P250" s="111">
        <f t="shared" si="29"/>
        <v>24252506</v>
      </c>
      <c r="Q250" s="216">
        <v>0</v>
      </c>
    </row>
    <row r="251" spans="9:19">
      <c r="I251" s="205"/>
      <c r="J251" s="111">
        <f t="shared" si="26"/>
        <v>1705015</v>
      </c>
      <c r="K251" s="205" t="s">
        <v>5184</v>
      </c>
      <c r="L251" s="82">
        <v>1092729786</v>
      </c>
      <c r="M251" s="82">
        <v>682978385</v>
      </c>
      <c r="N251" s="210">
        <f t="shared" si="27"/>
        <v>1775708171</v>
      </c>
      <c r="O251" s="111">
        <f t="shared" si="29"/>
        <v>1929076</v>
      </c>
      <c r="P251" s="111">
        <f t="shared" si="29"/>
        <v>3634091</v>
      </c>
      <c r="Q251" s="216">
        <v>0</v>
      </c>
    </row>
    <row r="252" spans="9:19">
      <c r="I252" s="205"/>
      <c r="J252" s="111">
        <f t="shared" si="26"/>
        <v>14159318</v>
      </c>
      <c r="K252" s="205" t="s">
        <v>4491</v>
      </c>
      <c r="L252" s="82">
        <v>1106889104</v>
      </c>
      <c r="M252" s="82">
        <v>692405112</v>
      </c>
      <c r="N252" s="210">
        <f t="shared" si="27"/>
        <v>1799294216</v>
      </c>
      <c r="O252" s="111">
        <f t="shared" si="29"/>
        <v>9426727</v>
      </c>
      <c r="P252" s="111">
        <f t="shared" si="29"/>
        <v>23586045</v>
      </c>
      <c r="Q252" s="216">
        <v>0</v>
      </c>
    </row>
    <row r="253" spans="9:19">
      <c r="I253" s="205"/>
      <c r="J253" s="111">
        <f t="shared" ref="J253:J266" si="30">L253-L252</f>
        <v>6991706</v>
      </c>
      <c r="K253" s="205" t="s">
        <v>5185</v>
      </c>
      <c r="L253" s="82">
        <v>1113880810</v>
      </c>
      <c r="M253" s="82">
        <v>698734609</v>
      </c>
      <c r="N253" s="210">
        <f t="shared" ref="N253:N266" si="31">L253+M253</f>
        <v>1812615419</v>
      </c>
      <c r="O253" s="111">
        <f t="shared" ref="O253:O266" si="32">M253-M252</f>
        <v>6329497</v>
      </c>
      <c r="P253" s="111">
        <f t="shared" ref="P253:P266" si="33">N253-N252</f>
        <v>13321203</v>
      </c>
      <c r="Q253" s="216">
        <v>0</v>
      </c>
    </row>
    <row r="254" spans="9:19">
      <c r="I254" s="205"/>
      <c r="J254" s="111">
        <f t="shared" si="30"/>
        <v>35275510</v>
      </c>
      <c r="K254" s="205" t="s">
        <v>5186</v>
      </c>
      <c r="L254" s="82">
        <v>1149156320</v>
      </c>
      <c r="M254" s="82">
        <v>720722148</v>
      </c>
      <c r="N254" s="210">
        <f t="shared" si="31"/>
        <v>1869878468</v>
      </c>
      <c r="O254" s="111">
        <f t="shared" si="32"/>
        <v>21987539</v>
      </c>
      <c r="P254" s="111">
        <f t="shared" si="33"/>
        <v>57263049</v>
      </c>
      <c r="Q254" s="216">
        <v>0</v>
      </c>
    </row>
    <row r="255" spans="9:19">
      <c r="I255" s="205"/>
      <c r="J255" s="111">
        <f t="shared" si="30"/>
        <v>5790605</v>
      </c>
      <c r="K255" s="205" t="s">
        <v>5187</v>
      </c>
      <c r="L255" s="82">
        <v>1154946925</v>
      </c>
      <c r="M255" s="82">
        <v>724493233</v>
      </c>
      <c r="N255" s="210">
        <f t="shared" si="31"/>
        <v>1879440158</v>
      </c>
      <c r="O255" s="111">
        <f t="shared" si="32"/>
        <v>3771085</v>
      </c>
      <c r="P255" s="111">
        <f t="shared" si="33"/>
        <v>9561690</v>
      </c>
      <c r="Q255" s="216">
        <v>0</v>
      </c>
    </row>
    <row r="256" spans="9:19">
      <c r="I256" s="205" t="s">
        <v>5188</v>
      </c>
      <c r="J256" s="111">
        <f t="shared" si="30"/>
        <v>40761008</v>
      </c>
      <c r="K256" s="205" t="s">
        <v>5189</v>
      </c>
      <c r="L256" s="82">
        <v>1195707933</v>
      </c>
      <c r="M256" s="82">
        <v>764225161</v>
      </c>
      <c r="N256" s="210">
        <f t="shared" si="31"/>
        <v>1959933094</v>
      </c>
      <c r="O256" s="111">
        <f>M256-M255-18000000</f>
        <v>21731928</v>
      </c>
      <c r="P256" s="111">
        <f>N256-N255-18000000</f>
        <v>62492936</v>
      </c>
      <c r="Q256" s="216">
        <v>18000000</v>
      </c>
    </row>
    <row r="257" spans="9:19">
      <c r="I257" s="205"/>
      <c r="J257" s="111">
        <f t="shared" si="30"/>
        <v>8689599</v>
      </c>
      <c r="K257" s="205" t="s">
        <v>5191</v>
      </c>
      <c r="L257" s="82">
        <v>1204397532</v>
      </c>
      <c r="M257" s="82">
        <v>768290500</v>
      </c>
      <c r="N257" s="210">
        <f t="shared" si="31"/>
        <v>1972688032</v>
      </c>
      <c r="O257" s="111">
        <f t="shared" si="32"/>
        <v>4065339</v>
      </c>
      <c r="P257" s="111">
        <f t="shared" si="33"/>
        <v>12754938</v>
      </c>
      <c r="Q257" s="216">
        <v>0</v>
      </c>
    </row>
    <row r="258" spans="9:19">
      <c r="I258" s="187" t="s">
        <v>5194</v>
      </c>
      <c r="J258" s="186">
        <f>L258-L257+488602</f>
        <v>5275127</v>
      </c>
      <c r="K258" s="187" t="s">
        <v>5192</v>
      </c>
      <c r="L258" s="220">
        <v>1209184057</v>
      </c>
      <c r="M258" s="220">
        <v>771944660</v>
      </c>
      <c r="N258" s="210">
        <f t="shared" si="31"/>
        <v>1981128717</v>
      </c>
      <c r="O258" s="186">
        <f t="shared" si="32"/>
        <v>3654160</v>
      </c>
      <c r="P258" s="186">
        <f>N258-N257+488602</f>
        <v>8929287</v>
      </c>
      <c r="Q258" s="216">
        <v>-488602</v>
      </c>
    </row>
    <row r="259" spans="9:19">
      <c r="I259" s="205"/>
      <c r="J259" s="111">
        <f t="shared" si="30"/>
        <v>-1457235</v>
      </c>
      <c r="K259" s="205" t="s">
        <v>5193</v>
      </c>
      <c r="L259" s="82">
        <v>1207726822</v>
      </c>
      <c r="M259" s="82">
        <v>769784297</v>
      </c>
      <c r="N259" s="111">
        <f t="shared" si="31"/>
        <v>1977511119</v>
      </c>
      <c r="O259" s="111">
        <f t="shared" si="32"/>
        <v>-2160363</v>
      </c>
      <c r="P259" s="111">
        <f t="shared" si="33"/>
        <v>-3617598</v>
      </c>
      <c r="Q259" s="216">
        <v>0</v>
      </c>
      <c r="S259" t="s">
        <v>25</v>
      </c>
    </row>
    <row r="260" spans="9:19">
      <c r="I260" s="205"/>
      <c r="J260" s="111">
        <f t="shared" si="30"/>
        <v>8817225</v>
      </c>
      <c r="K260" s="205" t="s">
        <v>5196</v>
      </c>
      <c r="L260" s="82">
        <v>1216544047</v>
      </c>
      <c r="M260" s="82">
        <v>776626854</v>
      </c>
      <c r="N260" s="210">
        <f t="shared" si="31"/>
        <v>1993170901</v>
      </c>
      <c r="O260" s="111">
        <f t="shared" si="32"/>
        <v>6842557</v>
      </c>
      <c r="P260" s="111">
        <f t="shared" si="33"/>
        <v>15659782</v>
      </c>
      <c r="Q260" s="216">
        <v>0</v>
      </c>
    </row>
    <row r="261" spans="9:19">
      <c r="I261" s="205"/>
      <c r="J261" s="111">
        <f t="shared" si="30"/>
        <v>-36544047</v>
      </c>
      <c r="K261" s="205" t="s">
        <v>5201</v>
      </c>
      <c r="L261" s="82">
        <v>1180000000</v>
      </c>
      <c r="M261" s="82">
        <v>756000000</v>
      </c>
      <c r="N261" s="111">
        <f t="shared" si="31"/>
        <v>1936000000</v>
      </c>
      <c r="O261" s="111">
        <f t="shared" si="32"/>
        <v>-20626854</v>
      </c>
      <c r="P261" s="111">
        <f t="shared" si="33"/>
        <v>-57170901</v>
      </c>
      <c r="Q261" s="216">
        <v>0</v>
      </c>
    </row>
    <row r="262" spans="9:19">
      <c r="I262" s="205"/>
      <c r="J262" s="111">
        <f t="shared" si="30"/>
        <v>-26566965</v>
      </c>
      <c r="K262" s="205" t="s">
        <v>5207</v>
      </c>
      <c r="L262" s="82">
        <v>1153433035</v>
      </c>
      <c r="M262" s="82">
        <v>736240181</v>
      </c>
      <c r="N262" s="111">
        <f t="shared" si="31"/>
        <v>1889673216</v>
      </c>
      <c r="O262" s="111">
        <f t="shared" si="32"/>
        <v>-19759819</v>
      </c>
      <c r="P262" s="111">
        <f t="shared" si="33"/>
        <v>-46326784</v>
      </c>
      <c r="Q262" s="216">
        <v>0</v>
      </c>
    </row>
    <row r="263" spans="9:19">
      <c r="I263" s="208" t="s">
        <v>5209</v>
      </c>
      <c r="J263" s="227">
        <f>L263-L262-360000</f>
        <v>-33793035</v>
      </c>
      <c r="K263" s="208" t="s">
        <v>5208</v>
      </c>
      <c r="L263" s="228">
        <v>1120000000</v>
      </c>
      <c r="M263" s="228">
        <v>718000000</v>
      </c>
      <c r="N263" s="227">
        <f t="shared" si="31"/>
        <v>1838000000</v>
      </c>
      <c r="O263" s="227">
        <f t="shared" si="32"/>
        <v>-18240181</v>
      </c>
      <c r="P263" s="227">
        <f>N263-N262-360000</f>
        <v>-52033216</v>
      </c>
      <c r="Q263" s="216">
        <v>360000</v>
      </c>
      <c r="S263" t="s">
        <v>25</v>
      </c>
    </row>
    <row r="264" spans="9:19">
      <c r="I264" s="205"/>
      <c r="J264" s="111">
        <f t="shared" si="30"/>
        <v>-23994521</v>
      </c>
      <c r="K264" s="205" t="s">
        <v>5210</v>
      </c>
      <c r="L264" s="82">
        <v>1096005479</v>
      </c>
      <c r="M264" s="82">
        <v>699253755</v>
      </c>
      <c r="N264" s="111">
        <f t="shared" si="31"/>
        <v>1795259234</v>
      </c>
      <c r="O264" s="111">
        <f t="shared" si="32"/>
        <v>-18746245</v>
      </c>
      <c r="P264" s="111">
        <f t="shared" si="33"/>
        <v>-42740766</v>
      </c>
      <c r="Q264" s="216">
        <v>0</v>
      </c>
    </row>
    <row r="265" spans="9:19">
      <c r="I265" s="205"/>
      <c r="J265" s="111">
        <f t="shared" si="30"/>
        <v>20648865</v>
      </c>
      <c r="K265" s="205" t="s">
        <v>5213</v>
      </c>
      <c r="L265" s="82">
        <v>1116654344</v>
      </c>
      <c r="M265" s="82">
        <v>712202921</v>
      </c>
      <c r="N265" s="111">
        <f t="shared" si="31"/>
        <v>1828857265</v>
      </c>
      <c r="O265" s="111">
        <f t="shared" si="32"/>
        <v>12949166</v>
      </c>
      <c r="P265" s="111">
        <f t="shared" si="33"/>
        <v>33598031</v>
      </c>
      <c r="Q265" s="216">
        <v>0</v>
      </c>
    </row>
    <row r="266" spans="9:19">
      <c r="I266" s="205"/>
      <c r="J266" s="111">
        <f t="shared" si="30"/>
        <v>54939743</v>
      </c>
      <c r="K266" s="205" t="s">
        <v>5214</v>
      </c>
      <c r="L266" s="82">
        <v>1171594087</v>
      </c>
      <c r="M266" s="82">
        <v>747327095</v>
      </c>
      <c r="N266" s="111">
        <f t="shared" si="31"/>
        <v>1918921182</v>
      </c>
      <c r="O266" s="111">
        <f t="shared" si="32"/>
        <v>35124174</v>
      </c>
      <c r="P266" s="111">
        <f t="shared" si="33"/>
        <v>90063917</v>
      </c>
      <c r="Q266" s="216">
        <v>0</v>
      </c>
      <c r="S266" t="s">
        <v>25</v>
      </c>
    </row>
    <row r="267" spans="9:19">
      <c r="I267" s="205"/>
      <c r="J267" s="111">
        <f t="shared" ref="J267:J281" si="34">L267-L266</f>
        <v>52738541</v>
      </c>
      <c r="K267" s="205" t="s">
        <v>5215</v>
      </c>
      <c r="L267" s="82">
        <v>1224332628</v>
      </c>
      <c r="M267" s="82">
        <v>781297921</v>
      </c>
      <c r="N267" s="210">
        <f t="shared" ref="N267:N281" si="35">L267+M267</f>
        <v>2005630549</v>
      </c>
      <c r="O267" s="111">
        <f t="shared" ref="O267:O281" si="36">M267-M266</f>
        <v>33970826</v>
      </c>
      <c r="P267" s="111">
        <f>N267-N266</f>
        <v>86709367</v>
      </c>
      <c r="Q267" s="216">
        <v>0</v>
      </c>
    </row>
    <row r="268" spans="9:19">
      <c r="I268" s="187" t="s">
        <v>5218</v>
      </c>
      <c r="J268" s="186">
        <f>L268-L267+3600000</f>
        <v>6784521</v>
      </c>
      <c r="K268" s="187" t="s">
        <v>5216</v>
      </c>
      <c r="L268" s="220">
        <v>1227517149</v>
      </c>
      <c r="M268" s="220">
        <v>781946723</v>
      </c>
      <c r="N268" s="210">
        <f>L268+M268</f>
        <v>2009463872</v>
      </c>
      <c r="O268" s="186">
        <f t="shared" si="36"/>
        <v>648802</v>
      </c>
      <c r="P268" s="186">
        <f>N268-N267+3600000</f>
        <v>7433323</v>
      </c>
      <c r="Q268" s="216">
        <v>-3600000</v>
      </c>
    </row>
    <row r="269" spans="9:19">
      <c r="I269" s="208" t="s">
        <v>5220</v>
      </c>
      <c r="J269" s="227">
        <f t="shared" si="34"/>
        <v>8668842</v>
      </c>
      <c r="K269" s="208" t="s">
        <v>5217</v>
      </c>
      <c r="L269" s="228">
        <v>1236185991</v>
      </c>
      <c r="M269" s="228">
        <v>790935464</v>
      </c>
      <c r="N269" s="210">
        <f t="shared" si="35"/>
        <v>2027121455</v>
      </c>
      <c r="O269" s="227">
        <f>M269-M268-2000000</f>
        <v>6988741</v>
      </c>
      <c r="P269" s="227">
        <f>N269-N268-2000000</f>
        <v>15657583</v>
      </c>
      <c r="Q269" s="216">
        <v>2000000</v>
      </c>
    </row>
    <row r="270" spans="9:19">
      <c r="I270" s="205"/>
      <c r="J270" s="111">
        <f t="shared" si="34"/>
        <v>59400386</v>
      </c>
      <c r="K270" s="205" t="s">
        <v>5222</v>
      </c>
      <c r="L270" s="82">
        <v>1295586377</v>
      </c>
      <c r="M270" s="82">
        <v>830602955</v>
      </c>
      <c r="N270" s="210">
        <f t="shared" si="35"/>
        <v>2126189332</v>
      </c>
      <c r="O270" s="111">
        <f t="shared" si="36"/>
        <v>39667491</v>
      </c>
      <c r="P270" s="111">
        <f>N270-N269</f>
        <v>99067877</v>
      </c>
      <c r="Q270" s="216">
        <v>0</v>
      </c>
    </row>
    <row r="271" spans="9:19">
      <c r="I271" s="187" t="s">
        <v>5224</v>
      </c>
      <c r="J271" s="186">
        <f>L271-L270+1000000</f>
        <v>21062163</v>
      </c>
      <c r="K271" s="187" t="s">
        <v>5223</v>
      </c>
      <c r="L271" s="220">
        <v>1315648540</v>
      </c>
      <c r="M271" s="220">
        <v>837889920</v>
      </c>
      <c r="N271" s="210">
        <f t="shared" si="35"/>
        <v>2153538460</v>
      </c>
      <c r="O271" s="186">
        <f t="shared" si="36"/>
        <v>7286965</v>
      </c>
      <c r="P271" s="186">
        <f>N271-N270+1000000</f>
        <v>28349128</v>
      </c>
      <c r="Q271" s="216">
        <v>-1000000</v>
      </c>
    </row>
    <row r="272" spans="9:19">
      <c r="I272" s="205"/>
      <c r="J272" s="111">
        <f t="shared" si="34"/>
        <v>-25648540</v>
      </c>
      <c r="K272" s="205" t="s">
        <v>5226</v>
      </c>
      <c r="L272" s="82">
        <v>1290000000</v>
      </c>
      <c r="M272" s="82">
        <v>830000000</v>
      </c>
      <c r="N272" s="111">
        <f t="shared" si="35"/>
        <v>2120000000</v>
      </c>
      <c r="O272" s="111">
        <f t="shared" si="36"/>
        <v>-7889920</v>
      </c>
      <c r="P272" s="111">
        <f>N272-N271</f>
        <v>-33538460</v>
      </c>
    </row>
    <row r="273" spans="4:23">
      <c r="I273" s="205"/>
      <c r="J273" s="111">
        <f t="shared" si="34"/>
        <v>5173477</v>
      </c>
      <c r="K273" s="205" t="s">
        <v>5229</v>
      </c>
      <c r="L273" s="82">
        <v>1295173477</v>
      </c>
      <c r="M273" s="82">
        <v>832119130</v>
      </c>
      <c r="N273" s="111">
        <f t="shared" si="35"/>
        <v>2127292607</v>
      </c>
      <c r="O273" s="111">
        <f t="shared" si="36"/>
        <v>2119130</v>
      </c>
      <c r="P273" s="111">
        <f>N273-N272</f>
        <v>7292607</v>
      </c>
    </row>
    <row r="274" spans="4:23">
      <c r="D274" t="s">
        <v>25</v>
      </c>
      <c r="I274" s="208" t="s">
        <v>5209</v>
      </c>
      <c r="J274" s="227">
        <f>L274-L273-360000</f>
        <v>-3379409</v>
      </c>
      <c r="K274" s="208" t="s">
        <v>5230</v>
      </c>
      <c r="L274" s="228">
        <v>1292154068</v>
      </c>
      <c r="M274" s="228">
        <v>833033746</v>
      </c>
      <c r="N274" s="227">
        <f t="shared" si="35"/>
        <v>2125187814</v>
      </c>
      <c r="O274" s="227">
        <f t="shared" si="36"/>
        <v>914616</v>
      </c>
      <c r="P274" s="227">
        <f>N274-N273-360000</f>
        <v>-2464793</v>
      </c>
      <c r="Q274" s="216">
        <v>360000</v>
      </c>
    </row>
    <row r="275" spans="4:23">
      <c r="I275" s="208" t="s">
        <v>5234</v>
      </c>
      <c r="J275" s="227">
        <f>L275-L274-2000000</f>
        <v>-22946012</v>
      </c>
      <c r="K275" s="208" t="s">
        <v>5233</v>
      </c>
      <c r="L275" s="228">
        <v>1271208056</v>
      </c>
      <c r="M275" s="228">
        <v>825161254</v>
      </c>
      <c r="N275" s="227">
        <f t="shared" si="35"/>
        <v>2096369310</v>
      </c>
      <c r="O275" s="227">
        <f t="shared" si="36"/>
        <v>-7872492</v>
      </c>
      <c r="P275" s="227">
        <f>N275-N274-2000000</f>
        <v>-30818504</v>
      </c>
      <c r="Q275" s="216">
        <v>2000000</v>
      </c>
    </row>
    <row r="276" spans="4:23">
      <c r="I276" s="208" t="s">
        <v>5236</v>
      </c>
      <c r="J276" s="227">
        <f>L276-L275-15300000</f>
        <v>32802006</v>
      </c>
      <c r="K276" s="208" t="s">
        <v>5235</v>
      </c>
      <c r="L276" s="228">
        <v>1319310062</v>
      </c>
      <c r="M276" s="228">
        <v>846171439</v>
      </c>
      <c r="N276" s="227">
        <f t="shared" si="35"/>
        <v>2165481501</v>
      </c>
      <c r="O276" s="227">
        <f>M276-M275-200000</f>
        <v>20810185</v>
      </c>
      <c r="P276" s="227">
        <f>N276-N275-15500000</f>
        <v>53612191</v>
      </c>
      <c r="Q276" s="216">
        <v>15500000</v>
      </c>
    </row>
    <row r="277" spans="4:23">
      <c r="I277" s="208" t="s">
        <v>5239</v>
      </c>
      <c r="J277" s="227">
        <f>L277-L276-3000000</f>
        <v>12429762</v>
      </c>
      <c r="K277" s="208" t="s">
        <v>5238</v>
      </c>
      <c r="L277" s="228">
        <v>1334739824</v>
      </c>
      <c r="M277" s="228">
        <v>848815156</v>
      </c>
      <c r="N277" s="210">
        <f t="shared" si="35"/>
        <v>2183554980</v>
      </c>
      <c r="O277" s="227">
        <f>M277-M276-50000</f>
        <v>2593717</v>
      </c>
      <c r="P277" s="227">
        <f>N277-N276-3050000</f>
        <v>15023479</v>
      </c>
      <c r="Q277" s="216">
        <v>3050000</v>
      </c>
    </row>
    <row r="278" spans="4:23">
      <c r="I278" s="208" t="s">
        <v>5241</v>
      </c>
      <c r="J278" s="227">
        <f>L278-L277-1680000</f>
        <v>-15903030</v>
      </c>
      <c r="K278" s="208" t="s">
        <v>5240</v>
      </c>
      <c r="L278" s="228">
        <v>1320516794</v>
      </c>
      <c r="M278" s="228">
        <v>834312363</v>
      </c>
      <c r="N278" s="227">
        <f t="shared" si="35"/>
        <v>2154829157</v>
      </c>
      <c r="O278" s="227">
        <f>M278-M277-100000</f>
        <v>-14602793</v>
      </c>
      <c r="P278" s="227">
        <f>N278-N277-1600000</f>
        <v>-30325823</v>
      </c>
      <c r="Q278" s="216">
        <v>1780000</v>
      </c>
      <c r="S278" t="s">
        <v>25</v>
      </c>
    </row>
    <row r="279" spans="4:23">
      <c r="I279" s="208" t="s">
        <v>5243</v>
      </c>
      <c r="J279" s="227">
        <f>L279-L278-30000000</f>
        <v>3387493</v>
      </c>
      <c r="K279" s="208" t="s">
        <v>5242</v>
      </c>
      <c r="L279" s="228">
        <v>1353904287</v>
      </c>
      <c r="M279" s="228">
        <v>836074409</v>
      </c>
      <c r="N279" s="227">
        <f t="shared" si="35"/>
        <v>2189978696</v>
      </c>
      <c r="O279" s="227">
        <f t="shared" si="36"/>
        <v>1762046</v>
      </c>
      <c r="P279" s="227">
        <f>N279-N278-30000000</f>
        <v>5149539</v>
      </c>
      <c r="Q279" s="216">
        <v>30000000</v>
      </c>
      <c r="S279" t="s">
        <v>25</v>
      </c>
    </row>
    <row r="280" spans="4:23">
      <c r="I280" s="205"/>
      <c r="J280" s="111">
        <f t="shared" si="34"/>
        <v>21498999</v>
      </c>
      <c r="K280" s="205" t="s">
        <v>981</v>
      </c>
      <c r="L280" s="82">
        <v>1375403286</v>
      </c>
      <c r="M280" s="82">
        <v>844014315</v>
      </c>
      <c r="N280" s="210">
        <f t="shared" si="35"/>
        <v>2219417601</v>
      </c>
      <c r="O280" s="111">
        <f t="shared" si="36"/>
        <v>7939906</v>
      </c>
      <c r="P280" s="111">
        <f>N280-N279</f>
        <v>29438905</v>
      </c>
      <c r="Q280" s="216">
        <v>0</v>
      </c>
    </row>
    <row r="281" spans="4:23">
      <c r="G281" s="72" t="s">
        <v>25</v>
      </c>
      <c r="I281" s="205"/>
      <c r="J281" s="111">
        <f t="shared" si="34"/>
        <v>4332272</v>
      </c>
      <c r="K281" s="205" t="s">
        <v>5248</v>
      </c>
      <c r="L281" s="82">
        <v>1379735558</v>
      </c>
      <c r="M281" s="82">
        <v>848557580</v>
      </c>
      <c r="N281" s="210">
        <f t="shared" si="35"/>
        <v>2228293138</v>
      </c>
      <c r="O281" s="111">
        <f t="shared" si="36"/>
        <v>4543265</v>
      </c>
      <c r="P281" s="111">
        <f>N281-N280</f>
        <v>8875537</v>
      </c>
      <c r="Q281" s="216">
        <v>0</v>
      </c>
    </row>
    <row r="282" spans="4:23">
      <c r="I282" s="205"/>
      <c r="J282" s="111">
        <f t="shared" ref="J282:J415" si="37">L282-L281</f>
        <v>29783485</v>
      </c>
      <c r="K282" s="205" t="s">
        <v>5249</v>
      </c>
      <c r="L282" s="82">
        <v>1409519043</v>
      </c>
      <c r="M282" s="82">
        <v>865379346</v>
      </c>
      <c r="N282" s="210">
        <f t="shared" ref="N282:N309" si="38">L282+M282</f>
        <v>2274898389</v>
      </c>
      <c r="O282" s="111">
        <f t="shared" ref="O282:O309" si="39">M282-M281</f>
        <v>16821766</v>
      </c>
      <c r="P282" s="111">
        <f t="shared" ref="P282:P309" si="40">N282-N281</f>
        <v>46605251</v>
      </c>
      <c r="Q282" s="216">
        <v>0</v>
      </c>
    </row>
    <row r="283" spans="4:23">
      <c r="I283" s="205"/>
      <c r="J283" s="111">
        <f t="shared" si="37"/>
        <v>46239300</v>
      </c>
      <c r="K283" s="205" t="s">
        <v>5252</v>
      </c>
      <c r="L283" s="82">
        <v>1455758343</v>
      </c>
      <c r="M283" s="82">
        <v>892393185</v>
      </c>
      <c r="N283" s="210">
        <f t="shared" si="38"/>
        <v>2348151528</v>
      </c>
      <c r="O283" s="111">
        <f t="shared" si="39"/>
        <v>27013839</v>
      </c>
      <c r="P283" s="111">
        <f t="shared" si="40"/>
        <v>73253139</v>
      </c>
      <c r="Q283" s="216">
        <v>0</v>
      </c>
      <c r="W283" t="s">
        <v>25</v>
      </c>
    </row>
    <row r="284" spans="4:23">
      <c r="I284" s="205"/>
      <c r="J284" s="111">
        <f t="shared" si="37"/>
        <v>17681036</v>
      </c>
      <c r="K284" s="205" t="s">
        <v>5255</v>
      </c>
      <c r="L284" s="82">
        <v>1473439379</v>
      </c>
      <c r="M284" s="82">
        <v>906774030</v>
      </c>
      <c r="N284" s="210">
        <f t="shared" si="38"/>
        <v>2380213409</v>
      </c>
      <c r="O284" s="111">
        <f t="shared" si="39"/>
        <v>14380845</v>
      </c>
      <c r="P284" s="111">
        <f t="shared" si="40"/>
        <v>32061881</v>
      </c>
      <c r="Q284" s="216">
        <v>0</v>
      </c>
    </row>
    <row r="285" spans="4:23">
      <c r="I285" s="187" t="s">
        <v>5258</v>
      </c>
      <c r="J285" s="186">
        <f t="shared" si="37"/>
        <v>4331396</v>
      </c>
      <c r="K285" s="187" t="s">
        <v>5256</v>
      </c>
      <c r="L285" s="220">
        <v>1477770775</v>
      </c>
      <c r="M285" s="220">
        <v>915475851</v>
      </c>
      <c r="N285" s="210">
        <f t="shared" si="38"/>
        <v>2393246626</v>
      </c>
      <c r="O285" s="186">
        <f>M285-M284+550000</f>
        <v>9251821</v>
      </c>
      <c r="P285" s="186">
        <f>N285-N284+550000</f>
        <v>13583217</v>
      </c>
      <c r="Q285" s="216">
        <v>-550000</v>
      </c>
    </row>
    <row r="286" spans="4:23">
      <c r="I286" s="187" t="s">
        <v>5262</v>
      </c>
      <c r="J286" s="186">
        <f t="shared" si="37"/>
        <v>39081054</v>
      </c>
      <c r="K286" s="187" t="s">
        <v>5260</v>
      </c>
      <c r="L286" s="220">
        <v>1516851829</v>
      </c>
      <c r="M286" s="220">
        <v>905126712</v>
      </c>
      <c r="N286" s="210">
        <f t="shared" si="38"/>
        <v>2421978541</v>
      </c>
      <c r="O286" s="186">
        <f>M286-M285+29686490</f>
        <v>19337351</v>
      </c>
      <c r="P286" s="186">
        <f>N286-N285+29686490</f>
        <v>58418405</v>
      </c>
      <c r="Q286" s="216">
        <v>-29686490</v>
      </c>
    </row>
    <row r="287" spans="4:23">
      <c r="I287" s="205"/>
      <c r="J287" s="111">
        <f t="shared" si="37"/>
        <v>43584276</v>
      </c>
      <c r="K287" s="205" t="s">
        <v>5261</v>
      </c>
      <c r="L287" s="82">
        <v>1560436105</v>
      </c>
      <c r="M287" s="82">
        <v>940791901</v>
      </c>
      <c r="N287" s="210">
        <f t="shared" si="38"/>
        <v>2501228006</v>
      </c>
      <c r="O287" s="111">
        <f t="shared" si="39"/>
        <v>35665189</v>
      </c>
      <c r="P287" s="111">
        <f t="shared" si="40"/>
        <v>79249465</v>
      </c>
      <c r="Q287" s="216">
        <v>0</v>
      </c>
    </row>
    <row r="288" spans="4:23">
      <c r="I288" s="187" t="s">
        <v>5270</v>
      </c>
      <c r="J288" s="186">
        <f t="shared" si="37"/>
        <v>83455296</v>
      </c>
      <c r="K288" s="187" t="s">
        <v>5269</v>
      </c>
      <c r="L288" s="220">
        <v>1643891401</v>
      </c>
      <c r="M288" s="220">
        <v>982283411</v>
      </c>
      <c r="N288" s="210">
        <f t="shared" si="38"/>
        <v>2626174812</v>
      </c>
      <c r="O288" s="186">
        <f>M288-M287+9000000</f>
        <v>50491510</v>
      </c>
      <c r="P288" s="186">
        <f>N288-N287+9000000</f>
        <v>133946806</v>
      </c>
      <c r="Q288" s="216">
        <v>-9000000</v>
      </c>
      <c r="V288" t="s">
        <v>25</v>
      </c>
    </row>
    <row r="289" spans="9:21">
      <c r="I289" s="205"/>
      <c r="J289" s="111">
        <f t="shared" si="37"/>
        <v>-564040</v>
      </c>
      <c r="K289" s="205" t="s">
        <v>5272</v>
      </c>
      <c r="L289" s="82">
        <v>1643327361</v>
      </c>
      <c r="M289" s="82">
        <v>994154099</v>
      </c>
      <c r="N289" s="210">
        <f t="shared" si="38"/>
        <v>2637481460</v>
      </c>
      <c r="O289" s="111">
        <f t="shared" si="39"/>
        <v>11870688</v>
      </c>
      <c r="P289" s="111">
        <f t="shared" si="40"/>
        <v>11306648</v>
      </c>
      <c r="Q289" s="216">
        <v>0</v>
      </c>
    </row>
    <row r="290" spans="9:21">
      <c r="I290" s="205"/>
      <c r="J290" s="111">
        <f t="shared" si="37"/>
        <v>36636239</v>
      </c>
      <c r="K290" s="205" t="s">
        <v>5276</v>
      </c>
      <c r="L290" s="82">
        <v>1679963600</v>
      </c>
      <c r="M290" s="82">
        <v>1007339950</v>
      </c>
      <c r="N290" s="210">
        <f t="shared" si="38"/>
        <v>2687303550</v>
      </c>
      <c r="O290" s="111">
        <f>M290-M289</f>
        <v>13185851</v>
      </c>
      <c r="P290" s="111">
        <f t="shared" si="40"/>
        <v>49822090</v>
      </c>
      <c r="Q290" s="216">
        <v>0</v>
      </c>
    </row>
    <row r="291" spans="9:21">
      <c r="I291" s="205"/>
      <c r="J291" s="111">
        <f t="shared" si="37"/>
        <v>53600320</v>
      </c>
      <c r="K291" s="205" t="s">
        <v>5281</v>
      </c>
      <c r="L291" s="82">
        <v>1733563920</v>
      </c>
      <c r="M291" s="82">
        <v>1028479912</v>
      </c>
      <c r="N291" s="210">
        <f t="shared" si="38"/>
        <v>2762043832</v>
      </c>
      <c r="O291" s="111">
        <f t="shared" si="39"/>
        <v>21139962</v>
      </c>
      <c r="P291" s="111">
        <f t="shared" si="40"/>
        <v>74740282</v>
      </c>
      <c r="Q291" s="216">
        <v>0</v>
      </c>
    </row>
    <row r="292" spans="9:21">
      <c r="I292" s="205"/>
      <c r="J292" s="111">
        <f t="shared" si="37"/>
        <v>16436080</v>
      </c>
      <c r="K292" s="205" t="s">
        <v>5290</v>
      </c>
      <c r="L292" s="82">
        <v>1750000000</v>
      </c>
      <c r="M292" s="82">
        <v>1035000000</v>
      </c>
      <c r="N292" s="210">
        <f t="shared" si="38"/>
        <v>2785000000</v>
      </c>
      <c r="O292" s="111">
        <f t="shared" si="39"/>
        <v>6520088</v>
      </c>
      <c r="P292" s="111">
        <f t="shared" si="40"/>
        <v>22956168</v>
      </c>
      <c r="Q292" s="216">
        <v>0</v>
      </c>
      <c r="U292" t="s">
        <v>25</v>
      </c>
    </row>
    <row r="293" spans="9:21">
      <c r="I293" s="205"/>
      <c r="J293" s="111">
        <f t="shared" si="37"/>
        <v>10000000</v>
      </c>
      <c r="K293" s="205" t="s">
        <v>5313</v>
      </c>
      <c r="L293" s="82">
        <v>1760000000</v>
      </c>
      <c r="M293" s="82">
        <v>1045000000</v>
      </c>
      <c r="N293" s="210">
        <f t="shared" si="38"/>
        <v>2805000000</v>
      </c>
      <c r="O293" s="111">
        <f t="shared" si="39"/>
        <v>10000000</v>
      </c>
      <c r="P293" s="111">
        <f t="shared" si="40"/>
        <v>20000000</v>
      </c>
      <c r="Q293" s="216">
        <v>0</v>
      </c>
    </row>
    <row r="294" spans="9:21">
      <c r="I294" s="205"/>
      <c r="J294" s="111">
        <f t="shared" si="37"/>
        <v>15456973</v>
      </c>
      <c r="K294" s="205" t="s">
        <v>5312</v>
      </c>
      <c r="L294" s="82">
        <v>1775456973</v>
      </c>
      <c r="M294" s="82">
        <v>1056375788</v>
      </c>
      <c r="N294" s="210">
        <f t="shared" si="38"/>
        <v>2831832761</v>
      </c>
      <c r="O294" s="111">
        <f t="shared" si="39"/>
        <v>11375788</v>
      </c>
      <c r="P294" s="111">
        <f t="shared" si="40"/>
        <v>26832761</v>
      </c>
      <c r="Q294" s="216">
        <v>0</v>
      </c>
    </row>
    <row r="295" spans="9:21">
      <c r="I295" s="205" t="s">
        <v>5318</v>
      </c>
      <c r="J295" s="111">
        <f>L295-L294-3000000</f>
        <v>19422686</v>
      </c>
      <c r="K295" s="205" t="s">
        <v>5316</v>
      </c>
      <c r="L295" s="82">
        <v>1797879659</v>
      </c>
      <c r="M295" s="82">
        <v>1054864328</v>
      </c>
      <c r="N295" s="210">
        <f t="shared" si="38"/>
        <v>2852743987</v>
      </c>
      <c r="O295" s="111">
        <f t="shared" si="39"/>
        <v>-1511460</v>
      </c>
      <c r="P295" s="111">
        <f>N295-N294-3000000</f>
        <v>17911226</v>
      </c>
      <c r="Q295" s="216">
        <v>3000000</v>
      </c>
    </row>
    <row r="296" spans="9:21">
      <c r="I296" s="208" t="s">
        <v>5319</v>
      </c>
      <c r="J296" s="227">
        <f>L296-L295-7000000</f>
        <v>-47124934</v>
      </c>
      <c r="K296" s="208" t="s">
        <v>5317</v>
      </c>
      <c r="L296" s="228">
        <v>1757754725</v>
      </c>
      <c r="M296" s="228">
        <v>1037677810</v>
      </c>
      <c r="N296" s="227">
        <f t="shared" si="38"/>
        <v>2795432535</v>
      </c>
      <c r="O296" s="227">
        <f>M296-M295+4190000</f>
        <v>-12996518</v>
      </c>
      <c r="P296" s="227">
        <f>N296-N295+4190000-7000000</f>
        <v>-60121452</v>
      </c>
      <c r="Q296" s="216">
        <v>2810000</v>
      </c>
    </row>
    <row r="297" spans="9:21">
      <c r="I297" s="208" t="s">
        <v>5327</v>
      </c>
      <c r="J297" s="227">
        <f t="shared" si="37"/>
        <v>-53501669</v>
      </c>
      <c r="K297" s="208" t="s">
        <v>5321</v>
      </c>
      <c r="L297" s="228">
        <v>1704253056</v>
      </c>
      <c r="M297" s="228">
        <v>973497834</v>
      </c>
      <c r="N297" s="227">
        <f t="shared" si="38"/>
        <v>2677750890</v>
      </c>
      <c r="O297" s="227">
        <f>M297-M296+26000000</f>
        <v>-38179976</v>
      </c>
      <c r="P297" s="227">
        <f>N297-N296+26000000</f>
        <v>-91681645</v>
      </c>
      <c r="Q297" s="216">
        <v>-26000000</v>
      </c>
    </row>
    <row r="298" spans="9:21">
      <c r="I298" s="208" t="s">
        <v>5329</v>
      </c>
      <c r="J298" s="227">
        <f>L298-L297-8800000</f>
        <v>26691445</v>
      </c>
      <c r="K298" s="208" t="s">
        <v>5325</v>
      </c>
      <c r="L298" s="228">
        <v>1739744501</v>
      </c>
      <c r="M298" s="228">
        <v>914540569</v>
      </c>
      <c r="N298" s="227">
        <f t="shared" si="38"/>
        <v>2654285070</v>
      </c>
      <c r="O298" s="227">
        <f>M298-M297+81800000</f>
        <v>22842735</v>
      </c>
      <c r="P298" s="227">
        <f>N298-N297+73000000</f>
        <v>49534180</v>
      </c>
      <c r="Q298" s="216">
        <v>-73000000</v>
      </c>
    </row>
    <row r="299" spans="9:21">
      <c r="I299" s="208" t="s">
        <v>5332</v>
      </c>
      <c r="J299" s="227">
        <f t="shared" si="37"/>
        <v>32696702</v>
      </c>
      <c r="K299" s="208" t="s">
        <v>5326</v>
      </c>
      <c r="L299" s="228">
        <v>1772441203</v>
      </c>
      <c r="M299" s="228">
        <v>900025831</v>
      </c>
      <c r="N299" s="227">
        <f t="shared" si="38"/>
        <v>2672467034</v>
      </c>
      <c r="O299" s="227">
        <f>M299-M298+34000000</f>
        <v>19485262</v>
      </c>
      <c r="P299" s="227">
        <f>N299-N298+34000000</f>
        <v>52181964</v>
      </c>
      <c r="Q299" s="216">
        <v>-34000000</v>
      </c>
    </row>
    <row r="300" spans="9:21">
      <c r="I300" s="187" t="s">
        <v>5334</v>
      </c>
      <c r="J300" s="186">
        <f>L300-L299-40000000</f>
        <v>74215198</v>
      </c>
      <c r="K300" s="187" t="s">
        <v>5330</v>
      </c>
      <c r="L300" s="220">
        <v>1886656401</v>
      </c>
      <c r="M300" s="220">
        <v>937495623</v>
      </c>
      <c r="N300" s="210">
        <f t="shared" si="38"/>
        <v>2824152024</v>
      </c>
      <c r="O300" s="186">
        <f t="shared" si="39"/>
        <v>37469792</v>
      </c>
      <c r="P300" s="186">
        <f>N300-N299-40000000</f>
        <v>111684990</v>
      </c>
      <c r="Q300" s="216">
        <v>40000000</v>
      </c>
      <c r="S300" t="s">
        <v>25</v>
      </c>
      <c r="T300" t="s">
        <v>25</v>
      </c>
    </row>
    <row r="301" spans="9:21">
      <c r="I301" s="187" t="s">
        <v>5146</v>
      </c>
      <c r="J301" s="186">
        <f t="shared" si="37"/>
        <v>39912599</v>
      </c>
      <c r="K301" s="187" t="s">
        <v>5331</v>
      </c>
      <c r="L301" s="220">
        <v>1926569000</v>
      </c>
      <c r="M301" s="220">
        <v>959442000</v>
      </c>
      <c r="N301" s="210">
        <f t="shared" si="38"/>
        <v>2886011000</v>
      </c>
      <c r="O301" s="186">
        <f>M301-M300-300000</f>
        <v>21646377</v>
      </c>
      <c r="P301" s="186">
        <f>N301-N300-300000</f>
        <v>61558976</v>
      </c>
      <c r="Q301" s="216">
        <v>300000</v>
      </c>
    </row>
    <row r="302" spans="9:21">
      <c r="I302" s="187" t="s">
        <v>5340</v>
      </c>
      <c r="J302" s="186">
        <f t="shared" si="37"/>
        <v>-55865388</v>
      </c>
      <c r="K302" s="187" t="s">
        <v>5339</v>
      </c>
      <c r="L302" s="220">
        <v>1870703612</v>
      </c>
      <c r="M302" s="220">
        <v>925667252</v>
      </c>
      <c r="N302" s="186">
        <f t="shared" si="38"/>
        <v>2796370864</v>
      </c>
      <c r="O302" s="186">
        <f>M302-M301-1000000</f>
        <v>-34774748</v>
      </c>
      <c r="P302" s="186">
        <f>N302-N301-1000000</f>
        <v>-90640136</v>
      </c>
      <c r="Q302" s="216">
        <v>1000000</v>
      </c>
    </row>
    <row r="303" spans="9:21">
      <c r="I303" s="205"/>
      <c r="J303" s="111">
        <f t="shared" si="37"/>
        <v>-97273791</v>
      </c>
      <c r="K303" s="205" t="s">
        <v>5342</v>
      </c>
      <c r="L303" s="82">
        <v>1773429821</v>
      </c>
      <c r="M303" s="82">
        <v>878782830</v>
      </c>
      <c r="N303" s="111">
        <f t="shared" si="38"/>
        <v>2652212651</v>
      </c>
      <c r="O303" s="111">
        <f t="shared" si="39"/>
        <v>-46884422</v>
      </c>
      <c r="P303" s="111">
        <f t="shared" si="40"/>
        <v>-144158213</v>
      </c>
      <c r="Q303" s="216">
        <v>0</v>
      </c>
    </row>
    <row r="304" spans="9:21">
      <c r="I304" s="205" t="s">
        <v>25</v>
      </c>
      <c r="J304" s="111">
        <f t="shared" si="37"/>
        <v>-429821</v>
      </c>
      <c r="K304" s="205" t="s">
        <v>5344</v>
      </c>
      <c r="L304" s="82">
        <v>1773000000</v>
      </c>
      <c r="M304" s="82">
        <v>879000000</v>
      </c>
      <c r="N304" s="111">
        <f t="shared" si="38"/>
        <v>2652000000</v>
      </c>
      <c r="O304" s="111">
        <f t="shared" si="39"/>
        <v>217170</v>
      </c>
      <c r="P304" s="111">
        <f t="shared" si="40"/>
        <v>-212651</v>
      </c>
      <c r="Q304" s="216">
        <v>0</v>
      </c>
    </row>
    <row r="305" spans="9:17">
      <c r="I305" s="205" t="s">
        <v>5346</v>
      </c>
      <c r="J305" s="111">
        <f>L305-L304-400000</f>
        <v>-400000</v>
      </c>
      <c r="K305" s="205" t="s">
        <v>5345</v>
      </c>
      <c r="L305" s="82">
        <v>1773000000</v>
      </c>
      <c r="M305" s="82">
        <v>879000000</v>
      </c>
      <c r="N305" s="111">
        <f t="shared" si="38"/>
        <v>2652000000</v>
      </c>
      <c r="O305" s="111">
        <f>M305-M304-400000</f>
        <v>-400000</v>
      </c>
      <c r="P305" s="111">
        <f>N305-N304-800000</f>
        <v>-800000</v>
      </c>
      <c r="Q305" s="216">
        <v>800000</v>
      </c>
    </row>
    <row r="306" spans="9:17">
      <c r="I306" s="205"/>
      <c r="J306" s="111">
        <f t="shared" si="37"/>
        <v>-186924808</v>
      </c>
      <c r="K306" s="205" t="s">
        <v>5352</v>
      </c>
      <c r="L306" s="82">
        <v>1586075192</v>
      </c>
      <c r="M306" s="82">
        <v>781102872</v>
      </c>
      <c r="N306" s="111">
        <f t="shared" si="38"/>
        <v>2367178064</v>
      </c>
      <c r="O306" s="111">
        <f t="shared" si="39"/>
        <v>-97897128</v>
      </c>
      <c r="P306" s="111">
        <f t="shared" si="40"/>
        <v>-284821936</v>
      </c>
      <c r="Q306" s="216">
        <v>0</v>
      </c>
    </row>
    <row r="307" spans="9:17">
      <c r="I307" s="205"/>
      <c r="J307" s="111">
        <f t="shared" si="37"/>
        <v>41531186</v>
      </c>
      <c r="K307" s="205" t="s">
        <v>5365</v>
      </c>
      <c r="L307" s="82">
        <v>1627606378</v>
      </c>
      <c r="M307" s="82">
        <v>802901457</v>
      </c>
      <c r="N307" s="111">
        <f t="shared" si="38"/>
        <v>2430507835</v>
      </c>
      <c r="O307" s="111">
        <f t="shared" si="39"/>
        <v>21798585</v>
      </c>
      <c r="P307" s="111">
        <f t="shared" si="40"/>
        <v>63329771</v>
      </c>
      <c r="Q307" s="216">
        <v>0</v>
      </c>
    </row>
    <row r="308" spans="9:17">
      <c r="I308" s="205" t="s">
        <v>5367</v>
      </c>
      <c r="J308" s="111">
        <f>L308-L307+968000</f>
        <v>30858637</v>
      </c>
      <c r="K308" s="205" t="s">
        <v>5366</v>
      </c>
      <c r="L308" s="82">
        <v>1657497015</v>
      </c>
      <c r="M308" s="82">
        <v>821645954</v>
      </c>
      <c r="N308" s="111">
        <f t="shared" si="38"/>
        <v>2479142969</v>
      </c>
      <c r="O308" s="111">
        <f t="shared" si="39"/>
        <v>18744497</v>
      </c>
      <c r="P308" s="111">
        <f>N308-N307+968000</f>
        <v>49603134</v>
      </c>
      <c r="Q308" s="216">
        <v>-968000</v>
      </c>
    </row>
    <row r="309" spans="9:17">
      <c r="I309" s="205"/>
      <c r="J309" s="111">
        <f t="shared" si="37"/>
        <v>48059361</v>
      </c>
      <c r="K309" s="205" t="s">
        <v>5368</v>
      </c>
      <c r="L309" s="82">
        <v>1705556376</v>
      </c>
      <c r="M309" s="82">
        <v>850233025</v>
      </c>
      <c r="N309" s="111">
        <f t="shared" si="38"/>
        <v>2555789401</v>
      </c>
      <c r="O309" s="111">
        <f t="shared" si="39"/>
        <v>28587071</v>
      </c>
      <c r="P309" s="111">
        <f t="shared" si="40"/>
        <v>76646432</v>
      </c>
      <c r="Q309" s="216">
        <v>0</v>
      </c>
    </row>
    <row r="310" spans="9:17">
      <c r="I310" s="205"/>
      <c r="J310" s="111">
        <f t="shared" si="37"/>
        <v>59443624</v>
      </c>
      <c r="K310" s="205" t="s">
        <v>5369</v>
      </c>
      <c r="L310" s="82">
        <v>1765000000</v>
      </c>
      <c r="M310" s="82">
        <v>874000000</v>
      </c>
      <c r="N310" s="111">
        <f t="shared" ref="N310:N329" si="41">L310+M310</f>
        <v>2639000000</v>
      </c>
      <c r="O310" s="111">
        <f t="shared" ref="O310:O329" si="42">M310-M309</f>
        <v>23766975</v>
      </c>
      <c r="P310" s="111">
        <f t="shared" ref="P310:P329" si="43">N310-N309</f>
        <v>83210599</v>
      </c>
      <c r="Q310" s="216">
        <v>0</v>
      </c>
    </row>
    <row r="311" spans="9:17">
      <c r="I311" s="205"/>
      <c r="J311" s="111">
        <f t="shared" si="37"/>
        <v>5000000</v>
      </c>
      <c r="K311" s="205" t="s">
        <v>5371</v>
      </c>
      <c r="L311" s="82">
        <v>1770000000</v>
      </c>
      <c r="M311" s="82">
        <v>883000000</v>
      </c>
      <c r="N311" s="111">
        <f t="shared" si="41"/>
        <v>2653000000</v>
      </c>
      <c r="O311" s="111">
        <f t="shared" si="42"/>
        <v>9000000</v>
      </c>
      <c r="P311" s="111">
        <f t="shared" si="43"/>
        <v>14000000</v>
      </c>
      <c r="Q311" s="216">
        <v>0</v>
      </c>
    </row>
    <row r="312" spans="9:17">
      <c r="I312" s="205"/>
      <c r="J312" s="111">
        <f t="shared" si="37"/>
        <v>-23705382</v>
      </c>
      <c r="K312" s="205" t="s">
        <v>5372</v>
      </c>
      <c r="L312" s="82">
        <v>1746294618</v>
      </c>
      <c r="M312" s="82">
        <v>870404179</v>
      </c>
      <c r="N312" s="111">
        <f t="shared" si="41"/>
        <v>2616698797</v>
      </c>
      <c r="O312" s="111">
        <f t="shared" si="42"/>
        <v>-12595821</v>
      </c>
      <c r="P312" s="111">
        <f t="shared" si="43"/>
        <v>-36301203</v>
      </c>
      <c r="Q312" s="216">
        <v>0</v>
      </c>
    </row>
    <row r="313" spans="9:17">
      <c r="I313" s="205"/>
      <c r="J313" s="111">
        <f t="shared" si="37"/>
        <v>52843587</v>
      </c>
      <c r="K313" s="205" t="s">
        <v>5373</v>
      </c>
      <c r="L313" s="82">
        <v>1799138205</v>
      </c>
      <c r="M313" s="82">
        <v>895075872</v>
      </c>
      <c r="N313" s="111">
        <f t="shared" si="41"/>
        <v>2694214077</v>
      </c>
      <c r="O313" s="111">
        <f t="shared" si="42"/>
        <v>24671693</v>
      </c>
      <c r="P313" s="111">
        <f t="shared" si="43"/>
        <v>77515280</v>
      </c>
      <c r="Q313" s="216">
        <v>0</v>
      </c>
    </row>
    <row r="314" spans="9:17">
      <c r="I314" s="205"/>
      <c r="J314" s="111">
        <f t="shared" si="37"/>
        <v>61989536</v>
      </c>
      <c r="K314" s="205" t="s">
        <v>5374</v>
      </c>
      <c r="L314" s="82">
        <v>1861127741</v>
      </c>
      <c r="M314" s="82">
        <v>925114188</v>
      </c>
      <c r="N314" s="111">
        <f t="shared" si="41"/>
        <v>2786241929</v>
      </c>
      <c r="O314" s="111">
        <f t="shared" si="42"/>
        <v>30038316</v>
      </c>
      <c r="P314" s="111">
        <f t="shared" si="43"/>
        <v>92027852</v>
      </c>
      <c r="Q314" s="216">
        <v>0</v>
      </c>
    </row>
    <row r="315" spans="9:17">
      <c r="I315" s="205"/>
      <c r="J315" s="111">
        <f t="shared" si="37"/>
        <v>187816102</v>
      </c>
      <c r="K315" s="205" t="s">
        <v>5375</v>
      </c>
      <c r="L315" s="82">
        <v>2048943843</v>
      </c>
      <c r="M315" s="82">
        <v>1018477929</v>
      </c>
      <c r="N315" s="210">
        <f t="shared" si="41"/>
        <v>3067421772</v>
      </c>
      <c r="O315" s="111">
        <f t="shared" si="42"/>
        <v>93363741</v>
      </c>
      <c r="P315" s="111">
        <f t="shared" si="43"/>
        <v>281179843</v>
      </c>
      <c r="Q315" s="216">
        <v>0</v>
      </c>
    </row>
    <row r="316" spans="9:17">
      <c r="I316" s="205"/>
      <c r="J316" s="111">
        <f t="shared" si="37"/>
        <v>90607204</v>
      </c>
      <c r="K316" s="205" t="s">
        <v>5376</v>
      </c>
      <c r="L316" s="82">
        <v>2139551047</v>
      </c>
      <c r="M316" s="82">
        <v>1063366113</v>
      </c>
      <c r="N316" s="210">
        <f t="shared" si="41"/>
        <v>3202917160</v>
      </c>
      <c r="O316" s="111">
        <f t="shared" si="42"/>
        <v>44888184</v>
      </c>
      <c r="P316" s="111">
        <f t="shared" si="43"/>
        <v>135495388</v>
      </c>
      <c r="Q316" s="216">
        <v>0</v>
      </c>
    </row>
    <row r="317" spans="9:17">
      <c r="I317" s="205"/>
      <c r="J317" s="111">
        <f t="shared" si="37"/>
        <v>-20242572</v>
      </c>
      <c r="K317" s="205" t="s">
        <v>5377</v>
      </c>
      <c r="L317" s="82">
        <v>2119308475</v>
      </c>
      <c r="M317" s="82">
        <v>1053047454</v>
      </c>
      <c r="N317" s="111">
        <f t="shared" si="41"/>
        <v>3172355929</v>
      </c>
      <c r="O317" s="111">
        <f t="shared" si="42"/>
        <v>-10318659</v>
      </c>
      <c r="P317" s="111">
        <f t="shared" si="43"/>
        <v>-30561231</v>
      </c>
      <c r="Q317" s="216">
        <v>0</v>
      </c>
    </row>
    <row r="318" spans="9:17">
      <c r="I318" s="205"/>
      <c r="J318" s="111">
        <f t="shared" si="37"/>
        <v>141276059</v>
      </c>
      <c r="K318" s="205" t="s">
        <v>5378</v>
      </c>
      <c r="L318" s="82">
        <v>2260584534</v>
      </c>
      <c r="M318" s="82">
        <v>1120314374</v>
      </c>
      <c r="N318" s="210">
        <f t="shared" si="41"/>
        <v>3380898908</v>
      </c>
      <c r="O318" s="111">
        <f t="shared" si="42"/>
        <v>67266920</v>
      </c>
      <c r="P318" s="111">
        <f t="shared" si="43"/>
        <v>208542979</v>
      </c>
      <c r="Q318" s="216">
        <v>0</v>
      </c>
    </row>
    <row r="319" spans="9:17">
      <c r="I319" s="205" t="s">
        <v>5380</v>
      </c>
      <c r="J319" s="111">
        <f>L319-L318-3006000</f>
        <v>32865631</v>
      </c>
      <c r="K319" s="205" t="s">
        <v>5379</v>
      </c>
      <c r="L319" s="82">
        <v>2296456165</v>
      </c>
      <c r="M319" s="82">
        <v>1139689638</v>
      </c>
      <c r="N319" s="210">
        <f t="shared" si="41"/>
        <v>3436145803</v>
      </c>
      <c r="O319" s="111">
        <f>M319-M318-3000000</f>
        <v>16375264</v>
      </c>
      <c r="P319" s="111">
        <f>N319-N318-6006000</f>
        <v>49240895</v>
      </c>
      <c r="Q319" s="216">
        <v>6006000</v>
      </c>
    </row>
    <row r="320" spans="9:17">
      <c r="I320" s="205"/>
      <c r="J320" s="111">
        <f t="shared" si="37"/>
        <v>106300248</v>
      </c>
      <c r="K320" s="205" t="s">
        <v>5384</v>
      </c>
      <c r="L320" s="82">
        <v>2402756413</v>
      </c>
      <c r="M320" s="82">
        <v>1193225866</v>
      </c>
      <c r="N320" s="210">
        <f t="shared" si="41"/>
        <v>3595982279</v>
      </c>
      <c r="O320" s="111">
        <f t="shared" si="42"/>
        <v>53536228</v>
      </c>
      <c r="P320" s="111">
        <f t="shared" si="43"/>
        <v>159836476</v>
      </c>
      <c r="Q320" s="216">
        <v>0</v>
      </c>
    </row>
    <row r="321" spans="9:22">
      <c r="I321" s="205"/>
      <c r="J321" s="111">
        <f t="shared" si="37"/>
        <v>26044736</v>
      </c>
      <c r="K321" s="205" t="s">
        <v>5385</v>
      </c>
      <c r="L321" s="82">
        <v>2428801149</v>
      </c>
      <c r="M321" s="82">
        <v>1206365805</v>
      </c>
      <c r="N321" s="210">
        <f t="shared" si="41"/>
        <v>3635166954</v>
      </c>
      <c r="O321" s="111">
        <f t="shared" si="42"/>
        <v>13139939</v>
      </c>
      <c r="P321" s="111">
        <f t="shared" si="43"/>
        <v>39184675</v>
      </c>
      <c r="Q321" s="216">
        <v>0</v>
      </c>
    </row>
    <row r="322" spans="9:22">
      <c r="I322" s="205"/>
      <c r="J322" s="111">
        <f t="shared" si="37"/>
        <v>171198851</v>
      </c>
      <c r="K322" s="205" t="s">
        <v>5386</v>
      </c>
      <c r="L322" s="82">
        <v>2600000000</v>
      </c>
      <c r="M322" s="82">
        <v>1292000000</v>
      </c>
      <c r="N322" s="210">
        <f t="shared" si="41"/>
        <v>3892000000</v>
      </c>
      <c r="O322" s="111">
        <f t="shared" si="42"/>
        <v>85634195</v>
      </c>
      <c r="P322" s="111">
        <f t="shared" si="43"/>
        <v>256833046</v>
      </c>
      <c r="Q322" s="216">
        <v>0</v>
      </c>
    </row>
    <row r="323" spans="9:22">
      <c r="I323" s="205"/>
      <c r="J323" s="111">
        <f t="shared" si="37"/>
        <v>84150663</v>
      </c>
      <c r="K323" s="205" t="s">
        <v>5387</v>
      </c>
      <c r="L323" s="82">
        <v>2684150663</v>
      </c>
      <c r="M323" s="82">
        <v>1332846782</v>
      </c>
      <c r="N323" s="210">
        <f t="shared" si="41"/>
        <v>4016997445</v>
      </c>
      <c r="O323" s="111">
        <f t="shared" si="42"/>
        <v>40846782</v>
      </c>
      <c r="P323" s="111">
        <f t="shared" si="43"/>
        <v>124997445</v>
      </c>
      <c r="Q323" s="216">
        <v>0</v>
      </c>
    </row>
    <row r="324" spans="9:22">
      <c r="I324" s="205"/>
      <c r="J324" s="111">
        <f t="shared" si="37"/>
        <v>82028611</v>
      </c>
      <c r="K324" s="205" t="s">
        <v>5388</v>
      </c>
      <c r="L324" s="82">
        <v>2766179274</v>
      </c>
      <c r="M324" s="82">
        <v>1375672179</v>
      </c>
      <c r="N324" s="210">
        <f t="shared" si="41"/>
        <v>4141851453</v>
      </c>
      <c r="O324" s="111">
        <f t="shared" si="42"/>
        <v>42825397</v>
      </c>
      <c r="P324" s="111">
        <f t="shared" si="43"/>
        <v>124854008</v>
      </c>
      <c r="Q324" s="216">
        <v>0</v>
      </c>
      <c r="V324" t="s">
        <v>25</v>
      </c>
    </row>
    <row r="325" spans="9:22">
      <c r="I325" s="205"/>
      <c r="J325" s="111">
        <f t="shared" si="37"/>
        <v>27803935</v>
      </c>
      <c r="K325" s="205" t="s">
        <v>5394</v>
      </c>
      <c r="L325" s="82">
        <v>2793983209</v>
      </c>
      <c r="M325" s="82">
        <v>1388455108</v>
      </c>
      <c r="N325" s="210">
        <f t="shared" si="41"/>
        <v>4182438317</v>
      </c>
      <c r="O325" s="111">
        <f t="shared" si="42"/>
        <v>12782929</v>
      </c>
      <c r="P325" s="111">
        <f t="shared" si="43"/>
        <v>40586864</v>
      </c>
      <c r="Q325" s="216">
        <v>0</v>
      </c>
    </row>
    <row r="326" spans="9:22">
      <c r="I326" s="205"/>
      <c r="J326" s="111">
        <f t="shared" si="37"/>
        <v>25995929</v>
      </c>
      <c r="K326" s="205" t="s">
        <v>5395</v>
      </c>
      <c r="L326" s="82">
        <v>2819979138</v>
      </c>
      <c r="M326" s="82">
        <v>1401539279</v>
      </c>
      <c r="N326" s="210">
        <f t="shared" si="41"/>
        <v>4221518417</v>
      </c>
      <c r="O326" s="111">
        <f t="shared" si="42"/>
        <v>13084171</v>
      </c>
      <c r="P326" s="111">
        <f t="shared" si="43"/>
        <v>39080100</v>
      </c>
      <c r="Q326" s="216">
        <v>0</v>
      </c>
    </row>
    <row r="327" spans="9:22">
      <c r="I327" s="205" t="s">
        <v>5398</v>
      </c>
      <c r="J327" s="111">
        <f>L327-L326+130382924</f>
        <v>36685298</v>
      </c>
      <c r="K327" s="205" t="s">
        <v>5397</v>
      </c>
      <c r="L327" s="82">
        <v>2726281512</v>
      </c>
      <c r="M327" s="82">
        <v>1352767212</v>
      </c>
      <c r="N327" s="210">
        <f t="shared" si="41"/>
        <v>4079048724</v>
      </c>
      <c r="O327" s="111">
        <f>M327-M326+65461942</f>
        <v>16689875</v>
      </c>
      <c r="P327" s="111">
        <f>N327-N326+195844866</f>
        <v>53375173</v>
      </c>
      <c r="Q327" s="216">
        <v>-195844866</v>
      </c>
    </row>
    <row r="328" spans="9:22">
      <c r="I328" s="205"/>
      <c r="J328" s="111">
        <f t="shared" si="37"/>
        <v>423693862</v>
      </c>
      <c r="K328" s="205" t="s">
        <v>5396</v>
      </c>
      <c r="L328" s="82">
        <v>3149975374</v>
      </c>
      <c r="M328" s="82">
        <v>1567387310</v>
      </c>
      <c r="N328" s="210">
        <f t="shared" si="41"/>
        <v>4717362684</v>
      </c>
      <c r="O328" s="111">
        <f t="shared" si="42"/>
        <v>214620098</v>
      </c>
      <c r="P328" s="111">
        <f t="shared" si="43"/>
        <v>638313960</v>
      </c>
      <c r="Q328" s="216">
        <v>0</v>
      </c>
    </row>
    <row r="329" spans="9:22">
      <c r="I329" s="205"/>
      <c r="J329" s="111">
        <f t="shared" si="37"/>
        <v>138024626</v>
      </c>
      <c r="K329" s="205" t="s">
        <v>5399</v>
      </c>
      <c r="L329" s="82">
        <v>3288000000</v>
      </c>
      <c r="M329" s="82">
        <v>1636000000</v>
      </c>
      <c r="N329" s="210">
        <f t="shared" si="41"/>
        <v>4924000000</v>
      </c>
      <c r="O329" s="111">
        <f t="shared" si="42"/>
        <v>68612690</v>
      </c>
      <c r="P329" s="111">
        <f t="shared" si="43"/>
        <v>206637316</v>
      </c>
      <c r="Q329" s="216">
        <v>0</v>
      </c>
    </row>
    <row r="330" spans="9:22">
      <c r="I330" s="205"/>
      <c r="J330" s="111">
        <f t="shared" si="37"/>
        <v>139431734</v>
      </c>
      <c r="K330" s="205" t="s">
        <v>5400</v>
      </c>
      <c r="L330" s="82">
        <v>3427431734</v>
      </c>
      <c r="M330" s="82">
        <v>1705312175</v>
      </c>
      <c r="N330" s="210">
        <f t="shared" ref="N330:N415" si="44">L330+M330</f>
        <v>5132743909</v>
      </c>
      <c r="O330" s="111">
        <f t="shared" ref="O330:O364" si="45">M330-M329</f>
        <v>69312175</v>
      </c>
      <c r="P330" s="111">
        <f t="shared" ref="P330:P364" si="46">N330-N329</f>
        <v>208743909</v>
      </c>
      <c r="Q330" s="216">
        <v>0</v>
      </c>
    </row>
    <row r="331" spans="9:22">
      <c r="I331" s="205"/>
      <c r="J331" s="111">
        <f t="shared" si="37"/>
        <v>171263819</v>
      </c>
      <c r="K331" s="205" t="s">
        <v>979</v>
      </c>
      <c r="L331" s="82">
        <v>3598695553</v>
      </c>
      <c r="M331" s="82">
        <v>1790521534</v>
      </c>
      <c r="N331" s="210">
        <f t="shared" si="44"/>
        <v>5389217087</v>
      </c>
      <c r="O331" s="111">
        <f t="shared" si="45"/>
        <v>85209359</v>
      </c>
      <c r="P331" s="111">
        <f t="shared" si="46"/>
        <v>256473178</v>
      </c>
      <c r="Q331" s="216">
        <v>0</v>
      </c>
    </row>
    <row r="332" spans="9:22">
      <c r="I332" s="187" t="s">
        <v>5404</v>
      </c>
      <c r="J332" s="186">
        <f>L332-L331-125000000</f>
        <v>154015802</v>
      </c>
      <c r="K332" s="187" t="s">
        <v>5278</v>
      </c>
      <c r="L332" s="220">
        <v>3877711355</v>
      </c>
      <c r="M332" s="220">
        <v>1868422520</v>
      </c>
      <c r="N332" s="210">
        <f t="shared" si="44"/>
        <v>5746133875</v>
      </c>
      <c r="O332" s="186">
        <f t="shared" si="45"/>
        <v>77900986</v>
      </c>
      <c r="P332" s="186">
        <f>N332-N331-125000000</f>
        <v>231916788</v>
      </c>
      <c r="Q332" s="216">
        <v>125000000</v>
      </c>
    </row>
    <row r="333" spans="9:22">
      <c r="I333" s="187" t="s">
        <v>5405</v>
      </c>
      <c r="J333" s="186">
        <f>L333-L332-7200000</f>
        <v>-108573535</v>
      </c>
      <c r="K333" s="187" t="s">
        <v>5401</v>
      </c>
      <c r="L333" s="220">
        <v>3776337820</v>
      </c>
      <c r="M333" s="220">
        <v>1839777065</v>
      </c>
      <c r="N333" s="186">
        <f t="shared" si="44"/>
        <v>5616114885</v>
      </c>
      <c r="O333" s="186">
        <f>M333-M332-35000000</f>
        <v>-63645455</v>
      </c>
      <c r="P333" s="186">
        <f>N333-N332-42200000</f>
        <v>-172218990</v>
      </c>
      <c r="Q333" s="216">
        <v>42200000</v>
      </c>
    </row>
    <row r="334" spans="9:22">
      <c r="I334" s="205"/>
      <c r="J334" s="111">
        <f t="shared" si="37"/>
        <v>-22190531</v>
      </c>
      <c r="K334" s="205" t="s">
        <v>5408</v>
      </c>
      <c r="L334" s="82">
        <v>3754147289</v>
      </c>
      <c r="M334" s="82">
        <v>1829218494</v>
      </c>
      <c r="N334" s="111">
        <f t="shared" si="44"/>
        <v>5583365783</v>
      </c>
      <c r="O334" s="111">
        <f t="shared" si="45"/>
        <v>-10558571</v>
      </c>
      <c r="P334" s="111">
        <f t="shared" si="46"/>
        <v>-32749102</v>
      </c>
      <c r="Q334" s="216">
        <v>0</v>
      </c>
    </row>
    <row r="335" spans="9:22">
      <c r="I335" s="205"/>
      <c r="J335" s="111">
        <f t="shared" si="37"/>
        <v>128294991</v>
      </c>
      <c r="K335" s="205" t="s">
        <v>5409</v>
      </c>
      <c r="L335" s="82">
        <v>3882442280</v>
      </c>
      <c r="M335" s="82">
        <v>1904290333</v>
      </c>
      <c r="N335" s="210">
        <f t="shared" si="44"/>
        <v>5786732613</v>
      </c>
      <c r="O335" s="111">
        <f t="shared" si="45"/>
        <v>75071839</v>
      </c>
      <c r="P335" s="111">
        <f t="shared" si="46"/>
        <v>203366830</v>
      </c>
      <c r="Q335" s="216">
        <v>0</v>
      </c>
    </row>
    <row r="336" spans="9:22">
      <c r="I336" s="205"/>
      <c r="J336" s="111">
        <f t="shared" si="37"/>
        <v>-19277835</v>
      </c>
      <c r="K336" s="205" t="s">
        <v>5410</v>
      </c>
      <c r="L336" s="82">
        <v>3863164445</v>
      </c>
      <c r="M336" s="82">
        <v>1883839042</v>
      </c>
      <c r="N336" s="111">
        <f t="shared" si="44"/>
        <v>5747003487</v>
      </c>
      <c r="O336" s="111">
        <f t="shared" si="45"/>
        <v>-20451291</v>
      </c>
      <c r="P336" s="111">
        <f t="shared" si="46"/>
        <v>-39729126</v>
      </c>
      <c r="Q336" s="216">
        <v>0</v>
      </c>
    </row>
    <row r="337" spans="9:19">
      <c r="I337" s="205"/>
      <c r="J337" s="111">
        <f t="shared" si="37"/>
        <v>-144610106</v>
      </c>
      <c r="K337" s="205" t="s">
        <v>5412</v>
      </c>
      <c r="L337" s="82">
        <v>3718554339</v>
      </c>
      <c r="M337" s="82">
        <v>1811827994</v>
      </c>
      <c r="N337" s="111">
        <f t="shared" si="44"/>
        <v>5530382333</v>
      </c>
      <c r="O337" s="111">
        <f t="shared" si="45"/>
        <v>-72011048</v>
      </c>
      <c r="P337" s="111">
        <f t="shared" si="46"/>
        <v>-216621154</v>
      </c>
      <c r="Q337" s="216">
        <v>0</v>
      </c>
    </row>
    <row r="338" spans="9:19">
      <c r="I338" s="205"/>
      <c r="J338" s="111">
        <f t="shared" si="37"/>
        <v>-168554339</v>
      </c>
      <c r="K338" s="205" t="s">
        <v>5413</v>
      </c>
      <c r="L338" s="82">
        <v>3550000000</v>
      </c>
      <c r="M338" s="82">
        <v>1730000000</v>
      </c>
      <c r="N338" s="111">
        <f t="shared" si="44"/>
        <v>5280000000</v>
      </c>
      <c r="O338" s="111">
        <f t="shared" si="45"/>
        <v>-81827994</v>
      </c>
      <c r="P338" s="111">
        <f t="shared" si="46"/>
        <v>-250382333</v>
      </c>
      <c r="Q338" s="216">
        <v>0</v>
      </c>
    </row>
    <row r="339" spans="9:19">
      <c r="I339" s="205"/>
      <c r="J339" s="111">
        <f t="shared" si="37"/>
        <v>-162698423</v>
      </c>
      <c r="K339" s="205" t="s">
        <v>5415</v>
      </c>
      <c r="L339" s="82">
        <v>3387301577</v>
      </c>
      <c r="M339" s="82">
        <v>1650000000</v>
      </c>
      <c r="N339" s="111">
        <f t="shared" si="44"/>
        <v>5037301577</v>
      </c>
      <c r="O339" s="111">
        <f t="shared" si="45"/>
        <v>-80000000</v>
      </c>
      <c r="P339" s="111">
        <f t="shared" si="46"/>
        <v>-242698423</v>
      </c>
      <c r="Q339" s="216">
        <v>0</v>
      </c>
    </row>
    <row r="340" spans="9:19">
      <c r="I340" s="205"/>
      <c r="J340" s="111">
        <f t="shared" si="37"/>
        <v>-137426039</v>
      </c>
      <c r="K340" s="205" t="s">
        <v>5416</v>
      </c>
      <c r="L340" s="82">
        <v>3249875538</v>
      </c>
      <c r="M340" s="82">
        <v>1583444686</v>
      </c>
      <c r="N340" s="111">
        <f t="shared" si="44"/>
        <v>4833320224</v>
      </c>
      <c r="O340" s="111">
        <f t="shared" si="45"/>
        <v>-66555314</v>
      </c>
      <c r="P340" s="111">
        <f t="shared" si="46"/>
        <v>-203981353</v>
      </c>
      <c r="Q340" s="216">
        <v>0</v>
      </c>
    </row>
    <row r="341" spans="9:19">
      <c r="I341" s="205"/>
      <c r="J341" s="111">
        <f t="shared" si="37"/>
        <v>-8795174</v>
      </c>
      <c r="K341" s="205" t="s">
        <v>5417</v>
      </c>
      <c r="L341" s="82">
        <v>3241080364</v>
      </c>
      <c r="M341" s="82">
        <v>1578556448</v>
      </c>
      <c r="N341" s="111">
        <f t="shared" si="44"/>
        <v>4819636812</v>
      </c>
      <c r="O341" s="111">
        <f t="shared" si="45"/>
        <v>-4888238</v>
      </c>
      <c r="P341" s="111">
        <f t="shared" si="46"/>
        <v>-13683412</v>
      </c>
      <c r="Q341" s="216">
        <v>0</v>
      </c>
    </row>
    <row r="342" spans="9:19">
      <c r="I342" s="205"/>
      <c r="J342" s="111">
        <f t="shared" si="37"/>
        <v>138483558</v>
      </c>
      <c r="K342" s="205" t="s">
        <v>5418</v>
      </c>
      <c r="L342" s="82">
        <v>3379563922</v>
      </c>
      <c r="M342" s="82">
        <v>1645808930</v>
      </c>
      <c r="N342" s="111">
        <f t="shared" si="44"/>
        <v>5025372852</v>
      </c>
      <c r="O342" s="111">
        <f t="shared" si="45"/>
        <v>67252482</v>
      </c>
      <c r="P342" s="111">
        <f t="shared" si="46"/>
        <v>205736040</v>
      </c>
      <c r="Q342" s="216">
        <v>0</v>
      </c>
      <c r="S342" t="s">
        <v>25</v>
      </c>
    </row>
    <row r="343" spans="9:19">
      <c r="I343" s="205"/>
      <c r="J343" s="111">
        <f t="shared" si="37"/>
        <v>-113569577</v>
      </c>
      <c r="K343" s="205" t="s">
        <v>5419</v>
      </c>
      <c r="L343" s="82">
        <v>3265994345</v>
      </c>
      <c r="M343" s="82">
        <v>1604890418</v>
      </c>
      <c r="N343" s="111">
        <f t="shared" si="44"/>
        <v>4870884763</v>
      </c>
      <c r="O343" s="111">
        <f t="shared" si="45"/>
        <v>-40918512</v>
      </c>
      <c r="P343" s="111">
        <f t="shared" si="46"/>
        <v>-154488089</v>
      </c>
      <c r="Q343" s="216">
        <v>0</v>
      </c>
    </row>
    <row r="344" spans="9:19">
      <c r="I344" s="205"/>
      <c r="J344" s="111">
        <f t="shared" si="37"/>
        <v>89973185</v>
      </c>
      <c r="K344" s="205" t="s">
        <v>5420</v>
      </c>
      <c r="L344" s="82">
        <v>3355967530</v>
      </c>
      <c r="M344" s="82">
        <v>1637972294</v>
      </c>
      <c r="N344" s="111">
        <f t="shared" si="44"/>
        <v>4993939824</v>
      </c>
      <c r="O344" s="111">
        <f t="shared" si="45"/>
        <v>33081876</v>
      </c>
      <c r="P344" s="111">
        <f t="shared" si="46"/>
        <v>123055061</v>
      </c>
      <c r="Q344" s="216">
        <v>0</v>
      </c>
    </row>
    <row r="345" spans="9:19">
      <c r="I345" s="205"/>
      <c r="J345" s="111">
        <f t="shared" si="37"/>
        <v>-151470245</v>
      </c>
      <c r="K345" s="205" t="s">
        <v>5424</v>
      </c>
      <c r="L345" s="82">
        <v>3204497285</v>
      </c>
      <c r="M345" s="82">
        <v>1563005571</v>
      </c>
      <c r="N345" s="111">
        <f t="shared" si="44"/>
        <v>4767502856</v>
      </c>
      <c r="O345" s="111">
        <f t="shared" si="45"/>
        <v>-74966723</v>
      </c>
      <c r="P345" s="111">
        <f t="shared" si="46"/>
        <v>-226436968</v>
      </c>
      <c r="Q345" s="216">
        <v>0</v>
      </c>
    </row>
    <row r="346" spans="9:19">
      <c r="I346" s="205"/>
      <c r="J346" s="111">
        <f t="shared" si="37"/>
        <v>15502715</v>
      </c>
      <c r="K346" s="205" t="s">
        <v>5436</v>
      </c>
      <c r="L346" s="82">
        <v>3220000000</v>
      </c>
      <c r="M346" s="82">
        <v>1580000000</v>
      </c>
      <c r="N346" s="111">
        <f t="shared" si="44"/>
        <v>4800000000</v>
      </c>
      <c r="O346" s="111">
        <f t="shared" si="45"/>
        <v>16994429</v>
      </c>
      <c r="P346" s="111">
        <f t="shared" si="46"/>
        <v>32497144</v>
      </c>
      <c r="Q346" s="216">
        <v>0</v>
      </c>
    </row>
    <row r="347" spans="9:19">
      <c r="I347" s="187" t="s">
        <v>5451</v>
      </c>
      <c r="J347" s="186">
        <f>L347-L346-50000000</f>
        <v>30000000</v>
      </c>
      <c r="K347" s="187" t="s">
        <v>5437</v>
      </c>
      <c r="L347" s="220">
        <v>3300000000</v>
      </c>
      <c r="M347" s="220">
        <v>1600000000</v>
      </c>
      <c r="N347" s="186">
        <f t="shared" si="44"/>
        <v>4900000000</v>
      </c>
      <c r="O347" s="186">
        <f t="shared" si="45"/>
        <v>20000000</v>
      </c>
      <c r="P347" s="186">
        <f>N347-N346-50000000</f>
        <v>50000000</v>
      </c>
      <c r="Q347" s="216">
        <v>50000000</v>
      </c>
    </row>
    <row r="348" spans="9:19">
      <c r="I348" s="187" t="s">
        <v>5452</v>
      </c>
      <c r="J348" s="186">
        <f t="shared" si="37"/>
        <v>79324490</v>
      </c>
      <c r="K348" s="187" t="s">
        <v>5438</v>
      </c>
      <c r="L348" s="220">
        <v>3379324490</v>
      </c>
      <c r="M348" s="220">
        <v>1643511084</v>
      </c>
      <c r="N348" s="186">
        <f>L348+M348</f>
        <v>5022835574</v>
      </c>
      <c r="O348" s="186">
        <f>M348-M347-20000000</f>
        <v>23511084</v>
      </c>
      <c r="P348" s="186">
        <f>N348-N347-20000000</f>
        <v>102835574</v>
      </c>
      <c r="Q348" s="216">
        <v>20000000</v>
      </c>
    </row>
    <row r="349" spans="9:19">
      <c r="I349" s="205"/>
      <c r="J349" s="111">
        <f t="shared" si="37"/>
        <v>103488135</v>
      </c>
      <c r="K349" s="205" t="s">
        <v>5455</v>
      </c>
      <c r="L349" s="82">
        <v>3482812625</v>
      </c>
      <c r="M349" s="82">
        <v>1687800619</v>
      </c>
      <c r="N349" s="111">
        <f t="shared" si="44"/>
        <v>5170613244</v>
      </c>
      <c r="O349" s="111">
        <f t="shared" si="45"/>
        <v>44289535</v>
      </c>
      <c r="P349" s="111">
        <f t="shared" si="46"/>
        <v>147777670</v>
      </c>
      <c r="Q349" s="216">
        <v>0</v>
      </c>
    </row>
    <row r="350" spans="9:19">
      <c r="I350" s="205"/>
      <c r="J350" s="111">
        <f t="shared" si="37"/>
        <v>158859553</v>
      </c>
      <c r="K350" s="205" t="s">
        <v>5456</v>
      </c>
      <c r="L350" s="82">
        <v>3641672178</v>
      </c>
      <c r="M350" s="82">
        <v>1761048225</v>
      </c>
      <c r="N350" s="111">
        <f t="shared" si="44"/>
        <v>5402720403</v>
      </c>
      <c r="O350" s="111">
        <f t="shared" si="45"/>
        <v>73247606</v>
      </c>
      <c r="P350" s="111">
        <f t="shared" si="46"/>
        <v>232107159</v>
      </c>
      <c r="Q350" s="216">
        <v>0</v>
      </c>
    </row>
    <row r="351" spans="9:19">
      <c r="I351" s="205"/>
      <c r="J351" s="111">
        <f t="shared" si="37"/>
        <v>148972135</v>
      </c>
      <c r="K351" s="205" t="s">
        <v>5457</v>
      </c>
      <c r="L351" s="82">
        <v>3790644313</v>
      </c>
      <c r="M351" s="82">
        <v>1833071944</v>
      </c>
      <c r="N351" s="111">
        <f t="shared" si="44"/>
        <v>5623716257</v>
      </c>
      <c r="O351" s="111">
        <f t="shared" si="45"/>
        <v>72023719</v>
      </c>
      <c r="P351" s="111">
        <f t="shared" si="46"/>
        <v>220995854</v>
      </c>
      <c r="Q351" s="216">
        <v>0</v>
      </c>
    </row>
    <row r="352" spans="9:19">
      <c r="I352" s="205"/>
      <c r="J352" s="111">
        <f t="shared" si="37"/>
        <v>173385305</v>
      </c>
      <c r="K352" s="205" t="s">
        <v>5459</v>
      </c>
      <c r="L352" s="82">
        <v>3964029618</v>
      </c>
      <c r="M352" s="82">
        <v>1918994990</v>
      </c>
      <c r="N352" s="270">
        <f t="shared" si="44"/>
        <v>5883024608</v>
      </c>
      <c r="O352" s="111">
        <f t="shared" si="45"/>
        <v>85923046</v>
      </c>
      <c r="P352" s="111">
        <f t="shared" si="46"/>
        <v>259308351</v>
      </c>
      <c r="Q352" s="216">
        <v>0</v>
      </c>
    </row>
    <row r="353" spans="9:21">
      <c r="I353" s="205"/>
      <c r="J353" s="111">
        <f t="shared" si="37"/>
        <v>197999356</v>
      </c>
      <c r="K353" s="205" t="s">
        <v>5460</v>
      </c>
      <c r="L353" s="82">
        <v>4162028974</v>
      </c>
      <c r="M353" s="82">
        <v>2014922470</v>
      </c>
      <c r="N353" s="270">
        <f t="shared" si="44"/>
        <v>6176951444</v>
      </c>
      <c r="O353" s="111">
        <f t="shared" si="45"/>
        <v>95927480</v>
      </c>
      <c r="P353" s="111">
        <f t="shared" si="46"/>
        <v>293926836</v>
      </c>
      <c r="Q353" s="216">
        <v>0</v>
      </c>
      <c r="U353" t="s">
        <v>25</v>
      </c>
    </row>
    <row r="354" spans="9:21">
      <c r="I354" s="205"/>
      <c r="J354" s="111">
        <f t="shared" si="37"/>
        <v>75948917</v>
      </c>
      <c r="K354" s="205" t="s">
        <v>5461</v>
      </c>
      <c r="L354" s="82">
        <v>4237977891</v>
      </c>
      <c r="M354" s="82">
        <v>2058362540</v>
      </c>
      <c r="N354" s="270">
        <f t="shared" si="44"/>
        <v>6296340431</v>
      </c>
      <c r="O354" s="111">
        <f t="shared" si="45"/>
        <v>43440070</v>
      </c>
      <c r="P354" s="111">
        <f t="shared" si="46"/>
        <v>119388987</v>
      </c>
      <c r="Q354" s="216">
        <v>0</v>
      </c>
    </row>
    <row r="355" spans="9:21">
      <c r="I355" s="205"/>
      <c r="J355" s="111">
        <f t="shared" si="37"/>
        <v>272316683</v>
      </c>
      <c r="K355" s="205" t="s">
        <v>5462</v>
      </c>
      <c r="L355" s="82">
        <v>4510294574</v>
      </c>
      <c r="M355" s="82">
        <v>2190854889</v>
      </c>
      <c r="N355" s="270">
        <f t="shared" si="44"/>
        <v>6701149463</v>
      </c>
      <c r="O355" s="111">
        <f t="shared" si="45"/>
        <v>132492349</v>
      </c>
      <c r="P355" s="111">
        <f t="shared" si="46"/>
        <v>404809032</v>
      </c>
      <c r="Q355" s="216">
        <v>0</v>
      </c>
    </row>
    <row r="356" spans="9:21">
      <c r="I356" s="205"/>
      <c r="J356" s="111">
        <f t="shared" si="37"/>
        <v>20447233</v>
      </c>
      <c r="K356" s="205" t="s">
        <v>5463</v>
      </c>
      <c r="L356" s="82">
        <v>4530741807</v>
      </c>
      <c r="M356" s="82">
        <v>2183355146</v>
      </c>
      <c r="N356" s="270">
        <f t="shared" si="44"/>
        <v>6714096953</v>
      </c>
      <c r="O356" s="111">
        <f t="shared" si="45"/>
        <v>-7499743</v>
      </c>
      <c r="P356" s="111">
        <f t="shared" si="46"/>
        <v>12947490</v>
      </c>
      <c r="Q356" s="216">
        <v>0</v>
      </c>
    </row>
    <row r="357" spans="9:21">
      <c r="I357" s="205"/>
      <c r="J357" s="111">
        <f t="shared" si="37"/>
        <v>44659872</v>
      </c>
      <c r="K357" s="205" t="s">
        <v>5464</v>
      </c>
      <c r="L357" s="82">
        <v>4575401679</v>
      </c>
      <c r="M357" s="82">
        <v>2205686125</v>
      </c>
      <c r="N357" s="270">
        <f t="shared" si="44"/>
        <v>6781087804</v>
      </c>
      <c r="O357" s="111">
        <f t="shared" si="45"/>
        <v>22330979</v>
      </c>
      <c r="P357" s="111">
        <f t="shared" si="46"/>
        <v>66990851</v>
      </c>
      <c r="Q357" s="216">
        <v>0</v>
      </c>
    </row>
    <row r="358" spans="9:21">
      <c r="I358" s="205"/>
      <c r="J358" s="111">
        <f t="shared" si="37"/>
        <v>-97728047</v>
      </c>
      <c r="K358" s="205" t="s">
        <v>5465</v>
      </c>
      <c r="L358" s="82">
        <v>4477673632</v>
      </c>
      <c r="M358" s="82">
        <v>2158000000</v>
      </c>
      <c r="N358" s="111">
        <f t="shared" si="44"/>
        <v>6635673632</v>
      </c>
      <c r="O358" s="111">
        <f t="shared" si="45"/>
        <v>-47686125</v>
      </c>
      <c r="P358" s="111">
        <f t="shared" si="46"/>
        <v>-145414172</v>
      </c>
      <c r="Q358" s="216">
        <v>0</v>
      </c>
    </row>
    <row r="359" spans="9:21">
      <c r="I359" s="205"/>
      <c r="J359" s="111">
        <f t="shared" si="37"/>
        <v>127023161</v>
      </c>
      <c r="K359" s="205" t="s">
        <v>5466</v>
      </c>
      <c r="L359" s="82">
        <v>4604696793</v>
      </c>
      <c r="M359" s="82">
        <f>M358*L359/L358</f>
        <v>2219218392.3989034</v>
      </c>
      <c r="N359" s="270">
        <f t="shared" si="44"/>
        <v>6823915185.3989029</v>
      </c>
      <c r="O359" s="111">
        <f t="shared" si="45"/>
        <v>61218392.39890337</v>
      </c>
      <c r="P359" s="111">
        <f t="shared" si="46"/>
        <v>188241553.39890289</v>
      </c>
      <c r="Q359" s="216">
        <v>0</v>
      </c>
    </row>
    <row r="360" spans="9:21">
      <c r="I360" s="205"/>
      <c r="J360" s="111">
        <f t="shared" si="37"/>
        <v>97899358</v>
      </c>
      <c r="K360" s="205" t="s">
        <v>5467</v>
      </c>
      <c r="L360" s="82">
        <v>4702596151</v>
      </c>
      <c r="M360" s="82">
        <f>M359*L360/L359</f>
        <v>2266400664.2496624</v>
      </c>
      <c r="N360" s="270">
        <f t="shared" si="44"/>
        <v>6968996815.2496624</v>
      </c>
      <c r="O360" s="111">
        <f t="shared" si="45"/>
        <v>47182271.850759029</v>
      </c>
      <c r="P360" s="111">
        <f t="shared" si="46"/>
        <v>145081629.85075951</v>
      </c>
      <c r="Q360" s="216">
        <v>0</v>
      </c>
    </row>
    <row r="361" spans="9:21">
      <c r="I361" s="205"/>
      <c r="J361" s="111">
        <f t="shared" si="37"/>
        <v>27403849</v>
      </c>
      <c r="K361" s="205" t="s">
        <v>5470</v>
      </c>
      <c r="L361" s="82">
        <v>4730000000</v>
      </c>
      <c r="M361" s="82">
        <v>2276000000</v>
      </c>
      <c r="N361" s="270">
        <f t="shared" si="44"/>
        <v>7006000000</v>
      </c>
      <c r="O361" s="111">
        <f t="shared" si="45"/>
        <v>9599335.7503376007</v>
      </c>
      <c r="P361" s="111">
        <f t="shared" si="46"/>
        <v>37003184.750337601</v>
      </c>
      <c r="Q361" s="216">
        <v>0</v>
      </c>
    </row>
    <row r="362" spans="9:21">
      <c r="I362" s="208" t="s">
        <v>5472</v>
      </c>
      <c r="J362" s="227">
        <f>L362-L361+58196600</f>
        <v>79816926</v>
      </c>
      <c r="K362" s="208" t="s">
        <v>5471</v>
      </c>
      <c r="L362" s="228">
        <v>4751620326</v>
      </c>
      <c r="M362" s="228">
        <v>2286535574</v>
      </c>
      <c r="N362" s="227">
        <f t="shared" si="44"/>
        <v>7038155900</v>
      </c>
      <c r="O362" s="227">
        <f>M362-M361+46183500</f>
        <v>56719074</v>
      </c>
      <c r="P362" s="227">
        <f>N362-N361+58196600+46183500</f>
        <v>136536000</v>
      </c>
      <c r="Q362" s="216">
        <v>-104380100</v>
      </c>
    </row>
    <row r="363" spans="9:21">
      <c r="I363" s="205"/>
      <c r="J363" s="111">
        <f t="shared" si="37"/>
        <v>240267176</v>
      </c>
      <c r="K363" s="205" t="s">
        <v>5473</v>
      </c>
      <c r="L363" s="82">
        <v>4991887502</v>
      </c>
      <c r="M363" s="82">
        <v>2397577212</v>
      </c>
      <c r="N363" s="270">
        <f t="shared" si="44"/>
        <v>7389464714</v>
      </c>
      <c r="O363" s="111">
        <f t="shared" si="45"/>
        <v>111041638</v>
      </c>
      <c r="P363" s="111">
        <f t="shared" si="46"/>
        <v>351308814</v>
      </c>
      <c r="Q363" s="216">
        <v>0</v>
      </c>
    </row>
    <row r="364" spans="9:21">
      <c r="I364" s="205"/>
      <c r="J364" s="111">
        <f t="shared" si="37"/>
        <v>228141203</v>
      </c>
      <c r="K364" s="205" t="s">
        <v>5475</v>
      </c>
      <c r="L364" s="82">
        <v>5220028705</v>
      </c>
      <c r="M364" s="82">
        <v>2501264745</v>
      </c>
      <c r="N364" s="270">
        <f t="shared" si="44"/>
        <v>7721293450</v>
      </c>
      <c r="O364" s="111">
        <f t="shared" si="45"/>
        <v>103687533</v>
      </c>
      <c r="P364" s="111">
        <f t="shared" si="46"/>
        <v>331828736</v>
      </c>
      <c r="Q364" s="216">
        <v>0</v>
      </c>
    </row>
    <row r="365" spans="9:21">
      <c r="I365" s="205"/>
      <c r="J365" s="111">
        <f t="shared" si="37"/>
        <v>246697634</v>
      </c>
      <c r="K365" s="205" t="s">
        <v>5477</v>
      </c>
      <c r="L365" s="82">
        <v>5466726339</v>
      </c>
      <c r="M365" s="82">
        <v>2611141264</v>
      </c>
      <c r="N365" s="270">
        <f t="shared" si="44"/>
        <v>8077867603</v>
      </c>
      <c r="O365" s="111">
        <f t="shared" ref="O365:O373" si="47">M365-M364</f>
        <v>109876519</v>
      </c>
      <c r="P365" s="111">
        <f t="shared" ref="P365:P373" si="48">N365-N364</f>
        <v>356574153</v>
      </c>
      <c r="Q365" s="216">
        <v>0</v>
      </c>
      <c r="U365" t="s">
        <v>25</v>
      </c>
    </row>
    <row r="366" spans="9:21">
      <c r="I366" s="205"/>
      <c r="J366" s="111">
        <f t="shared" si="37"/>
        <v>197105230</v>
      </c>
      <c r="K366" s="205" t="s">
        <v>5478</v>
      </c>
      <c r="L366" s="82">
        <v>5663831569</v>
      </c>
      <c r="M366" s="82">
        <v>2689938073</v>
      </c>
      <c r="N366" s="270">
        <f t="shared" si="44"/>
        <v>8353769642</v>
      </c>
      <c r="O366" s="111">
        <f t="shared" si="47"/>
        <v>78796809</v>
      </c>
      <c r="P366" s="111">
        <f t="shared" si="48"/>
        <v>275902039</v>
      </c>
      <c r="Q366" s="216">
        <v>0</v>
      </c>
    </row>
    <row r="367" spans="9:21">
      <c r="I367" s="205"/>
      <c r="J367" s="111">
        <f t="shared" si="37"/>
        <v>-43831569</v>
      </c>
      <c r="K367" s="205" t="s">
        <v>5481</v>
      </c>
      <c r="L367" s="82">
        <v>5620000000</v>
      </c>
      <c r="M367" s="82">
        <v>2670000000</v>
      </c>
      <c r="N367" s="111">
        <f t="shared" si="44"/>
        <v>8290000000</v>
      </c>
      <c r="O367" s="111">
        <f t="shared" si="47"/>
        <v>-19938073</v>
      </c>
      <c r="P367" s="111">
        <f t="shared" si="48"/>
        <v>-63769642</v>
      </c>
      <c r="S367" t="s">
        <v>25</v>
      </c>
    </row>
    <row r="368" spans="9:21">
      <c r="I368" s="187" t="s">
        <v>5483</v>
      </c>
      <c r="J368" s="186">
        <f t="shared" si="37"/>
        <v>-39749235</v>
      </c>
      <c r="K368" s="187" t="s">
        <v>5482</v>
      </c>
      <c r="L368" s="220">
        <v>5580250765</v>
      </c>
      <c r="M368" s="220">
        <v>2682359720</v>
      </c>
      <c r="N368" s="186">
        <f t="shared" si="44"/>
        <v>8262610485</v>
      </c>
      <c r="O368" s="186">
        <f>M368-M367-50000000</f>
        <v>-37640280</v>
      </c>
      <c r="P368" s="186">
        <f>N368-N367-50000000</f>
        <v>-77389515</v>
      </c>
      <c r="Q368" s="216">
        <v>50000000</v>
      </c>
    </row>
    <row r="369" spans="9:20">
      <c r="I369" s="205"/>
      <c r="J369" s="111">
        <f t="shared" si="37"/>
        <v>174576498</v>
      </c>
      <c r="K369" s="205" t="s">
        <v>5487</v>
      </c>
      <c r="L369" s="82">
        <v>5754827263</v>
      </c>
      <c r="M369" s="82">
        <v>2766301410</v>
      </c>
      <c r="N369" s="270">
        <f t="shared" si="44"/>
        <v>8521128673</v>
      </c>
      <c r="O369" s="111">
        <f t="shared" si="47"/>
        <v>83941690</v>
      </c>
      <c r="P369" s="111">
        <f t="shared" si="48"/>
        <v>258518188</v>
      </c>
      <c r="Q369" s="216">
        <v>0</v>
      </c>
    </row>
    <row r="370" spans="9:20">
      <c r="I370" s="205"/>
      <c r="J370" s="111">
        <f t="shared" si="37"/>
        <v>282226898</v>
      </c>
      <c r="K370" s="205" t="s">
        <v>5488</v>
      </c>
      <c r="L370" s="82">
        <v>6037054161</v>
      </c>
      <c r="M370" s="82">
        <v>2358541132</v>
      </c>
      <c r="N370" s="111">
        <f t="shared" si="44"/>
        <v>8395595293</v>
      </c>
      <c r="O370" s="111">
        <f t="shared" si="47"/>
        <v>-407760278</v>
      </c>
      <c r="P370" s="111">
        <f t="shared" si="48"/>
        <v>-125533380</v>
      </c>
      <c r="Q370" s="216">
        <v>0</v>
      </c>
    </row>
    <row r="371" spans="9:20">
      <c r="I371" s="205"/>
      <c r="J371" s="111">
        <f t="shared" si="37"/>
        <v>-192374033</v>
      </c>
      <c r="K371" s="205" t="s">
        <v>5489</v>
      </c>
      <c r="L371" s="82">
        <v>5844680128</v>
      </c>
      <c r="M371" s="82">
        <v>2825703655</v>
      </c>
      <c r="N371" s="270">
        <f t="shared" si="44"/>
        <v>8670383783</v>
      </c>
      <c r="O371" s="111">
        <f t="shared" si="47"/>
        <v>467162523</v>
      </c>
      <c r="P371" s="111">
        <f t="shared" si="48"/>
        <v>274788490</v>
      </c>
      <c r="Q371" s="216">
        <v>0</v>
      </c>
    </row>
    <row r="372" spans="9:20">
      <c r="I372" s="205"/>
      <c r="J372" s="111">
        <f t="shared" si="37"/>
        <v>454779250</v>
      </c>
      <c r="K372" s="205" t="s">
        <v>5490</v>
      </c>
      <c r="L372" s="82">
        <v>6299459378</v>
      </c>
      <c r="M372" s="82">
        <v>3030827103</v>
      </c>
      <c r="N372" s="270">
        <f t="shared" si="44"/>
        <v>9330286481</v>
      </c>
      <c r="O372" s="111">
        <f t="shared" si="47"/>
        <v>205123448</v>
      </c>
      <c r="P372" s="111">
        <f t="shared" si="48"/>
        <v>659902698</v>
      </c>
      <c r="Q372" s="216">
        <v>0</v>
      </c>
      <c r="S372" t="s">
        <v>25</v>
      </c>
    </row>
    <row r="373" spans="9:20">
      <c r="I373" s="205"/>
      <c r="J373" s="111">
        <f t="shared" si="37"/>
        <v>243541031</v>
      </c>
      <c r="K373" s="205" t="s">
        <v>5491</v>
      </c>
      <c r="L373" s="82">
        <v>6543000409</v>
      </c>
      <c r="M373" s="82">
        <v>3149206053</v>
      </c>
      <c r="N373" s="270">
        <f t="shared" si="44"/>
        <v>9692206462</v>
      </c>
      <c r="O373" s="111">
        <f t="shared" si="47"/>
        <v>118378950</v>
      </c>
      <c r="P373" s="111">
        <f t="shared" si="48"/>
        <v>361919981</v>
      </c>
      <c r="Q373" s="216">
        <v>0</v>
      </c>
    </row>
    <row r="374" spans="9:20">
      <c r="I374" s="205"/>
      <c r="J374" s="111">
        <f t="shared" si="37"/>
        <v>269667120</v>
      </c>
      <c r="K374" s="205" t="s">
        <v>5492</v>
      </c>
      <c r="L374" s="82">
        <v>6812667529</v>
      </c>
      <c r="M374" s="82">
        <v>3304835300</v>
      </c>
      <c r="N374" s="270">
        <f t="shared" si="44"/>
        <v>10117502829</v>
      </c>
      <c r="O374" s="111">
        <f t="shared" ref="O374:O415" si="49">M374-M373</f>
        <v>155629247</v>
      </c>
      <c r="P374" s="111">
        <f t="shared" ref="P374:P415" si="50">N374-N373</f>
        <v>425296367</v>
      </c>
      <c r="Q374" s="216">
        <v>0</v>
      </c>
      <c r="T374" t="s">
        <v>25</v>
      </c>
    </row>
    <row r="375" spans="9:20">
      <c r="I375" s="205"/>
      <c r="J375" s="111">
        <f t="shared" si="37"/>
        <v>-331071826</v>
      </c>
      <c r="K375" s="205" t="s">
        <v>5495</v>
      </c>
      <c r="L375" s="82">
        <v>6481595703</v>
      </c>
      <c r="M375" s="82">
        <v>3132578581</v>
      </c>
      <c r="N375" s="111">
        <f t="shared" si="44"/>
        <v>9614174284</v>
      </c>
      <c r="O375" s="111">
        <f t="shared" si="49"/>
        <v>-172256719</v>
      </c>
      <c r="P375" s="111">
        <f t="shared" si="50"/>
        <v>-503328545</v>
      </c>
      <c r="Q375" s="216">
        <v>0</v>
      </c>
    </row>
    <row r="376" spans="9:20">
      <c r="I376" s="205"/>
      <c r="J376" s="111">
        <f t="shared" si="37"/>
        <v>132706158</v>
      </c>
      <c r="K376" s="205" t="s">
        <v>5496</v>
      </c>
      <c r="L376" s="82">
        <v>6614301861</v>
      </c>
      <c r="M376" s="82">
        <v>3249650660</v>
      </c>
      <c r="N376" s="111">
        <f t="shared" si="44"/>
        <v>9863952521</v>
      </c>
      <c r="O376" s="111">
        <f t="shared" si="49"/>
        <v>117072079</v>
      </c>
      <c r="P376" s="111">
        <f t="shared" si="50"/>
        <v>249778237</v>
      </c>
      <c r="Q376" s="216">
        <v>0</v>
      </c>
    </row>
    <row r="377" spans="9:20">
      <c r="I377" s="205"/>
      <c r="J377" s="111">
        <f t="shared" si="37"/>
        <v>-107606296</v>
      </c>
      <c r="K377" s="205" t="s">
        <v>5508</v>
      </c>
      <c r="L377" s="82">
        <v>6506695565</v>
      </c>
      <c r="M377" s="82">
        <v>3224950981</v>
      </c>
      <c r="N377" s="111">
        <f t="shared" si="44"/>
        <v>9731646546</v>
      </c>
      <c r="O377" s="111">
        <f t="shared" si="49"/>
        <v>-24699679</v>
      </c>
      <c r="P377" s="111">
        <f t="shared" si="50"/>
        <v>-132305975</v>
      </c>
      <c r="Q377" s="216">
        <v>0</v>
      </c>
      <c r="S377" t="s">
        <v>25</v>
      </c>
    </row>
    <row r="378" spans="9:20">
      <c r="I378" s="205"/>
      <c r="J378" s="111">
        <f t="shared" si="37"/>
        <v>-109123444</v>
      </c>
      <c r="K378" s="205" t="s">
        <v>4209</v>
      </c>
      <c r="L378" s="82">
        <v>6397572121</v>
      </c>
      <c r="M378" s="82">
        <v>3157901382</v>
      </c>
      <c r="N378" s="111">
        <f t="shared" si="44"/>
        <v>9555473503</v>
      </c>
      <c r="O378" s="111">
        <f t="shared" si="49"/>
        <v>-67049599</v>
      </c>
      <c r="P378" s="111">
        <f t="shared" si="50"/>
        <v>-176173043</v>
      </c>
      <c r="Q378" s="216">
        <v>0</v>
      </c>
    </row>
    <row r="379" spans="9:20">
      <c r="I379" s="205"/>
      <c r="J379" s="111">
        <f t="shared" si="37"/>
        <v>-167747443</v>
      </c>
      <c r="K379" s="205" t="s">
        <v>5514</v>
      </c>
      <c r="L379" s="82">
        <v>6229824678</v>
      </c>
      <c r="M379" s="82">
        <v>3099029650</v>
      </c>
      <c r="N379" s="111">
        <f t="shared" si="44"/>
        <v>9328854328</v>
      </c>
      <c r="O379" s="111">
        <f t="shared" si="49"/>
        <v>-58871732</v>
      </c>
      <c r="P379" s="111">
        <f t="shared" si="50"/>
        <v>-226619175</v>
      </c>
      <c r="Q379" s="216">
        <v>0</v>
      </c>
    </row>
    <row r="380" spans="9:20">
      <c r="I380" s="205"/>
      <c r="J380" s="111">
        <f t="shared" si="37"/>
        <v>-120830327</v>
      </c>
      <c r="K380" s="205" t="s">
        <v>5515</v>
      </c>
      <c r="L380" s="82">
        <v>6108994351</v>
      </c>
      <c r="M380" s="82">
        <v>3027070745</v>
      </c>
      <c r="N380" s="111">
        <f t="shared" si="44"/>
        <v>9136065096</v>
      </c>
      <c r="O380" s="111">
        <f t="shared" si="49"/>
        <v>-71958905</v>
      </c>
      <c r="P380" s="111">
        <f t="shared" si="50"/>
        <v>-192789232</v>
      </c>
      <c r="Q380" s="216">
        <v>0</v>
      </c>
    </row>
    <row r="381" spans="9:20">
      <c r="I381" s="205"/>
      <c r="J381" s="111">
        <f t="shared" si="37"/>
        <v>-16401758</v>
      </c>
      <c r="K381" s="205" t="s">
        <v>5521</v>
      </c>
      <c r="L381" s="82">
        <v>6092592593</v>
      </c>
      <c r="M381" s="82">
        <v>2974864809</v>
      </c>
      <c r="N381" s="111">
        <f t="shared" si="44"/>
        <v>9067457402</v>
      </c>
      <c r="O381" s="111">
        <f t="shared" si="49"/>
        <v>-52205936</v>
      </c>
      <c r="P381" s="111">
        <f t="shared" si="50"/>
        <v>-68607694</v>
      </c>
      <c r="Q381" s="216">
        <v>0</v>
      </c>
    </row>
    <row r="382" spans="9:20">
      <c r="I382" s="205"/>
      <c r="J382" s="111">
        <f t="shared" si="37"/>
        <v>207407407</v>
      </c>
      <c r="K382" s="205" t="s">
        <v>5525</v>
      </c>
      <c r="L382" s="82">
        <v>6300000000</v>
      </c>
      <c r="M382" s="82">
        <v>3050000000</v>
      </c>
      <c r="N382" s="111">
        <f t="shared" si="44"/>
        <v>9350000000</v>
      </c>
      <c r="O382" s="111">
        <f t="shared" si="49"/>
        <v>75135191</v>
      </c>
      <c r="P382" s="111">
        <f t="shared" si="50"/>
        <v>282542598</v>
      </c>
      <c r="Q382" s="216">
        <v>0</v>
      </c>
    </row>
    <row r="383" spans="9:20">
      <c r="I383" s="205"/>
      <c r="J383" s="111">
        <f t="shared" si="37"/>
        <v>202537855</v>
      </c>
      <c r="K383" s="205" t="s">
        <v>5526</v>
      </c>
      <c r="L383" s="82">
        <v>6502537855</v>
      </c>
      <c r="M383" s="82">
        <v>3154215771</v>
      </c>
      <c r="N383" s="111">
        <f t="shared" si="44"/>
        <v>9656753626</v>
      </c>
      <c r="O383" s="111">
        <f t="shared" si="49"/>
        <v>104215771</v>
      </c>
      <c r="P383" s="111">
        <f t="shared" si="50"/>
        <v>306753626</v>
      </c>
      <c r="Q383" s="216">
        <v>0</v>
      </c>
    </row>
    <row r="384" spans="9:20">
      <c r="I384" s="205"/>
      <c r="J384" s="111">
        <f t="shared" si="37"/>
        <v>-202537855</v>
      </c>
      <c r="K384" s="205" t="s">
        <v>5530</v>
      </c>
      <c r="L384" s="82">
        <v>6300000000</v>
      </c>
      <c r="M384" s="82">
        <v>3050000000</v>
      </c>
      <c r="N384" s="111">
        <f t="shared" si="44"/>
        <v>9350000000</v>
      </c>
      <c r="O384" s="111">
        <f t="shared" si="49"/>
        <v>-104215771</v>
      </c>
      <c r="P384" s="111">
        <f t="shared" si="50"/>
        <v>-306753626</v>
      </c>
      <c r="Q384" s="216">
        <v>0</v>
      </c>
    </row>
    <row r="385" spans="9:21">
      <c r="I385" s="205"/>
      <c r="J385" s="111">
        <f t="shared" si="37"/>
        <v>-183005183</v>
      </c>
      <c r="K385" s="205" t="s">
        <v>5535</v>
      </c>
      <c r="L385" s="82">
        <v>6116994817</v>
      </c>
      <c r="M385" s="82">
        <v>2980615807</v>
      </c>
      <c r="N385" s="111">
        <f t="shared" si="44"/>
        <v>9097610624</v>
      </c>
      <c r="O385" s="111">
        <f t="shared" si="49"/>
        <v>-69384193</v>
      </c>
      <c r="P385" s="111">
        <f t="shared" si="50"/>
        <v>-252389376</v>
      </c>
      <c r="Q385" s="216">
        <v>0</v>
      </c>
      <c r="T385" t="s">
        <v>25</v>
      </c>
      <c r="U385" t="s">
        <v>25</v>
      </c>
    </row>
    <row r="386" spans="9:21">
      <c r="I386" s="205"/>
      <c r="J386" s="111">
        <f t="shared" si="37"/>
        <v>168141898</v>
      </c>
      <c r="K386" s="205" t="s">
        <v>5537</v>
      </c>
      <c r="L386" s="82">
        <v>6285136715</v>
      </c>
      <c r="M386" s="82">
        <v>3101902848</v>
      </c>
      <c r="N386" s="111">
        <f t="shared" si="44"/>
        <v>9387039563</v>
      </c>
      <c r="O386" s="111">
        <f t="shared" si="49"/>
        <v>121287041</v>
      </c>
      <c r="P386" s="111">
        <f t="shared" si="50"/>
        <v>289428939</v>
      </c>
      <c r="Q386" s="216">
        <v>0</v>
      </c>
    </row>
    <row r="387" spans="9:21">
      <c r="I387" s="205"/>
      <c r="J387" s="111">
        <f t="shared" si="37"/>
        <v>-34275406</v>
      </c>
      <c r="K387" s="205" t="s">
        <v>5538</v>
      </c>
      <c r="L387" s="82">
        <v>6250861309</v>
      </c>
      <c r="M387" s="82">
        <v>3198478808</v>
      </c>
      <c r="N387" s="111">
        <f t="shared" si="44"/>
        <v>9449340117</v>
      </c>
      <c r="O387" s="111">
        <f t="shared" si="49"/>
        <v>96575960</v>
      </c>
      <c r="P387" s="111">
        <f t="shared" si="50"/>
        <v>62300554</v>
      </c>
      <c r="Q387" s="216">
        <v>0</v>
      </c>
    </row>
    <row r="388" spans="9:21">
      <c r="I388" s="205"/>
      <c r="J388" s="111">
        <f t="shared" si="37"/>
        <v>-53341821</v>
      </c>
      <c r="K388" s="205" t="s">
        <v>5539</v>
      </c>
      <c r="L388" s="82">
        <v>6197519488</v>
      </c>
      <c r="M388" s="82">
        <v>3314399558</v>
      </c>
      <c r="N388" s="111">
        <f t="shared" si="44"/>
        <v>9511919046</v>
      </c>
      <c r="O388" s="111">
        <f t="shared" si="49"/>
        <v>115920750</v>
      </c>
      <c r="P388" s="111">
        <f t="shared" si="50"/>
        <v>62578929</v>
      </c>
      <c r="Q388" s="216">
        <v>0</v>
      </c>
    </row>
    <row r="389" spans="9:21">
      <c r="I389" s="205"/>
      <c r="J389" s="111">
        <f t="shared" si="37"/>
        <v>-70853488</v>
      </c>
      <c r="K389" s="205" t="s">
        <v>5540</v>
      </c>
      <c r="L389" s="82">
        <v>6126666000</v>
      </c>
      <c r="M389" s="82">
        <v>3341157354</v>
      </c>
      <c r="N389" s="111">
        <f t="shared" si="44"/>
        <v>9467823354</v>
      </c>
      <c r="O389" s="111">
        <f t="shared" si="49"/>
        <v>26757796</v>
      </c>
      <c r="P389" s="111">
        <f t="shared" si="50"/>
        <v>-44095692</v>
      </c>
      <c r="Q389" s="216">
        <v>0</v>
      </c>
    </row>
    <row r="390" spans="9:21">
      <c r="I390" s="256" t="s">
        <v>5546</v>
      </c>
      <c r="J390" s="92">
        <f>L390-L389+98469400</f>
        <v>113425690</v>
      </c>
      <c r="K390" s="256" t="s">
        <v>5529</v>
      </c>
      <c r="L390" s="257">
        <v>6141622290</v>
      </c>
      <c r="M390" s="257">
        <v>3374346152</v>
      </c>
      <c r="N390" s="92">
        <f t="shared" si="44"/>
        <v>9515968442</v>
      </c>
      <c r="O390" s="92">
        <f>M390-M389+683050</f>
        <v>33871848</v>
      </c>
      <c r="P390" s="92">
        <f>N390-N389+98469400+683050</f>
        <v>147297538</v>
      </c>
      <c r="Q390" s="216">
        <f>-98469400-683050</f>
        <v>-99152450</v>
      </c>
    </row>
    <row r="391" spans="9:21">
      <c r="I391" s="205"/>
      <c r="J391" s="111">
        <f t="shared" si="37"/>
        <v>174895820</v>
      </c>
      <c r="K391" s="205" t="s">
        <v>5527</v>
      </c>
      <c r="L391" s="82">
        <v>6316518110</v>
      </c>
      <c r="M391" s="82">
        <v>3473516023</v>
      </c>
      <c r="N391" s="111">
        <f t="shared" si="44"/>
        <v>9790034133</v>
      </c>
      <c r="O391" s="111">
        <f t="shared" si="49"/>
        <v>99169871</v>
      </c>
      <c r="P391" s="111">
        <f t="shared" si="50"/>
        <v>274065691</v>
      </c>
      <c r="Q391" s="216">
        <v>0</v>
      </c>
    </row>
    <row r="392" spans="9:21">
      <c r="I392" s="205"/>
      <c r="J392" s="111">
        <f t="shared" si="37"/>
        <v>276610492</v>
      </c>
      <c r="K392" s="205" t="s">
        <v>5547</v>
      </c>
      <c r="L392" s="82">
        <v>6593128602</v>
      </c>
      <c r="M392" s="82">
        <v>3636387688</v>
      </c>
      <c r="N392" s="270">
        <f t="shared" si="44"/>
        <v>10229516290</v>
      </c>
      <c r="O392" s="111">
        <f t="shared" si="49"/>
        <v>162871665</v>
      </c>
      <c r="P392" s="111">
        <f t="shared" si="50"/>
        <v>439482157</v>
      </c>
      <c r="Q392" s="216">
        <v>0</v>
      </c>
    </row>
    <row r="393" spans="9:21">
      <c r="I393" s="205"/>
      <c r="J393" s="111">
        <f t="shared" si="37"/>
        <v>34366370</v>
      </c>
      <c r="K393" s="205" t="s">
        <v>5548</v>
      </c>
      <c r="L393" s="82">
        <v>6627494972</v>
      </c>
      <c r="M393" s="82">
        <v>3737746960</v>
      </c>
      <c r="N393" s="270">
        <f t="shared" si="44"/>
        <v>10365241932</v>
      </c>
      <c r="O393" s="111">
        <f t="shared" si="49"/>
        <v>101359272</v>
      </c>
      <c r="P393" s="111">
        <f t="shared" si="50"/>
        <v>135725642</v>
      </c>
      <c r="Q393" s="216">
        <v>0</v>
      </c>
    </row>
    <row r="394" spans="9:21">
      <c r="I394" s="205"/>
      <c r="J394" s="111">
        <f t="shared" si="37"/>
        <v>-35088651</v>
      </c>
      <c r="K394" s="205" t="s">
        <v>5549</v>
      </c>
      <c r="L394" s="82">
        <v>6592406321</v>
      </c>
      <c r="M394" s="82">
        <v>3809828043</v>
      </c>
      <c r="N394" s="270">
        <f t="shared" si="44"/>
        <v>10402234364</v>
      </c>
      <c r="O394" s="111">
        <f t="shared" si="49"/>
        <v>72081083</v>
      </c>
      <c r="P394" s="111">
        <f t="shared" si="50"/>
        <v>36992432</v>
      </c>
      <c r="Q394" s="216">
        <v>0</v>
      </c>
    </row>
    <row r="395" spans="9:21">
      <c r="I395" s="205"/>
      <c r="J395" s="111">
        <f t="shared" si="37"/>
        <v>60518657</v>
      </c>
      <c r="K395" s="205" t="s">
        <v>5551</v>
      </c>
      <c r="L395" s="82">
        <v>6652924978</v>
      </c>
      <c r="M395" s="82">
        <v>3886247065</v>
      </c>
      <c r="N395" s="35">
        <f t="shared" si="44"/>
        <v>10539172043</v>
      </c>
      <c r="O395" s="111">
        <f t="shared" si="49"/>
        <v>76419022</v>
      </c>
      <c r="P395" s="111">
        <f t="shared" si="50"/>
        <v>136937679</v>
      </c>
      <c r="Q395" s="216">
        <v>0</v>
      </c>
    </row>
    <row r="396" spans="9:21">
      <c r="I396" s="205"/>
      <c r="J396" s="111">
        <f t="shared" si="37"/>
        <v>-157208317</v>
      </c>
      <c r="K396" s="205" t="s">
        <v>5552</v>
      </c>
      <c r="L396" s="82">
        <v>6495716661</v>
      </c>
      <c r="M396" s="82">
        <v>3847093958</v>
      </c>
      <c r="N396" s="111">
        <f t="shared" si="44"/>
        <v>10342810619</v>
      </c>
      <c r="O396" s="111">
        <f t="shared" si="49"/>
        <v>-39153107</v>
      </c>
      <c r="P396" s="111">
        <f t="shared" si="50"/>
        <v>-196361424</v>
      </c>
      <c r="Q396" s="216">
        <v>0</v>
      </c>
    </row>
    <row r="397" spans="9:21">
      <c r="I397" s="205"/>
      <c r="J397" s="111">
        <f t="shared" si="37"/>
        <v>-223145870</v>
      </c>
      <c r="K397" s="205" t="s">
        <v>5553</v>
      </c>
      <c r="L397" s="82">
        <v>6272570791</v>
      </c>
      <c r="M397" s="82">
        <v>3722276044</v>
      </c>
      <c r="N397" s="111">
        <f t="shared" si="44"/>
        <v>9994846835</v>
      </c>
      <c r="O397" s="111">
        <f t="shared" si="49"/>
        <v>-124817914</v>
      </c>
      <c r="P397" s="111">
        <f t="shared" si="50"/>
        <v>-347963784</v>
      </c>
      <c r="Q397" s="216">
        <v>0</v>
      </c>
    </row>
    <row r="398" spans="9:21">
      <c r="I398" s="205"/>
      <c r="J398" s="111">
        <f t="shared" si="37"/>
        <v>-227530904</v>
      </c>
      <c r="K398" s="205" t="s">
        <v>5528</v>
      </c>
      <c r="L398" s="82">
        <v>6045039887</v>
      </c>
      <c r="M398" s="82">
        <v>3588931144</v>
      </c>
      <c r="N398" s="111">
        <f t="shared" si="44"/>
        <v>9633971031</v>
      </c>
      <c r="O398" s="111">
        <f t="shared" si="49"/>
        <v>-133344900</v>
      </c>
      <c r="P398" s="111">
        <f t="shared" si="50"/>
        <v>-360875804</v>
      </c>
      <c r="Q398" s="216">
        <v>0</v>
      </c>
    </row>
    <row r="399" spans="9:21">
      <c r="I399" s="205"/>
      <c r="J399" s="111">
        <f t="shared" si="37"/>
        <v>109503474</v>
      </c>
      <c r="K399" s="205" t="s">
        <v>5556</v>
      </c>
      <c r="L399" s="82">
        <v>6154543361</v>
      </c>
      <c r="M399" s="82">
        <v>3629118507</v>
      </c>
      <c r="N399" s="111">
        <f t="shared" si="44"/>
        <v>9783661868</v>
      </c>
      <c r="O399" s="111">
        <f t="shared" si="49"/>
        <v>40187363</v>
      </c>
      <c r="P399" s="111">
        <f t="shared" si="50"/>
        <v>149690837</v>
      </c>
      <c r="Q399" s="216">
        <v>0</v>
      </c>
    </row>
    <row r="400" spans="9:21">
      <c r="I400" s="205"/>
      <c r="J400" s="111">
        <f t="shared" si="37"/>
        <v>-644129068</v>
      </c>
      <c r="K400" s="205" t="s">
        <v>5557</v>
      </c>
      <c r="L400" s="82">
        <v>5510414293</v>
      </c>
      <c r="M400" s="82">
        <v>3254206558</v>
      </c>
      <c r="N400" s="111">
        <f t="shared" si="44"/>
        <v>8764620851</v>
      </c>
      <c r="O400" s="111">
        <f t="shared" si="49"/>
        <v>-374911949</v>
      </c>
      <c r="P400" s="111">
        <f t="shared" si="50"/>
        <v>-1019041017</v>
      </c>
      <c r="Q400" s="216">
        <v>0</v>
      </c>
      <c r="U400" t="s">
        <v>25</v>
      </c>
    </row>
    <row r="401" spans="9:17">
      <c r="I401" s="205"/>
      <c r="J401" s="111">
        <f t="shared" si="37"/>
        <v>257585707</v>
      </c>
      <c r="K401" s="205" t="s">
        <v>5559</v>
      </c>
      <c r="L401" s="82">
        <v>5768000000</v>
      </c>
      <c r="M401" s="82">
        <v>3381000000</v>
      </c>
      <c r="N401" s="111">
        <f t="shared" si="44"/>
        <v>9149000000</v>
      </c>
      <c r="O401" s="111">
        <f t="shared" si="49"/>
        <v>126793442</v>
      </c>
      <c r="P401" s="111">
        <f t="shared" si="50"/>
        <v>384379149</v>
      </c>
      <c r="Q401" s="216">
        <v>0</v>
      </c>
    </row>
    <row r="402" spans="9:17">
      <c r="I402" s="205"/>
      <c r="J402" s="111">
        <f t="shared" si="37"/>
        <v>-168000000</v>
      </c>
      <c r="K402" s="205" t="s">
        <v>3888</v>
      </c>
      <c r="L402" s="82">
        <v>5600000000</v>
      </c>
      <c r="M402" s="82">
        <v>3250000000</v>
      </c>
      <c r="N402" s="111">
        <f t="shared" si="44"/>
        <v>8850000000</v>
      </c>
      <c r="O402" s="111">
        <f t="shared" si="49"/>
        <v>-131000000</v>
      </c>
      <c r="P402" s="111">
        <f t="shared" si="50"/>
        <v>-299000000</v>
      </c>
      <c r="Q402" s="216">
        <v>0</v>
      </c>
    </row>
    <row r="403" spans="9:17">
      <c r="I403" s="205"/>
      <c r="J403" s="111">
        <f t="shared" si="37"/>
        <v>-150000000</v>
      </c>
      <c r="K403" s="205" t="s">
        <v>5560</v>
      </c>
      <c r="L403" s="82">
        <v>5450000000</v>
      </c>
      <c r="M403" s="82">
        <v>3100000000</v>
      </c>
      <c r="N403" s="111">
        <f t="shared" si="44"/>
        <v>8550000000</v>
      </c>
      <c r="O403" s="111">
        <f t="shared" si="49"/>
        <v>-150000000</v>
      </c>
      <c r="P403" s="111">
        <f t="shared" si="50"/>
        <v>-300000000</v>
      </c>
      <c r="Q403" s="216">
        <v>0</v>
      </c>
    </row>
    <row r="404" spans="9:17">
      <c r="I404" s="205"/>
      <c r="J404" s="111">
        <f t="shared" si="37"/>
        <v>-150000000</v>
      </c>
      <c r="K404" s="205" t="s">
        <v>5562</v>
      </c>
      <c r="L404" s="82">
        <v>5300000000</v>
      </c>
      <c r="M404" s="82">
        <v>3050000000</v>
      </c>
      <c r="N404" s="111">
        <f t="shared" si="44"/>
        <v>8350000000</v>
      </c>
      <c r="O404" s="111">
        <f t="shared" si="49"/>
        <v>-50000000</v>
      </c>
      <c r="P404" s="111">
        <f t="shared" si="50"/>
        <v>-200000000</v>
      </c>
      <c r="Q404" s="216">
        <v>0</v>
      </c>
    </row>
    <row r="405" spans="9:17">
      <c r="I405" s="205"/>
      <c r="J405" s="111">
        <f t="shared" si="37"/>
        <v>-150000000</v>
      </c>
      <c r="K405" s="205" t="s">
        <v>5564</v>
      </c>
      <c r="L405" s="82">
        <v>5150000000</v>
      </c>
      <c r="M405" s="82">
        <v>3000000000</v>
      </c>
      <c r="N405" s="111">
        <f t="shared" si="44"/>
        <v>8150000000</v>
      </c>
      <c r="O405" s="111">
        <f t="shared" si="49"/>
        <v>-50000000</v>
      </c>
      <c r="P405" s="111">
        <f t="shared" si="50"/>
        <v>-200000000</v>
      </c>
      <c r="Q405" s="216">
        <v>0</v>
      </c>
    </row>
    <row r="406" spans="9:17">
      <c r="I406" s="205"/>
      <c r="J406" s="111">
        <f t="shared" si="37"/>
        <v>-135453928</v>
      </c>
      <c r="K406" s="205" t="s">
        <v>5567</v>
      </c>
      <c r="L406" s="82">
        <v>5014546072</v>
      </c>
      <c r="M406" s="82">
        <v>2987995133</v>
      </c>
      <c r="N406" s="111">
        <f t="shared" si="44"/>
        <v>8002541205</v>
      </c>
      <c r="O406" s="111">
        <f t="shared" si="49"/>
        <v>-12004867</v>
      </c>
      <c r="P406" s="111">
        <f t="shared" si="50"/>
        <v>-147458795</v>
      </c>
      <c r="Q406" s="216">
        <v>0</v>
      </c>
    </row>
    <row r="407" spans="9:17">
      <c r="I407" s="205"/>
      <c r="J407" s="111">
        <f t="shared" si="37"/>
        <v>241706477</v>
      </c>
      <c r="K407" s="205" t="s">
        <v>5569</v>
      </c>
      <c r="L407" s="82">
        <v>5256252549</v>
      </c>
      <c r="M407" s="82">
        <v>3103570482</v>
      </c>
      <c r="N407" s="111">
        <f t="shared" si="44"/>
        <v>8359823031</v>
      </c>
      <c r="O407" s="111">
        <f t="shared" si="49"/>
        <v>115575349</v>
      </c>
      <c r="P407" s="111">
        <f t="shared" si="50"/>
        <v>357281826</v>
      </c>
      <c r="Q407" s="216">
        <v>0</v>
      </c>
    </row>
    <row r="408" spans="9:17">
      <c r="I408" s="205"/>
      <c r="J408" s="111">
        <f t="shared" si="37"/>
        <v>251475479</v>
      </c>
      <c r="K408" s="205" t="s">
        <v>5570</v>
      </c>
      <c r="L408" s="82">
        <v>5507728028</v>
      </c>
      <c r="M408" s="82">
        <v>3251586232</v>
      </c>
      <c r="N408" s="111">
        <f t="shared" si="44"/>
        <v>8759314260</v>
      </c>
      <c r="O408" s="111">
        <f t="shared" si="49"/>
        <v>148015750</v>
      </c>
      <c r="P408" s="111">
        <f t="shared" si="50"/>
        <v>399491229</v>
      </c>
      <c r="Q408" s="216">
        <v>0</v>
      </c>
    </row>
    <row r="409" spans="9:17">
      <c r="I409" s="205"/>
      <c r="J409" s="111">
        <f t="shared" si="37"/>
        <v>-207728028</v>
      </c>
      <c r="K409" s="205" t="s">
        <v>5571</v>
      </c>
      <c r="L409" s="82">
        <v>5300000000</v>
      </c>
      <c r="M409" s="82">
        <v>3150000000</v>
      </c>
      <c r="N409" s="111">
        <f t="shared" si="44"/>
        <v>8450000000</v>
      </c>
      <c r="O409" s="111">
        <f t="shared" si="49"/>
        <v>-101586232</v>
      </c>
      <c r="P409" s="111">
        <f t="shared" si="50"/>
        <v>-309314260</v>
      </c>
      <c r="Q409" s="216">
        <v>0</v>
      </c>
    </row>
    <row r="410" spans="9:17">
      <c r="I410" s="205"/>
      <c r="J410" s="111">
        <f t="shared" si="37"/>
        <v>-178432621</v>
      </c>
      <c r="K410" s="205" t="s">
        <v>5574</v>
      </c>
      <c r="L410" s="82">
        <v>5121567379</v>
      </c>
      <c r="M410" s="82">
        <v>3018847808</v>
      </c>
      <c r="N410" s="111">
        <f t="shared" si="44"/>
        <v>8140415187</v>
      </c>
      <c r="O410" s="111">
        <f t="shared" si="49"/>
        <v>-131152192</v>
      </c>
      <c r="P410" s="111">
        <f t="shared" si="50"/>
        <v>-309584813</v>
      </c>
      <c r="Q410" s="216">
        <v>0</v>
      </c>
    </row>
    <row r="411" spans="9:17">
      <c r="I411" s="205"/>
      <c r="J411" s="111">
        <f t="shared" si="37"/>
        <v>96814281</v>
      </c>
      <c r="K411" s="205" t="s">
        <v>5576</v>
      </c>
      <c r="L411" s="82">
        <v>5218381660</v>
      </c>
      <c r="M411" s="82">
        <v>3066844882</v>
      </c>
      <c r="N411" s="111">
        <f t="shared" si="44"/>
        <v>8285226542</v>
      </c>
      <c r="O411" s="111">
        <f t="shared" si="49"/>
        <v>47997074</v>
      </c>
      <c r="P411" s="111">
        <f t="shared" si="50"/>
        <v>144811355</v>
      </c>
      <c r="Q411" s="216">
        <v>0</v>
      </c>
    </row>
    <row r="412" spans="9:17">
      <c r="I412" s="205"/>
      <c r="J412" s="111">
        <f t="shared" si="37"/>
        <v>-3247574</v>
      </c>
      <c r="K412" s="205" t="s">
        <v>5579</v>
      </c>
      <c r="L412" s="82">
        <v>5215134086</v>
      </c>
      <c r="M412" s="82">
        <v>3078145871</v>
      </c>
      <c r="N412" s="111">
        <f t="shared" si="44"/>
        <v>8293279957</v>
      </c>
      <c r="O412" s="111">
        <f t="shared" si="49"/>
        <v>11300989</v>
      </c>
      <c r="P412" s="111">
        <f t="shared" si="50"/>
        <v>8053415</v>
      </c>
      <c r="Q412" s="216">
        <v>0</v>
      </c>
    </row>
    <row r="413" spans="9:17">
      <c r="I413" s="205"/>
      <c r="J413" s="111">
        <f t="shared" si="37"/>
        <v>5019616</v>
      </c>
      <c r="K413" s="205" t="s">
        <v>5580</v>
      </c>
      <c r="L413" s="82">
        <v>5220153702</v>
      </c>
      <c r="M413" s="82">
        <v>3087043354</v>
      </c>
      <c r="N413" s="111">
        <f t="shared" si="44"/>
        <v>8307197056</v>
      </c>
      <c r="O413" s="111">
        <f t="shared" si="49"/>
        <v>8897483</v>
      </c>
      <c r="P413" s="111">
        <f t="shared" si="50"/>
        <v>13917099</v>
      </c>
      <c r="Q413" s="216">
        <v>0</v>
      </c>
    </row>
    <row r="414" spans="9:17">
      <c r="I414" s="205"/>
      <c r="J414" s="111">
        <f t="shared" si="37"/>
        <v>-62469210</v>
      </c>
      <c r="K414" s="205" t="s">
        <v>5581</v>
      </c>
      <c r="L414" s="82">
        <v>5157684492</v>
      </c>
      <c r="M414" s="82">
        <v>3055766920</v>
      </c>
      <c r="N414" s="111">
        <f t="shared" si="44"/>
        <v>8213451412</v>
      </c>
      <c r="O414" s="111">
        <f t="shared" si="49"/>
        <v>-31276434</v>
      </c>
      <c r="P414" s="111">
        <f t="shared" si="50"/>
        <v>-93745644</v>
      </c>
      <c r="Q414" s="216">
        <v>0</v>
      </c>
    </row>
    <row r="415" spans="9:17">
      <c r="I415" s="205"/>
      <c r="J415" s="111">
        <f t="shared" si="37"/>
        <v>-172184470</v>
      </c>
      <c r="K415" s="205" t="s">
        <v>5584</v>
      </c>
      <c r="L415" s="82">
        <v>4985500022</v>
      </c>
      <c r="M415" s="82">
        <v>3006602536</v>
      </c>
      <c r="N415" s="111">
        <f t="shared" si="44"/>
        <v>7992102558</v>
      </c>
      <c r="O415" s="111">
        <f t="shared" si="49"/>
        <v>-49164384</v>
      </c>
      <c r="P415" s="111">
        <f t="shared" si="50"/>
        <v>-221348854</v>
      </c>
      <c r="Q415" s="216">
        <v>0</v>
      </c>
    </row>
    <row r="416" spans="9:17">
      <c r="I416" s="205"/>
      <c r="J416" s="111">
        <f t="shared" ref="J416:J559" si="51">L416-L415</f>
        <v>147652909</v>
      </c>
      <c r="K416" s="205" t="s">
        <v>5585</v>
      </c>
      <c r="L416" s="82">
        <v>5133152931</v>
      </c>
      <c r="M416" s="82">
        <v>3092223617</v>
      </c>
      <c r="N416" s="111">
        <f t="shared" ref="N416:N462" si="52">L416+M416</f>
        <v>8225376548</v>
      </c>
      <c r="O416" s="111">
        <f t="shared" ref="O416:O439" si="53">M416-M415</f>
        <v>85621081</v>
      </c>
      <c r="P416" s="111">
        <f t="shared" ref="P416:P439" si="54">N416-N415</f>
        <v>233273990</v>
      </c>
      <c r="Q416" s="216">
        <v>0</v>
      </c>
    </row>
    <row r="417" spans="9:21">
      <c r="I417" s="205"/>
      <c r="J417" s="111">
        <f t="shared" si="51"/>
        <v>189045597</v>
      </c>
      <c r="K417" s="205" t="s">
        <v>5586</v>
      </c>
      <c r="L417" s="82">
        <v>5322198528</v>
      </c>
      <c r="M417" s="82">
        <v>3215671484</v>
      </c>
      <c r="N417" s="111">
        <f t="shared" si="52"/>
        <v>8537870012</v>
      </c>
      <c r="O417" s="111">
        <f t="shared" si="53"/>
        <v>123447867</v>
      </c>
      <c r="P417" s="111">
        <f t="shared" si="54"/>
        <v>312493464</v>
      </c>
      <c r="Q417" s="216">
        <v>0</v>
      </c>
    </row>
    <row r="418" spans="9:21">
      <c r="I418" s="205"/>
      <c r="J418" s="111">
        <f t="shared" si="51"/>
        <v>-31187186</v>
      </c>
      <c r="K418" s="205" t="s">
        <v>5591</v>
      </c>
      <c r="L418" s="82">
        <v>5291011342</v>
      </c>
      <c r="M418" s="82">
        <v>3221615755</v>
      </c>
      <c r="N418" s="111">
        <f t="shared" si="52"/>
        <v>8512627097</v>
      </c>
      <c r="O418" s="111">
        <f t="shared" si="53"/>
        <v>5944271</v>
      </c>
      <c r="P418" s="111">
        <f t="shared" si="54"/>
        <v>-25242915</v>
      </c>
      <c r="Q418" s="216">
        <v>0</v>
      </c>
    </row>
    <row r="419" spans="9:21">
      <c r="I419" s="205"/>
      <c r="J419" s="111">
        <f t="shared" si="51"/>
        <v>153649923</v>
      </c>
      <c r="K419" s="205" t="s">
        <v>5592</v>
      </c>
      <c r="L419" s="82">
        <v>5444661265</v>
      </c>
      <c r="M419" s="82">
        <v>3324294604</v>
      </c>
      <c r="N419" s="111">
        <f t="shared" si="52"/>
        <v>8768955869</v>
      </c>
      <c r="O419" s="111">
        <f t="shared" si="53"/>
        <v>102678849</v>
      </c>
      <c r="P419" s="111">
        <f t="shared" si="54"/>
        <v>256328772</v>
      </c>
      <c r="Q419" s="216">
        <v>0</v>
      </c>
    </row>
    <row r="420" spans="9:21">
      <c r="I420" s="205"/>
      <c r="J420" s="111">
        <f t="shared" si="51"/>
        <v>137145554</v>
      </c>
      <c r="K420" s="205" t="s">
        <v>4182</v>
      </c>
      <c r="L420" s="82">
        <v>5581806819</v>
      </c>
      <c r="M420" s="82">
        <v>3412581549</v>
      </c>
      <c r="N420" s="111">
        <f t="shared" si="52"/>
        <v>8994388368</v>
      </c>
      <c r="O420" s="111">
        <f t="shared" si="53"/>
        <v>88286945</v>
      </c>
      <c r="P420" s="111">
        <f t="shared" si="54"/>
        <v>225432499</v>
      </c>
      <c r="Q420" s="216">
        <v>0</v>
      </c>
    </row>
    <row r="421" spans="9:21">
      <c r="I421" s="205"/>
      <c r="J421" s="111">
        <f t="shared" si="51"/>
        <v>193856034</v>
      </c>
      <c r="K421" s="205" t="s">
        <v>5594</v>
      </c>
      <c r="L421" s="82">
        <v>5775662853</v>
      </c>
      <c r="M421" s="82">
        <v>3525253290</v>
      </c>
      <c r="N421" s="111">
        <f t="shared" si="52"/>
        <v>9300916143</v>
      </c>
      <c r="O421" s="111">
        <f t="shared" si="53"/>
        <v>112671741</v>
      </c>
      <c r="P421" s="111">
        <f t="shared" si="54"/>
        <v>306527775</v>
      </c>
      <c r="Q421" s="216">
        <v>0</v>
      </c>
    </row>
    <row r="422" spans="9:21">
      <c r="I422" s="205"/>
      <c r="J422" s="111">
        <f t="shared" si="51"/>
        <v>74337147</v>
      </c>
      <c r="K422" s="205" t="s">
        <v>5596</v>
      </c>
      <c r="L422" s="82">
        <v>5850000000</v>
      </c>
      <c r="M422" s="82">
        <v>3570000000</v>
      </c>
      <c r="N422" s="111">
        <f t="shared" si="52"/>
        <v>9420000000</v>
      </c>
      <c r="O422" s="111">
        <f t="shared" si="53"/>
        <v>44746710</v>
      </c>
      <c r="P422" s="111">
        <f t="shared" si="54"/>
        <v>119083857</v>
      </c>
      <c r="Q422" s="216">
        <v>0</v>
      </c>
    </row>
    <row r="423" spans="9:21">
      <c r="I423" s="205"/>
      <c r="J423" s="111">
        <f t="shared" si="51"/>
        <v>50000000</v>
      </c>
      <c r="K423" s="205" t="s">
        <v>5597</v>
      </c>
      <c r="L423" s="82">
        <v>5900000000</v>
      </c>
      <c r="M423" s="82">
        <v>3600000000</v>
      </c>
      <c r="N423" s="111">
        <f t="shared" si="52"/>
        <v>9500000000</v>
      </c>
      <c r="O423" s="111">
        <f t="shared" si="53"/>
        <v>30000000</v>
      </c>
      <c r="P423" s="111">
        <f t="shared" si="54"/>
        <v>80000000</v>
      </c>
      <c r="Q423" s="216">
        <v>0</v>
      </c>
    </row>
    <row r="424" spans="9:21">
      <c r="I424" s="205"/>
      <c r="J424" s="111">
        <f t="shared" si="51"/>
        <v>157818490</v>
      </c>
      <c r="K424" s="205" t="s">
        <v>5598</v>
      </c>
      <c r="L424" s="82">
        <v>6057818490</v>
      </c>
      <c r="M424" s="82">
        <v>3674629787</v>
      </c>
      <c r="N424" s="111">
        <f t="shared" si="52"/>
        <v>9732448277</v>
      </c>
      <c r="O424" s="111">
        <f t="shared" si="53"/>
        <v>74629787</v>
      </c>
      <c r="P424" s="111">
        <f t="shared" si="54"/>
        <v>232448277</v>
      </c>
      <c r="Q424" s="216">
        <v>0</v>
      </c>
    </row>
    <row r="425" spans="9:21">
      <c r="I425" s="205"/>
      <c r="J425" s="111">
        <f t="shared" si="51"/>
        <v>132857927</v>
      </c>
      <c r="K425" s="205" t="s">
        <v>5610</v>
      </c>
      <c r="L425" s="82">
        <v>6190676417</v>
      </c>
      <c r="M425" s="82">
        <v>3729667303</v>
      </c>
      <c r="N425" s="111">
        <f t="shared" si="52"/>
        <v>9920343720</v>
      </c>
      <c r="O425" s="111">
        <f t="shared" si="53"/>
        <v>55037516</v>
      </c>
      <c r="P425" s="111">
        <f t="shared" si="54"/>
        <v>187895443</v>
      </c>
      <c r="Q425" s="216">
        <v>0</v>
      </c>
    </row>
    <row r="426" spans="9:21">
      <c r="I426" s="205"/>
      <c r="J426" s="111">
        <f t="shared" si="51"/>
        <v>91232594</v>
      </c>
      <c r="K426" s="205" t="s">
        <v>5611</v>
      </c>
      <c r="L426" s="82">
        <v>6281909011</v>
      </c>
      <c r="M426" s="82">
        <v>3762010921</v>
      </c>
      <c r="N426" s="111">
        <f t="shared" si="52"/>
        <v>10043919932</v>
      </c>
      <c r="O426" s="111">
        <f t="shared" si="53"/>
        <v>32343618</v>
      </c>
      <c r="P426" s="111">
        <f t="shared" si="54"/>
        <v>123576212</v>
      </c>
      <c r="Q426" s="216">
        <v>0</v>
      </c>
    </row>
    <row r="427" spans="9:21">
      <c r="I427" s="205"/>
      <c r="J427" s="111">
        <f t="shared" si="51"/>
        <v>164439952</v>
      </c>
      <c r="K427" s="205" t="s">
        <v>5613</v>
      </c>
      <c r="L427" s="82">
        <v>6446348963</v>
      </c>
      <c r="M427" s="82">
        <v>3845614899</v>
      </c>
      <c r="N427" s="111">
        <f t="shared" si="52"/>
        <v>10291963862</v>
      </c>
      <c r="O427" s="111">
        <f t="shared" si="53"/>
        <v>83603978</v>
      </c>
      <c r="P427" s="111">
        <f t="shared" si="54"/>
        <v>248043930</v>
      </c>
      <c r="Q427" s="216">
        <v>0</v>
      </c>
      <c r="S427" t="s">
        <v>25</v>
      </c>
    </row>
    <row r="428" spans="9:21">
      <c r="I428" s="205"/>
      <c r="J428" s="111">
        <f t="shared" si="51"/>
        <v>-371447429</v>
      </c>
      <c r="K428" s="205" t="s">
        <v>5617</v>
      </c>
      <c r="L428" s="82">
        <v>6074901534</v>
      </c>
      <c r="M428" s="82">
        <v>3651455158</v>
      </c>
      <c r="N428" s="111">
        <f t="shared" si="52"/>
        <v>9726356692</v>
      </c>
      <c r="O428" s="111">
        <f t="shared" si="53"/>
        <v>-194159741</v>
      </c>
      <c r="P428" s="111">
        <f t="shared" si="54"/>
        <v>-565607170</v>
      </c>
      <c r="Q428" s="216">
        <v>0</v>
      </c>
      <c r="U428" t="s">
        <v>25</v>
      </c>
    </row>
    <row r="429" spans="9:21">
      <c r="I429" s="205"/>
      <c r="J429" s="111">
        <f t="shared" si="51"/>
        <v>10480171</v>
      </c>
      <c r="K429" s="205" t="s">
        <v>5619</v>
      </c>
      <c r="L429" s="82">
        <v>6085381705</v>
      </c>
      <c r="M429" s="82">
        <v>3519278868</v>
      </c>
      <c r="N429" s="111">
        <f t="shared" si="52"/>
        <v>9604660573</v>
      </c>
      <c r="O429" s="111">
        <f t="shared" si="53"/>
        <v>-132176290</v>
      </c>
      <c r="P429" s="111">
        <f t="shared" si="54"/>
        <v>-121696119</v>
      </c>
      <c r="Q429" s="216">
        <v>0</v>
      </c>
    </row>
    <row r="430" spans="9:21">
      <c r="I430" s="205"/>
      <c r="J430" s="111">
        <f t="shared" si="51"/>
        <v>78259044</v>
      </c>
      <c r="K430" s="205" t="s">
        <v>5622</v>
      </c>
      <c r="L430" s="82">
        <v>6163640749</v>
      </c>
      <c r="M430" s="82">
        <v>3565355810</v>
      </c>
      <c r="N430" s="111">
        <f t="shared" si="52"/>
        <v>9728996559</v>
      </c>
      <c r="O430" s="111">
        <f t="shared" si="53"/>
        <v>46076942</v>
      </c>
      <c r="P430" s="111">
        <f t="shared" si="54"/>
        <v>124335986</v>
      </c>
      <c r="Q430" s="216">
        <v>0</v>
      </c>
      <c r="S430" t="s">
        <v>25</v>
      </c>
    </row>
    <row r="431" spans="9:21">
      <c r="I431" s="205"/>
      <c r="J431" s="111">
        <f t="shared" si="51"/>
        <v>49454223</v>
      </c>
      <c r="K431" s="205" t="s">
        <v>5626</v>
      </c>
      <c r="L431" s="82">
        <v>6213094972</v>
      </c>
      <c r="M431" s="82">
        <v>3626911016</v>
      </c>
      <c r="N431" s="111">
        <f t="shared" si="52"/>
        <v>9840005988</v>
      </c>
      <c r="O431" s="111">
        <f t="shared" si="53"/>
        <v>61555206</v>
      </c>
      <c r="P431" s="111">
        <f t="shared" si="54"/>
        <v>111009429</v>
      </c>
      <c r="Q431" s="216">
        <v>0</v>
      </c>
    </row>
    <row r="432" spans="9:21">
      <c r="I432" s="205"/>
      <c r="J432" s="111">
        <f t="shared" si="51"/>
        <v>132208320</v>
      </c>
      <c r="K432" s="205" t="s">
        <v>5628</v>
      </c>
      <c r="L432" s="82">
        <v>6345303292</v>
      </c>
      <c r="M432" s="82">
        <v>3665122650</v>
      </c>
      <c r="N432" s="111">
        <f t="shared" si="52"/>
        <v>10010425942</v>
      </c>
      <c r="O432" s="111">
        <f t="shared" si="53"/>
        <v>38211634</v>
      </c>
      <c r="P432" s="111">
        <f t="shared" si="54"/>
        <v>170419954</v>
      </c>
      <c r="Q432" s="216">
        <v>0</v>
      </c>
    </row>
    <row r="433" spans="9:20">
      <c r="I433" s="205"/>
      <c r="J433" s="111">
        <f t="shared" si="51"/>
        <v>-262982510</v>
      </c>
      <c r="K433" s="205" t="s">
        <v>5632</v>
      </c>
      <c r="L433" s="82">
        <v>6082320782</v>
      </c>
      <c r="M433" s="82">
        <v>3526148342</v>
      </c>
      <c r="N433" s="111">
        <f t="shared" si="52"/>
        <v>9608469124</v>
      </c>
      <c r="O433" s="111">
        <f t="shared" si="53"/>
        <v>-138974308</v>
      </c>
      <c r="P433" s="111">
        <f t="shared" si="54"/>
        <v>-401956818</v>
      </c>
      <c r="Q433" s="216">
        <v>0</v>
      </c>
    </row>
    <row r="434" spans="9:20">
      <c r="I434" s="205"/>
      <c r="J434" s="111">
        <f t="shared" si="51"/>
        <v>-222123228</v>
      </c>
      <c r="K434" s="205" t="s">
        <v>5634</v>
      </c>
      <c r="L434" s="82">
        <v>5860197554</v>
      </c>
      <c r="M434" s="82">
        <v>3397457932</v>
      </c>
      <c r="N434" s="111">
        <f t="shared" si="52"/>
        <v>9257655486</v>
      </c>
      <c r="O434" s="111">
        <f t="shared" si="53"/>
        <v>-128690410</v>
      </c>
      <c r="P434" s="111">
        <f t="shared" si="54"/>
        <v>-350813638</v>
      </c>
      <c r="Q434" s="216">
        <v>0</v>
      </c>
    </row>
    <row r="435" spans="9:20">
      <c r="I435" s="205"/>
      <c r="J435" s="111">
        <f t="shared" si="51"/>
        <v>305950438</v>
      </c>
      <c r="K435" s="205" t="s">
        <v>5636</v>
      </c>
      <c r="L435" s="82">
        <v>6166147992</v>
      </c>
      <c r="M435" s="82">
        <v>3569773836</v>
      </c>
      <c r="N435" s="111">
        <f t="shared" si="52"/>
        <v>9735921828</v>
      </c>
      <c r="O435" s="111">
        <f t="shared" si="53"/>
        <v>172315904</v>
      </c>
      <c r="P435" s="111">
        <f t="shared" si="54"/>
        <v>478266342</v>
      </c>
      <c r="Q435" s="216">
        <v>0</v>
      </c>
    </row>
    <row r="436" spans="9:20">
      <c r="I436" s="205"/>
      <c r="J436" s="111">
        <f t="shared" si="51"/>
        <v>-53034278</v>
      </c>
      <c r="K436" s="205" t="s">
        <v>5637</v>
      </c>
      <c r="L436" s="82">
        <v>6113113714</v>
      </c>
      <c r="M436" s="82">
        <v>3533315565</v>
      </c>
      <c r="N436" s="111">
        <f t="shared" si="52"/>
        <v>9646429279</v>
      </c>
      <c r="O436" s="111">
        <f t="shared" si="53"/>
        <v>-36458271</v>
      </c>
      <c r="P436" s="111">
        <f t="shared" si="54"/>
        <v>-89492549</v>
      </c>
      <c r="Q436" s="216">
        <v>0</v>
      </c>
    </row>
    <row r="437" spans="9:20">
      <c r="I437" s="205"/>
      <c r="J437" s="111">
        <f t="shared" si="51"/>
        <v>-113113714</v>
      </c>
      <c r="K437" s="205" t="s">
        <v>5639</v>
      </c>
      <c r="L437" s="82">
        <v>6000000000</v>
      </c>
      <c r="M437" s="82">
        <v>3400000000</v>
      </c>
      <c r="N437" s="111">
        <f t="shared" si="52"/>
        <v>9400000000</v>
      </c>
      <c r="O437" s="111">
        <f t="shared" si="53"/>
        <v>-133315565</v>
      </c>
      <c r="P437" s="111">
        <f t="shared" si="54"/>
        <v>-246429279</v>
      </c>
      <c r="Q437" s="216">
        <v>0</v>
      </c>
    </row>
    <row r="438" spans="9:20">
      <c r="I438" s="205"/>
      <c r="J438" s="111">
        <f t="shared" si="51"/>
        <v>95898606</v>
      </c>
      <c r="K438" s="205" t="s">
        <v>5640</v>
      </c>
      <c r="L438" s="82">
        <v>6095898606</v>
      </c>
      <c r="M438" s="82">
        <v>3519276285</v>
      </c>
      <c r="N438" s="111">
        <f t="shared" si="52"/>
        <v>9615174891</v>
      </c>
      <c r="O438" s="111">
        <f t="shared" si="53"/>
        <v>119276285</v>
      </c>
      <c r="P438" s="111">
        <f t="shared" si="54"/>
        <v>215174891</v>
      </c>
      <c r="Q438" s="216">
        <v>0</v>
      </c>
      <c r="S438" t="s">
        <v>25</v>
      </c>
    </row>
    <row r="439" spans="9:20">
      <c r="I439" s="205"/>
      <c r="J439" s="111">
        <f t="shared" si="51"/>
        <v>50657083</v>
      </c>
      <c r="K439" s="205" t="s">
        <v>5642</v>
      </c>
      <c r="L439" s="82">
        <v>6146555689</v>
      </c>
      <c r="M439" s="82">
        <v>3519245731</v>
      </c>
      <c r="N439" s="111">
        <f t="shared" si="52"/>
        <v>9665801420</v>
      </c>
      <c r="O439" s="111">
        <f t="shared" si="53"/>
        <v>-30554</v>
      </c>
      <c r="P439" s="111">
        <f t="shared" si="54"/>
        <v>50626529</v>
      </c>
      <c r="Q439" s="216">
        <v>0</v>
      </c>
    </row>
    <row r="440" spans="9:20">
      <c r="I440" s="205"/>
      <c r="J440" s="111">
        <f t="shared" si="51"/>
        <v>6703230</v>
      </c>
      <c r="K440" s="205" t="s">
        <v>5644</v>
      </c>
      <c r="L440" s="82">
        <v>6153258919</v>
      </c>
      <c r="M440" s="82">
        <v>3527498319</v>
      </c>
      <c r="N440" s="111">
        <f t="shared" si="52"/>
        <v>9680757238</v>
      </c>
      <c r="O440" s="111">
        <f t="shared" ref="O440:O462" si="55">M440-M439</f>
        <v>8252588</v>
      </c>
      <c r="P440" s="111">
        <f t="shared" ref="P440:P462" si="56">N440-N439</f>
        <v>14955818</v>
      </c>
      <c r="Q440" s="216">
        <v>0</v>
      </c>
    </row>
    <row r="441" spans="9:20">
      <c r="I441" s="205"/>
      <c r="J441" s="111">
        <f t="shared" si="51"/>
        <v>-182856601</v>
      </c>
      <c r="K441" s="205" t="s">
        <v>5646</v>
      </c>
      <c r="L441" s="82">
        <v>5970402318</v>
      </c>
      <c r="M441" s="82">
        <v>3424484714</v>
      </c>
      <c r="N441" s="111">
        <f t="shared" si="52"/>
        <v>9394887032</v>
      </c>
      <c r="O441" s="111">
        <f t="shared" si="55"/>
        <v>-103013605</v>
      </c>
      <c r="P441" s="111">
        <f t="shared" si="56"/>
        <v>-285870206</v>
      </c>
      <c r="Q441" s="216">
        <v>0</v>
      </c>
    </row>
    <row r="442" spans="9:20">
      <c r="I442" s="205"/>
      <c r="J442" s="111">
        <f t="shared" si="51"/>
        <v>-270402318</v>
      </c>
      <c r="K442" s="205" t="s">
        <v>5648</v>
      </c>
      <c r="L442" s="82">
        <v>5700000000</v>
      </c>
      <c r="M442" s="82">
        <v>3250000000</v>
      </c>
      <c r="N442" s="111">
        <f t="shared" si="52"/>
        <v>8950000000</v>
      </c>
      <c r="O442" s="111">
        <f t="shared" si="55"/>
        <v>-174484714</v>
      </c>
      <c r="P442" s="111">
        <f t="shared" si="56"/>
        <v>-444887032</v>
      </c>
      <c r="Q442" s="216">
        <v>0</v>
      </c>
    </row>
    <row r="443" spans="9:20">
      <c r="I443" s="205"/>
      <c r="J443" s="111">
        <f t="shared" si="51"/>
        <v>-200000000</v>
      </c>
      <c r="K443" s="205" t="s">
        <v>5649</v>
      </c>
      <c r="L443" s="82">
        <v>5500000000</v>
      </c>
      <c r="M443" s="82">
        <v>3150000000</v>
      </c>
      <c r="N443" s="111">
        <f t="shared" si="52"/>
        <v>8650000000</v>
      </c>
      <c r="O443" s="111">
        <f t="shared" si="55"/>
        <v>-100000000</v>
      </c>
      <c r="P443" s="111">
        <f t="shared" si="56"/>
        <v>-300000000</v>
      </c>
      <c r="Q443" s="216">
        <v>0</v>
      </c>
    </row>
    <row r="444" spans="9:20">
      <c r="I444" s="205"/>
      <c r="J444" s="111">
        <f t="shared" si="51"/>
        <v>-227767218</v>
      </c>
      <c r="K444" s="205" t="s">
        <v>5650</v>
      </c>
      <c r="L444" s="82">
        <v>5272232782</v>
      </c>
      <c r="M444" s="82">
        <v>3039233271</v>
      </c>
      <c r="N444" s="111">
        <f t="shared" si="52"/>
        <v>8311466053</v>
      </c>
      <c r="O444" s="111">
        <f t="shared" si="55"/>
        <v>-110766729</v>
      </c>
      <c r="P444" s="111">
        <f t="shared" si="56"/>
        <v>-338533947</v>
      </c>
      <c r="Q444" s="216">
        <v>0</v>
      </c>
    </row>
    <row r="445" spans="9:20">
      <c r="I445" s="205"/>
      <c r="J445" s="111">
        <f t="shared" si="51"/>
        <v>-72232782</v>
      </c>
      <c r="K445" s="205" t="s">
        <v>5659</v>
      </c>
      <c r="L445" s="82">
        <v>5200000000</v>
      </c>
      <c r="M445" s="82">
        <v>3000000000</v>
      </c>
      <c r="N445" s="111">
        <f t="shared" si="52"/>
        <v>8200000000</v>
      </c>
      <c r="O445" s="111">
        <f t="shared" si="55"/>
        <v>-39233271</v>
      </c>
      <c r="P445" s="111">
        <f t="shared" si="56"/>
        <v>-111466053</v>
      </c>
      <c r="Q445" s="216">
        <v>0</v>
      </c>
      <c r="T445" t="s">
        <v>25</v>
      </c>
    </row>
    <row r="446" spans="9:20">
      <c r="I446" s="205"/>
      <c r="J446" s="111">
        <f t="shared" si="51"/>
        <v>-100000000</v>
      </c>
      <c r="K446" s="205" t="s">
        <v>5661</v>
      </c>
      <c r="L446" s="82">
        <v>5100000000</v>
      </c>
      <c r="M446" s="82">
        <v>2900000000</v>
      </c>
      <c r="N446" s="111">
        <f t="shared" si="52"/>
        <v>8000000000</v>
      </c>
      <c r="O446" s="111">
        <f t="shared" si="55"/>
        <v>-100000000</v>
      </c>
      <c r="P446" s="111">
        <f t="shared" si="56"/>
        <v>-200000000</v>
      </c>
      <c r="Q446" s="216">
        <v>0</v>
      </c>
      <c r="T446" t="s">
        <v>25</v>
      </c>
    </row>
    <row r="447" spans="9:20">
      <c r="I447" s="205"/>
      <c r="J447" s="111">
        <f t="shared" si="51"/>
        <v>-100000000</v>
      </c>
      <c r="K447" s="205" t="s">
        <v>5662</v>
      </c>
      <c r="L447" s="82">
        <v>5000000000</v>
      </c>
      <c r="M447" s="82">
        <v>2800000000</v>
      </c>
      <c r="N447" s="111">
        <f t="shared" si="52"/>
        <v>7800000000</v>
      </c>
      <c r="O447" s="111">
        <f t="shared" si="55"/>
        <v>-100000000</v>
      </c>
      <c r="P447" s="111">
        <f t="shared" si="56"/>
        <v>-200000000</v>
      </c>
      <c r="Q447" s="216">
        <v>0</v>
      </c>
    </row>
    <row r="448" spans="9:20">
      <c r="I448" s="205"/>
      <c r="J448" s="111">
        <f t="shared" si="51"/>
        <v>-100000000</v>
      </c>
      <c r="K448" s="205" t="s">
        <v>5673</v>
      </c>
      <c r="L448" s="82">
        <v>4900000000</v>
      </c>
      <c r="M448" s="82">
        <v>2750000000</v>
      </c>
      <c r="N448" s="111">
        <f t="shared" si="52"/>
        <v>7650000000</v>
      </c>
      <c r="O448" s="111">
        <f t="shared" si="55"/>
        <v>-50000000</v>
      </c>
      <c r="P448" s="111">
        <f t="shared" si="56"/>
        <v>-150000000</v>
      </c>
      <c r="Q448" s="216">
        <v>0</v>
      </c>
    </row>
    <row r="449" spans="9:21">
      <c r="I449" s="205"/>
      <c r="J449" s="111">
        <f t="shared" si="51"/>
        <v>-100000000</v>
      </c>
      <c r="K449" s="205" t="s">
        <v>5672</v>
      </c>
      <c r="L449" s="82">
        <v>4800000000</v>
      </c>
      <c r="M449" s="82">
        <v>2700000000</v>
      </c>
      <c r="N449" s="111">
        <f t="shared" si="52"/>
        <v>7500000000</v>
      </c>
      <c r="O449" s="111">
        <f t="shared" si="55"/>
        <v>-50000000</v>
      </c>
      <c r="P449" s="111">
        <f t="shared" si="56"/>
        <v>-150000000</v>
      </c>
      <c r="Q449" s="216">
        <v>0</v>
      </c>
    </row>
    <row r="450" spans="9:21">
      <c r="I450" s="205"/>
      <c r="J450" s="111">
        <f t="shared" si="51"/>
        <v>-50000000</v>
      </c>
      <c r="K450" s="205" t="s">
        <v>5671</v>
      </c>
      <c r="L450" s="82">
        <v>4750000000</v>
      </c>
      <c r="M450" s="82">
        <v>2680000000</v>
      </c>
      <c r="N450" s="111">
        <f t="shared" si="52"/>
        <v>7430000000</v>
      </c>
      <c r="O450" s="111">
        <f t="shared" si="55"/>
        <v>-20000000</v>
      </c>
      <c r="P450" s="111">
        <f t="shared" si="56"/>
        <v>-70000000</v>
      </c>
      <c r="Q450" s="216">
        <v>0</v>
      </c>
    </row>
    <row r="451" spans="9:21">
      <c r="I451" s="205"/>
      <c r="J451" s="111">
        <f t="shared" si="51"/>
        <v>-100000000</v>
      </c>
      <c r="K451" s="205" t="s">
        <v>5665</v>
      </c>
      <c r="L451" s="82">
        <v>4650000000</v>
      </c>
      <c r="M451" s="82">
        <v>2650000000</v>
      </c>
      <c r="N451" s="111">
        <f t="shared" si="52"/>
        <v>7300000000</v>
      </c>
      <c r="O451" s="111">
        <f t="shared" si="55"/>
        <v>-30000000</v>
      </c>
      <c r="P451" s="111">
        <f t="shared" si="56"/>
        <v>-130000000</v>
      </c>
      <c r="Q451" s="216">
        <v>0</v>
      </c>
    </row>
    <row r="452" spans="9:21">
      <c r="I452" s="205"/>
      <c r="J452" s="111">
        <f t="shared" si="51"/>
        <v>-50000000</v>
      </c>
      <c r="K452" s="205" t="s">
        <v>5668</v>
      </c>
      <c r="L452" s="82">
        <v>4600000000</v>
      </c>
      <c r="M452" s="82">
        <v>2600000000</v>
      </c>
      <c r="N452" s="111">
        <f t="shared" si="52"/>
        <v>7200000000</v>
      </c>
      <c r="O452" s="111">
        <f t="shared" si="55"/>
        <v>-50000000</v>
      </c>
      <c r="P452" s="111">
        <f t="shared" si="56"/>
        <v>-100000000</v>
      </c>
      <c r="Q452" s="216">
        <v>0</v>
      </c>
    </row>
    <row r="453" spans="9:21">
      <c r="I453" s="205"/>
      <c r="J453" s="111">
        <f t="shared" si="51"/>
        <v>-100000000</v>
      </c>
      <c r="K453" s="205" t="s">
        <v>5669</v>
      </c>
      <c r="L453" s="82">
        <v>4500000000</v>
      </c>
      <c r="M453" s="82">
        <v>2500000000</v>
      </c>
      <c r="N453" s="111">
        <f t="shared" si="52"/>
        <v>7000000000</v>
      </c>
      <c r="O453" s="111">
        <f t="shared" si="55"/>
        <v>-100000000</v>
      </c>
      <c r="P453" s="111">
        <f t="shared" si="56"/>
        <v>-200000000</v>
      </c>
      <c r="Q453" s="216">
        <v>0</v>
      </c>
    </row>
    <row r="454" spans="9:21">
      <c r="I454" s="187" t="s">
        <v>5675</v>
      </c>
      <c r="J454" s="186">
        <f>L454-L453-260000000</f>
        <v>-241879353</v>
      </c>
      <c r="K454" s="187" t="s">
        <v>5670</v>
      </c>
      <c r="L454" s="220">
        <v>4518120647</v>
      </c>
      <c r="M454" s="220">
        <v>2565627600</v>
      </c>
      <c r="N454" s="186">
        <f t="shared" si="52"/>
        <v>7083748247</v>
      </c>
      <c r="O454" s="186">
        <f>M454-M453-260000</f>
        <v>65367600</v>
      </c>
      <c r="P454" s="186">
        <f>N454-N453-260260000</f>
        <v>-176511753</v>
      </c>
      <c r="Q454" s="282">
        <v>260260000</v>
      </c>
    </row>
    <row r="455" spans="9:21">
      <c r="I455" s="205"/>
      <c r="J455" s="111">
        <f t="shared" si="51"/>
        <v>170536780</v>
      </c>
      <c r="K455" s="205" t="s">
        <v>5674</v>
      </c>
      <c r="L455" s="82">
        <v>4688657427</v>
      </c>
      <c r="M455" s="82">
        <v>2677178495</v>
      </c>
      <c r="N455" s="111">
        <f t="shared" si="52"/>
        <v>7365835922</v>
      </c>
      <c r="O455" s="111">
        <f>M455-M454</f>
        <v>111550895</v>
      </c>
      <c r="P455" s="111">
        <f t="shared" si="56"/>
        <v>282087675</v>
      </c>
      <c r="Q455" s="216">
        <v>0</v>
      </c>
    </row>
    <row r="456" spans="9:21">
      <c r="I456" s="205"/>
      <c r="J456" s="111">
        <f t="shared" si="51"/>
        <v>161342573</v>
      </c>
      <c r="K456" s="205" t="s">
        <v>5676</v>
      </c>
      <c r="L456" s="82">
        <v>4850000000</v>
      </c>
      <c r="M456" s="82">
        <v>2800000000</v>
      </c>
      <c r="N456" s="111">
        <f>L456+M456</f>
        <v>7650000000</v>
      </c>
      <c r="O456" s="111">
        <f t="shared" si="55"/>
        <v>122821505</v>
      </c>
      <c r="P456" s="111">
        <f t="shared" si="56"/>
        <v>284164078</v>
      </c>
      <c r="Q456" s="216">
        <v>0</v>
      </c>
    </row>
    <row r="457" spans="9:21">
      <c r="I457" s="205"/>
      <c r="J457" s="111">
        <f t="shared" si="51"/>
        <v>170000000</v>
      </c>
      <c r="K457" s="205" t="s">
        <v>5677</v>
      </c>
      <c r="L457" s="82">
        <v>5020000000</v>
      </c>
      <c r="M457" s="82">
        <v>2900000000</v>
      </c>
      <c r="N457" s="111">
        <f t="shared" si="52"/>
        <v>7920000000</v>
      </c>
      <c r="O457" s="111">
        <f>M457-M456</f>
        <v>100000000</v>
      </c>
      <c r="P457" s="111">
        <f t="shared" si="56"/>
        <v>270000000</v>
      </c>
      <c r="Q457" s="216">
        <v>0</v>
      </c>
      <c r="U457" t="s">
        <v>25</v>
      </c>
    </row>
    <row r="458" spans="9:21">
      <c r="I458" s="205"/>
      <c r="J458" s="111">
        <f t="shared" si="51"/>
        <v>208597288</v>
      </c>
      <c r="K458" s="205" t="s">
        <v>5678</v>
      </c>
      <c r="L458" s="82">
        <v>5228597288</v>
      </c>
      <c r="M458" s="82">
        <v>3004939240</v>
      </c>
      <c r="N458" s="111">
        <f t="shared" si="52"/>
        <v>8233536528</v>
      </c>
      <c r="O458" s="111">
        <f t="shared" si="55"/>
        <v>104939240</v>
      </c>
      <c r="P458" s="111">
        <f t="shared" si="56"/>
        <v>313536528</v>
      </c>
      <c r="Q458" s="216">
        <v>0</v>
      </c>
    </row>
    <row r="459" spans="9:21">
      <c r="I459" s="205"/>
      <c r="J459" s="111">
        <f t="shared" si="51"/>
        <v>1402712</v>
      </c>
      <c r="K459" s="205" t="s">
        <v>5679</v>
      </c>
      <c r="L459" s="82">
        <v>5230000000</v>
      </c>
      <c r="M459" s="82">
        <v>3016043919</v>
      </c>
      <c r="N459" s="111">
        <f t="shared" si="52"/>
        <v>8246043919</v>
      </c>
      <c r="O459" s="111">
        <f t="shared" si="55"/>
        <v>11104679</v>
      </c>
      <c r="P459" s="111">
        <f t="shared" si="56"/>
        <v>12507391</v>
      </c>
      <c r="Q459" s="216">
        <v>0</v>
      </c>
    </row>
    <row r="460" spans="9:21">
      <c r="I460" s="205"/>
      <c r="J460" s="111">
        <f t="shared" si="51"/>
        <v>120000000</v>
      </c>
      <c r="K460" s="205" t="s">
        <v>5682</v>
      </c>
      <c r="L460" s="82">
        <v>5350000000</v>
      </c>
      <c r="M460" s="82">
        <v>3070000000</v>
      </c>
      <c r="N460" s="111">
        <f t="shared" si="52"/>
        <v>8420000000</v>
      </c>
      <c r="O460" s="111">
        <f t="shared" si="55"/>
        <v>53956081</v>
      </c>
      <c r="P460" s="111">
        <f t="shared" si="56"/>
        <v>173956081</v>
      </c>
      <c r="Q460" s="216">
        <v>0</v>
      </c>
    </row>
    <row r="461" spans="9:21">
      <c r="I461" s="205"/>
      <c r="J461" s="111">
        <f t="shared" si="51"/>
        <v>139527959</v>
      </c>
      <c r="K461" s="205" t="s">
        <v>5683</v>
      </c>
      <c r="L461" s="82">
        <v>5489527959</v>
      </c>
      <c r="M461" s="82">
        <v>3153965043</v>
      </c>
      <c r="N461" s="111">
        <f t="shared" si="52"/>
        <v>8643493002</v>
      </c>
      <c r="O461" s="111">
        <f t="shared" si="55"/>
        <v>83965043</v>
      </c>
      <c r="P461" s="111">
        <f t="shared" si="56"/>
        <v>223493002</v>
      </c>
      <c r="Q461" s="216">
        <v>0</v>
      </c>
    </row>
    <row r="462" spans="9:21">
      <c r="I462" s="205"/>
      <c r="J462" s="111">
        <f t="shared" si="51"/>
        <v>-240277409</v>
      </c>
      <c r="K462" s="205" t="s">
        <v>5684</v>
      </c>
      <c r="L462" s="82">
        <v>5249250550</v>
      </c>
      <c r="M462" s="82">
        <v>3012364507</v>
      </c>
      <c r="N462" s="111">
        <f t="shared" si="52"/>
        <v>8261615057</v>
      </c>
      <c r="O462" s="111">
        <f t="shared" si="55"/>
        <v>-141600536</v>
      </c>
      <c r="P462" s="111">
        <f t="shared" si="56"/>
        <v>-381877945</v>
      </c>
      <c r="Q462" s="216">
        <v>0</v>
      </c>
    </row>
    <row r="463" spans="9:21">
      <c r="I463" s="205"/>
      <c r="J463" s="111">
        <f t="shared" si="51"/>
        <v>136702023</v>
      </c>
      <c r="K463" s="205" t="s">
        <v>5685</v>
      </c>
      <c r="L463" s="82">
        <v>5385952573</v>
      </c>
      <c r="M463" s="82">
        <v>3077089830</v>
      </c>
      <c r="N463" s="111">
        <f t="shared" ref="N463:N526" si="57">L463+M463</f>
        <v>8463042403</v>
      </c>
      <c r="O463" s="111">
        <f t="shared" ref="O463:O526" si="58">M463-M462</f>
        <v>64725323</v>
      </c>
      <c r="P463" s="111">
        <f t="shared" ref="P463:P526" si="59">N463-N462</f>
        <v>201427346</v>
      </c>
      <c r="Q463" s="216">
        <v>0</v>
      </c>
    </row>
    <row r="464" spans="9:21">
      <c r="I464" s="205"/>
      <c r="J464" s="111">
        <f t="shared" si="51"/>
        <v>298648373</v>
      </c>
      <c r="K464" s="205" t="s">
        <v>5686</v>
      </c>
      <c r="L464" s="82">
        <v>5684600946</v>
      </c>
      <c r="M464" s="82">
        <v>3223570500</v>
      </c>
      <c r="N464" s="111">
        <f t="shared" si="57"/>
        <v>8908171446</v>
      </c>
      <c r="O464" s="111">
        <f t="shared" si="58"/>
        <v>146480670</v>
      </c>
      <c r="P464" s="111">
        <f t="shared" si="59"/>
        <v>445129043</v>
      </c>
      <c r="Q464" s="216">
        <v>0</v>
      </c>
    </row>
    <row r="465" spans="9:19">
      <c r="I465" s="187" t="s">
        <v>5689</v>
      </c>
      <c r="J465" s="186">
        <f t="shared" si="51"/>
        <v>221604304</v>
      </c>
      <c r="K465" s="187" t="s">
        <v>963</v>
      </c>
      <c r="L465" s="220">
        <v>5906205250</v>
      </c>
      <c r="M465" s="220">
        <v>3345406425</v>
      </c>
      <c r="N465" s="186">
        <f t="shared" si="57"/>
        <v>9251611675</v>
      </c>
      <c r="O465" s="186">
        <f>M465-M464-11221062</f>
        <v>110614863</v>
      </c>
      <c r="P465" s="186">
        <f>N465-N464-11221062</f>
        <v>332219167</v>
      </c>
      <c r="Q465" s="282">
        <v>11221062</v>
      </c>
    </row>
    <row r="466" spans="9:19">
      <c r="I466" s="205"/>
      <c r="J466" s="111">
        <f t="shared" si="51"/>
        <v>154663604</v>
      </c>
      <c r="K466" s="205" t="s">
        <v>5692</v>
      </c>
      <c r="L466" s="82">
        <v>6060868854</v>
      </c>
      <c r="M466" s="82">
        <v>3464205093</v>
      </c>
      <c r="N466" s="111">
        <f t="shared" si="57"/>
        <v>9525073947</v>
      </c>
      <c r="O466" s="111">
        <f t="shared" si="58"/>
        <v>118798668</v>
      </c>
      <c r="P466" s="111">
        <f t="shared" si="59"/>
        <v>273462272</v>
      </c>
      <c r="Q466" s="216">
        <v>0</v>
      </c>
    </row>
    <row r="467" spans="9:19">
      <c r="I467" s="205"/>
      <c r="J467" s="111">
        <f t="shared" si="51"/>
        <v>83019771</v>
      </c>
      <c r="K467" s="205" t="s">
        <v>5693</v>
      </c>
      <c r="L467" s="82">
        <v>6143888625</v>
      </c>
      <c r="M467" s="82">
        <v>3526728170</v>
      </c>
      <c r="N467" s="111">
        <f t="shared" si="57"/>
        <v>9670616795</v>
      </c>
      <c r="O467" s="111">
        <f t="shared" si="58"/>
        <v>62523077</v>
      </c>
      <c r="P467" s="111">
        <f t="shared" si="59"/>
        <v>145542848</v>
      </c>
      <c r="Q467" s="216">
        <v>0</v>
      </c>
    </row>
    <row r="468" spans="9:19">
      <c r="I468" s="205" t="s">
        <v>5696</v>
      </c>
      <c r="J468" s="111">
        <f>L468-L467-20000</f>
        <v>-31443260</v>
      </c>
      <c r="K468" s="205" t="s">
        <v>5695</v>
      </c>
      <c r="L468" s="82">
        <v>6112465365</v>
      </c>
      <c r="M468" s="82">
        <v>3518318740</v>
      </c>
      <c r="N468" s="111">
        <f t="shared" si="57"/>
        <v>9630784105</v>
      </c>
      <c r="O468" s="111">
        <f>M468-M467-20000</f>
        <v>-8429430</v>
      </c>
      <c r="P468" s="111">
        <f>N468-N467-40000</f>
        <v>-39872690</v>
      </c>
      <c r="Q468" s="216">
        <v>40000</v>
      </c>
    </row>
    <row r="469" spans="9:19">
      <c r="I469" s="205"/>
      <c r="J469" s="111">
        <f t="shared" si="51"/>
        <v>111131586</v>
      </c>
      <c r="K469" s="205" t="s">
        <v>5698</v>
      </c>
      <c r="L469" s="82">
        <v>6223596951</v>
      </c>
      <c r="M469" s="82">
        <v>3546763930</v>
      </c>
      <c r="N469" s="111">
        <f t="shared" si="57"/>
        <v>9770360881</v>
      </c>
      <c r="O469" s="111">
        <f t="shared" si="58"/>
        <v>28445190</v>
      </c>
      <c r="P469" s="111">
        <f t="shared" si="59"/>
        <v>139576776</v>
      </c>
      <c r="Q469" s="216">
        <v>0</v>
      </c>
    </row>
    <row r="470" spans="9:19">
      <c r="I470" s="205"/>
      <c r="J470" s="111">
        <f t="shared" si="51"/>
        <v>16690857</v>
      </c>
      <c r="K470" s="205" t="s">
        <v>5699</v>
      </c>
      <c r="L470" s="82">
        <v>6240287808</v>
      </c>
      <c r="M470" s="82">
        <v>3546015346</v>
      </c>
      <c r="N470" s="111">
        <f t="shared" si="57"/>
        <v>9786303154</v>
      </c>
      <c r="O470" s="111">
        <f t="shared" si="58"/>
        <v>-748584</v>
      </c>
      <c r="P470" s="111">
        <f t="shared" si="59"/>
        <v>15942273</v>
      </c>
      <c r="Q470" s="216">
        <v>0</v>
      </c>
    </row>
    <row r="471" spans="9:19">
      <c r="I471" s="205"/>
      <c r="J471" s="111">
        <f t="shared" si="51"/>
        <v>-226671269</v>
      </c>
      <c r="K471" s="205" t="s">
        <v>5700</v>
      </c>
      <c r="L471" s="82">
        <v>6013616539</v>
      </c>
      <c r="M471" s="82">
        <v>3413915060</v>
      </c>
      <c r="N471" s="111">
        <f t="shared" si="57"/>
        <v>9427531599</v>
      </c>
      <c r="O471" s="111">
        <f t="shared" si="58"/>
        <v>-132100286</v>
      </c>
      <c r="P471" s="111">
        <f t="shared" si="59"/>
        <v>-358771555</v>
      </c>
      <c r="Q471" s="216">
        <v>0</v>
      </c>
      <c r="R471" t="s">
        <v>25</v>
      </c>
    </row>
    <row r="472" spans="9:19">
      <c r="I472" s="205" t="s">
        <v>5702</v>
      </c>
      <c r="J472" s="111">
        <f>L472-L471-70000</f>
        <v>-63686539</v>
      </c>
      <c r="K472" s="205" t="s">
        <v>5701</v>
      </c>
      <c r="L472" s="82">
        <v>5950000000</v>
      </c>
      <c r="M472" s="82">
        <v>3380000000</v>
      </c>
      <c r="N472" s="111">
        <f t="shared" si="57"/>
        <v>9330000000</v>
      </c>
      <c r="O472" s="111">
        <f>M472-M471-70000</f>
        <v>-33985060</v>
      </c>
      <c r="P472" s="111">
        <f>N472-N471-140000</f>
        <v>-97671599</v>
      </c>
      <c r="Q472" s="216">
        <v>140000</v>
      </c>
    </row>
    <row r="473" spans="9:19">
      <c r="I473" s="205" t="s">
        <v>5708</v>
      </c>
      <c r="J473" s="111">
        <f>L473-L472-330000</f>
        <v>-62693116</v>
      </c>
      <c r="K473" s="205" t="s">
        <v>5707</v>
      </c>
      <c r="L473" s="82">
        <v>5887636884</v>
      </c>
      <c r="M473" s="82">
        <v>3350000000</v>
      </c>
      <c r="N473" s="111">
        <f t="shared" si="57"/>
        <v>9237636884</v>
      </c>
      <c r="O473" s="111">
        <f>M473-M472-330000</f>
        <v>-30330000</v>
      </c>
      <c r="P473" s="111">
        <f>N473-N472-660000</f>
        <v>-93023116</v>
      </c>
      <c r="Q473" s="216">
        <v>660000</v>
      </c>
    </row>
    <row r="474" spans="9:19">
      <c r="I474" s="205"/>
      <c r="J474" s="111">
        <f t="shared" si="51"/>
        <v>152162052</v>
      </c>
      <c r="K474" s="205" t="s">
        <v>5710</v>
      </c>
      <c r="L474" s="82">
        <v>6039798936</v>
      </c>
      <c r="M474" s="82">
        <v>3412399754</v>
      </c>
      <c r="N474" s="111">
        <f t="shared" si="57"/>
        <v>9452198690</v>
      </c>
      <c r="O474" s="111">
        <f t="shared" si="58"/>
        <v>62399754</v>
      </c>
      <c r="P474" s="111">
        <f t="shared" si="59"/>
        <v>214561806</v>
      </c>
      <c r="Q474" s="216">
        <v>0</v>
      </c>
    </row>
    <row r="475" spans="9:19">
      <c r="I475" s="205" t="s">
        <v>25</v>
      </c>
      <c r="J475" s="111">
        <f t="shared" si="51"/>
        <v>-229469487</v>
      </c>
      <c r="K475" s="205" t="s">
        <v>5717</v>
      </c>
      <c r="L475" s="82">
        <v>5810329449</v>
      </c>
      <c r="M475" s="82">
        <v>3271406236</v>
      </c>
      <c r="N475" s="111">
        <f t="shared" si="57"/>
        <v>9081735685</v>
      </c>
      <c r="O475" s="111">
        <f t="shared" si="58"/>
        <v>-140993518</v>
      </c>
      <c r="P475" s="111">
        <f t="shared" si="59"/>
        <v>-370463005</v>
      </c>
      <c r="R475" t="s">
        <v>25</v>
      </c>
    </row>
    <row r="476" spans="9:19">
      <c r="I476" s="205"/>
      <c r="J476" s="111">
        <f t="shared" si="51"/>
        <v>-5810329449</v>
      </c>
      <c r="K476" s="205"/>
      <c r="L476" s="82"/>
      <c r="M476" s="82"/>
      <c r="N476" s="111">
        <f t="shared" si="57"/>
        <v>0</v>
      </c>
      <c r="O476" s="111">
        <f t="shared" si="58"/>
        <v>-3271406236</v>
      </c>
      <c r="P476" s="111">
        <f t="shared" si="59"/>
        <v>-9081735685</v>
      </c>
    </row>
    <row r="477" spans="9:19">
      <c r="I477" s="205"/>
      <c r="J477" s="111">
        <f t="shared" si="51"/>
        <v>0</v>
      </c>
      <c r="K477" s="205"/>
      <c r="L477" s="82"/>
      <c r="M477" s="82"/>
      <c r="N477" s="111">
        <f t="shared" si="57"/>
        <v>0</v>
      </c>
      <c r="O477" s="111">
        <f t="shared" si="58"/>
        <v>0</v>
      </c>
      <c r="P477" s="111">
        <f t="shared" si="59"/>
        <v>0</v>
      </c>
    </row>
    <row r="478" spans="9:19">
      <c r="I478" s="205"/>
      <c r="J478" s="111">
        <f t="shared" si="51"/>
        <v>0</v>
      </c>
      <c r="K478" s="205"/>
      <c r="L478" s="82"/>
      <c r="M478" s="82"/>
      <c r="N478" s="111">
        <f t="shared" si="57"/>
        <v>0</v>
      </c>
      <c r="O478" s="111">
        <f t="shared" si="58"/>
        <v>0</v>
      </c>
      <c r="P478" s="111">
        <f t="shared" si="59"/>
        <v>0</v>
      </c>
      <c r="S478" t="s">
        <v>25</v>
      </c>
    </row>
    <row r="479" spans="9:19">
      <c r="I479" s="205"/>
      <c r="J479" s="111">
        <f t="shared" si="51"/>
        <v>0</v>
      </c>
      <c r="K479" s="205"/>
      <c r="L479" s="82"/>
      <c r="M479" s="82"/>
      <c r="N479" s="111">
        <f t="shared" si="57"/>
        <v>0</v>
      </c>
      <c r="O479" s="111">
        <f t="shared" si="58"/>
        <v>0</v>
      </c>
      <c r="P479" s="111">
        <f t="shared" si="59"/>
        <v>0</v>
      </c>
    </row>
    <row r="480" spans="9:19">
      <c r="I480" s="205"/>
      <c r="J480" s="111">
        <f t="shared" si="51"/>
        <v>0</v>
      </c>
      <c r="K480" s="205"/>
      <c r="L480" s="82"/>
      <c r="M480" s="82"/>
      <c r="N480" s="111">
        <f t="shared" si="57"/>
        <v>0</v>
      </c>
      <c r="O480" s="111">
        <f t="shared" si="58"/>
        <v>0</v>
      </c>
      <c r="P480" s="111">
        <f t="shared" si="59"/>
        <v>0</v>
      </c>
    </row>
    <row r="481" spans="9:16">
      <c r="I481" s="205"/>
      <c r="J481" s="111">
        <f t="shared" si="51"/>
        <v>0</v>
      </c>
      <c r="K481" s="205"/>
      <c r="L481" s="82"/>
      <c r="M481" s="82"/>
      <c r="N481" s="111">
        <f t="shared" si="57"/>
        <v>0</v>
      </c>
      <c r="O481" s="111">
        <f t="shared" si="58"/>
        <v>0</v>
      </c>
      <c r="P481" s="111">
        <f t="shared" si="59"/>
        <v>0</v>
      </c>
    </row>
    <row r="482" spans="9:16">
      <c r="I482" s="205"/>
      <c r="J482" s="111">
        <f t="shared" si="51"/>
        <v>0</v>
      </c>
      <c r="K482" s="205"/>
      <c r="L482" s="82"/>
      <c r="M482" s="82"/>
      <c r="N482" s="111">
        <f t="shared" si="57"/>
        <v>0</v>
      </c>
      <c r="O482" s="111">
        <f t="shared" si="58"/>
        <v>0</v>
      </c>
      <c r="P482" s="111">
        <f t="shared" si="59"/>
        <v>0</v>
      </c>
    </row>
    <row r="483" spans="9:16">
      <c r="I483" s="205"/>
      <c r="J483" s="111">
        <f t="shared" si="51"/>
        <v>0</v>
      </c>
      <c r="K483" s="205"/>
      <c r="L483" s="82"/>
      <c r="M483" s="82"/>
      <c r="N483" s="111">
        <f t="shared" si="57"/>
        <v>0</v>
      </c>
      <c r="O483" s="111">
        <f t="shared" si="58"/>
        <v>0</v>
      </c>
      <c r="P483" s="111">
        <f t="shared" si="59"/>
        <v>0</v>
      </c>
    </row>
    <row r="484" spans="9:16">
      <c r="I484" s="205"/>
      <c r="J484" s="111">
        <f t="shared" si="51"/>
        <v>0</v>
      </c>
      <c r="K484" s="205"/>
      <c r="L484" s="82"/>
      <c r="M484" s="82"/>
      <c r="N484" s="111">
        <f t="shared" si="57"/>
        <v>0</v>
      </c>
      <c r="O484" s="111">
        <f t="shared" si="58"/>
        <v>0</v>
      </c>
      <c r="P484" s="111">
        <f t="shared" si="59"/>
        <v>0</v>
      </c>
    </row>
    <row r="485" spans="9:16">
      <c r="I485" s="205"/>
      <c r="J485" s="111">
        <f t="shared" si="51"/>
        <v>0</v>
      </c>
      <c r="K485" s="205"/>
      <c r="L485" s="82"/>
      <c r="M485" s="82"/>
      <c r="N485" s="111">
        <f t="shared" si="57"/>
        <v>0</v>
      </c>
      <c r="O485" s="111">
        <f t="shared" si="58"/>
        <v>0</v>
      </c>
      <c r="P485" s="111">
        <f t="shared" si="59"/>
        <v>0</v>
      </c>
    </row>
    <row r="486" spans="9:16">
      <c r="I486" s="205"/>
      <c r="J486" s="111">
        <f t="shared" si="51"/>
        <v>0</v>
      </c>
      <c r="K486" s="205"/>
      <c r="L486" s="82"/>
      <c r="M486" s="82"/>
      <c r="N486" s="111">
        <f t="shared" si="57"/>
        <v>0</v>
      </c>
      <c r="O486" s="111">
        <f t="shared" si="58"/>
        <v>0</v>
      </c>
      <c r="P486" s="111">
        <f t="shared" si="59"/>
        <v>0</v>
      </c>
    </row>
    <row r="487" spans="9:16">
      <c r="I487" s="205"/>
      <c r="J487" s="111">
        <f t="shared" si="51"/>
        <v>0</v>
      </c>
      <c r="K487" s="205"/>
      <c r="L487" s="82"/>
      <c r="M487" s="82"/>
      <c r="N487" s="111">
        <f t="shared" si="57"/>
        <v>0</v>
      </c>
      <c r="O487" s="111">
        <f t="shared" si="58"/>
        <v>0</v>
      </c>
      <c r="P487" s="111">
        <f t="shared" si="59"/>
        <v>0</v>
      </c>
    </row>
    <row r="488" spans="9:16">
      <c r="I488" s="205"/>
      <c r="J488" s="111">
        <f t="shared" si="51"/>
        <v>0</v>
      </c>
      <c r="K488" s="205"/>
      <c r="L488" s="82"/>
      <c r="M488" s="82"/>
      <c r="N488" s="111">
        <f t="shared" si="57"/>
        <v>0</v>
      </c>
      <c r="O488" s="111">
        <f t="shared" si="58"/>
        <v>0</v>
      </c>
      <c r="P488" s="111">
        <f t="shared" si="59"/>
        <v>0</v>
      </c>
    </row>
    <row r="489" spans="9:16">
      <c r="I489" s="205"/>
      <c r="J489" s="111">
        <f t="shared" si="51"/>
        <v>0</v>
      </c>
      <c r="K489" s="205"/>
      <c r="L489" s="82"/>
      <c r="M489" s="82"/>
      <c r="N489" s="111">
        <f t="shared" si="57"/>
        <v>0</v>
      </c>
      <c r="O489" s="111">
        <f t="shared" si="58"/>
        <v>0</v>
      </c>
      <c r="P489" s="111">
        <f t="shared" si="59"/>
        <v>0</v>
      </c>
    </row>
    <row r="490" spans="9:16">
      <c r="I490" s="205"/>
      <c r="J490" s="111">
        <f t="shared" si="51"/>
        <v>0</v>
      </c>
      <c r="K490" s="205"/>
      <c r="L490" s="82"/>
      <c r="M490" s="82"/>
      <c r="N490" s="111">
        <f t="shared" si="57"/>
        <v>0</v>
      </c>
      <c r="O490" s="111">
        <f t="shared" si="58"/>
        <v>0</v>
      </c>
      <c r="P490" s="111">
        <f t="shared" si="59"/>
        <v>0</v>
      </c>
    </row>
    <row r="491" spans="9:16">
      <c r="I491" s="205"/>
      <c r="J491" s="111">
        <f t="shared" si="51"/>
        <v>0</v>
      </c>
      <c r="K491" s="205"/>
      <c r="L491" s="82"/>
      <c r="M491" s="82"/>
      <c r="N491" s="111">
        <f t="shared" si="57"/>
        <v>0</v>
      </c>
      <c r="O491" s="111">
        <f t="shared" si="58"/>
        <v>0</v>
      </c>
      <c r="P491" s="111">
        <f t="shared" si="59"/>
        <v>0</v>
      </c>
    </row>
    <row r="492" spans="9:16">
      <c r="I492" s="205"/>
      <c r="J492" s="111">
        <f t="shared" si="51"/>
        <v>0</v>
      </c>
      <c r="K492" s="205"/>
      <c r="L492" s="82"/>
      <c r="M492" s="82"/>
      <c r="N492" s="111">
        <f t="shared" si="57"/>
        <v>0</v>
      </c>
      <c r="O492" s="111">
        <f t="shared" si="58"/>
        <v>0</v>
      </c>
      <c r="P492" s="111">
        <f t="shared" si="59"/>
        <v>0</v>
      </c>
    </row>
    <row r="493" spans="9:16">
      <c r="I493" s="205"/>
      <c r="J493" s="111">
        <f t="shared" si="51"/>
        <v>0</v>
      </c>
      <c r="K493" s="205"/>
      <c r="L493" s="82"/>
      <c r="M493" s="82"/>
      <c r="N493" s="111">
        <f t="shared" si="57"/>
        <v>0</v>
      </c>
      <c r="O493" s="111">
        <f t="shared" si="58"/>
        <v>0</v>
      </c>
      <c r="P493" s="111">
        <f t="shared" si="59"/>
        <v>0</v>
      </c>
    </row>
    <row r="494" spans="9:16">
      <c r="I494" s="205"/>
      <c r="J494" s="111">
        <f t="shared" si="51"/>
        <v>0</v>
      </c>
      <c r="K494" s="205"/>
      <c r="L494" s="82"/>
      <c r="M494" s="82"/>
      <c r="N494" s="111">
        <f t="shared" si="57"/>
        <v>0</v>
      </c>
      <c r="O494" s="111">
        <f t="shared" si="58"/>
        <v>0</v>
      </c>
      <c r="P494" s="111">
        <f t="shared" si="59"/>
        <v>0</v>
      </c>
    </row>
    <row r="495" spans="9:16">
      <c r="I495" s="205"/>
      <c r="J495" s="111">
        <f t="shared" si="51"/>
        <v>0</v>
      </c>
      <c r="K495" s="205"/>
      <c r="L495" s="82"/>
      <c r="M495" s="82"/>
      <c r="N495" s="111">
        <f t="shared" si="57"/>
        <v>0</v>
      </c>
      <c r="O495" s="111">
        <f t="shared" si="58"/>
        <v>0</v>
      </c>
      <c r="P495" s="111">
        <f t="shared" si="59"/>
        <v>0</v>
      </c>
    </row>
    <row r="496" spans="9:16">
      <c r="I496" s="205"/>
      <c r="J496" s="111">
        <f t="shared" si="51"/>
        <v>0</v>
      </c>
      <c r="K496" s="205"/>
      <c r="L496" s="82"/>
      <c r="M496" s="82"/>
      <c r="N496" s="111">
        <f t="shared" si="57"/>
        <v>0</v>
      </c>
      <c r="O496" s="111">
        <f t="shared" si="58"/>
        <v>0</v>
      </c>
      <c r="P496" s="111">
        <f t="shared" si="59"/>
        <v>0</v>
      </c>
    </row>
    <row r="497" spans="9:16">
      <c r="I497" s="205"/>
      <c r="J497" s="111">
        <f t="shared" si="51"/>
        <v>0</v>
      </c>
      <c r="K497" s="205"/>
      <c r="L497" s="82"/>
      <c r="M497" s="82"/>
      <c r="N497" s="111">
        <f t="shared" si="57"/>
        <v>0</v>
      </c>
      <c r="O497" s="111">
        <f t="shared" si="58"/>
        <v>0</v>
      </c>
      <c r="P497" s="111">
        <f t="shared" si="59"/>
        <v>0</v>
      </c>
    </row>
    <row r="498" spans="9:16">
      <c r="I498" s="205"/>
      <c r="J498" s="111">
        <f t="shared" si="51"/>
        <v>0</v>
      </c>
      <c r="K498" s="205"/>
      <c r="L498" s="82"/>
      <c r="M498" s="82"/>
      <c r="N498" s="111">
        <f t="shared" si="57"/>
        <v>0</v>
      </c>
      <c r="O498" s="111">
        <f t="shared" si="58"/>
        <v>0</v>
      </c>
      <c r="P498" s="111">
        <f t="shared" si="59"/>
        <v>0</v>
      </c>
    </row>
    <row r="499" spans="9:16">
      <c r="I499" s="205"/>
      <c r="J499" s="111">
        <f t="shared" si="51"/>
        <v>0</v>
      </c>
      <c r="K499" s="205"/>
      <c r="L499" s="82"/>
      <c r="M499" s="82"/>
      <c r="N499" s="111">
        <f t="shared" si="57"/>
        <v>0</v>
      </c>
      <c r="O499" s="111">
        <f t="shared" si="58"/>
        <v>0</v>
      </c>
      <c r="P499" s="111">
        <f t="shared" si="59"/>
        <v>0</v>
      </c>
    </row>
    <row r="500" spans="9:16">
      <c r="I500" s="205"/>
      <c r="J500" s="111">
        <f t="shared" si="51"/>
        <v>0</v>
      </c>
      <c r="K500" s="205"/>
      <c r="L500" s="82"/>
      <c r="M500" s="82"/>
      <c r="N500" s="111">
        <f t="shared" si="57"/>
        <v>0</v>
      </c>
      <c r="O500" s="111">
        <f t="shared" si="58"/>
        <v>0</v>
      </c>
      <c r="P500" s="111">
        <f t="shared" si="59"/>
        <v>0</v>
      </c>
    </row>
    <row r="501" spans="9:16">
      <c r="I501" s="205"/>
      <c r="J501" s="111">
        <f t="shared" si="51"/>
        <v>0</v>
      </c>
      <c r="K501" s="205"/>
      <c r="L501" s="82"/>
      <c r="M501" s="82"/>
      <c r="N501" s="111">
        <f t="shared" si="57"/>
        <v>0</v>
      </c>
      <c r="O501" s="111">
        <f t="shared" si="58"/>
        <v>0</v>
      </c>
      <c r="P501" s="111">
        <f t="shared" si="59"/>
        <v>0</v>
      </c>
    </row>
    <row r="502" spans="9:16">
      <c r="I502" s="205"/>
      <c r="J502" s="111">
        <f t="shared" si="51"/>
        <v>0</v>
      </c>
      <c r="K502" s="205"/>
      <c r="L502" s="82"/>
      <c r="M502" s="82"/>
      <c r="N502" s="111">
        <f t="shared" si="57"/>
        <v>0</v>
      </c>
      <c r="O502" s="111">
        <f t="shared" si="58"/>
        <v>0</v>
      </c>
      <c r="P502" s="111">
        <f t="shared" si="59"/>
        <v>0</v>
      </c>
    </row>
    <row r="503" spans="9:16">
      <c r="I503" s="205"/>
      <c r="J503" s="111">
        <f t="shared" si="51"/>
        <v>0</v>
      </c>
      <c r="K503" s="205"/>
      <c r="L503" s="82"/>
      <c r="M503" s="82"/>
      <c r="N503" s="111">
        <f t="shared" si="57"/>
        <v>0</v>
      </c>
      <c r="O503" s="111">
        <f t="shared" si="58"/>
        <v>0</v>
      </c>
      <c r="P503" s="111">
        <f t="shared" si="59"/>
        <v>0</v>
      </c>
    </row>
    <row r="504" spans="9:16">
      <c r="I504" s="205"/>
      <c r="J504" s="111">
        <f t="shared" si="51"/>
        <v>0</v>
      </c>
      <c r="K504" s="205"/>
      <c r="L504" s="82"/>
      <c r="M504" s="82"/>
      <c r="N504" s="111">
        <f t="shared" si="57"/>
        <v>0</v>
      </c>
      <c r="O504" s="111">
        <f t="shared" si="58"/>
        <v>0</v>
      </c>
      <c r="P504" s="111">
        <f t="shared" si="59"/>
        <v>0</v>
      </c>
    </row>
    <row r="505" spans="9:16">
      <c r="I505" s="205"/>
      <c r="J505" s="111">
        <f t="shared" si="51"/>
        <v>0</v>
      </c>
      <c r="K505" s="205"/>
      <c r="L505" s="82"/>
      <c r="M505" s="82"/>
      <c r="N505" s="111">
        <f t="shared" si="57"/>
        <v>0</v>
      </c>
      <c r="O505" s="111">
        <f t="shared" si="58"/>
        <v>0</v>
      </c>
      <c r="P505" s="111">
        <f t="shared" si="59"/>
        <v>0</v>
      </c>
    </row>
    <row r="506" spans="9:16">
      <c r="I506" s="205"/>
      <c r="J506" s="111">
        <f t="shared" si="51"/>
        <v>0</v>
      </c>
      <c r="K506" s="205"/>
      <c r="L506" s="82"/>
      <c r="M506" s="82"/>
      <c r="N506" s="111">
        <f t="shared" si="57"/>
        <v>0</v>
      </c>
      <c r="O506" s="111">
        <f t="shared" si="58"/>
        <v>0</v>
      </c>
      <c r="P506" s="111">
        <f t="shared" si="59"/>
        <v>0</v>
      </c>
    </row>
    <row r="507" spans="9:16">
      <c r="I507" s="205"/>
      <c r="J507" s="111">
        <f t="shared" si="51"/>
        <v>0</v>
      </c>
      <c r="K507" s="205"/>
      <c r="L507" s="82"/>
      <c r="M507" s="82"/>
      <c r="N507" s="111">
        <f t="shared" si="57"/>
        <v>0</v>
      </c>
      <c r="O507" s="111">
        <f t="shared" si="58"/>
        <v>0</v>
      </c>
      <c r="P507" s="111">
        <f t="shared" si="59"/>
        <v>0</v>
      </c>
    </row>
    <row r="508" spans="9:16">
      <c r="I508" s="205"/>
      <c r="J508" s="111">
        <f t="shared" si="51"/>
        <v>0</v>
      </c>
      <c r="K508" s="205"/>
      <c r="L508" s="82"/>
      <c r="M508" s="82"/>
      <c r="N508" s="111">
        <f t="shared" si="57"/>
        <v>0</v>
      </c>
      <c r="O508" s="111">
        <f t="shared" si="58"/>
        <v>0</v>
      </c>
      <c r="P508" s="111">
        <f t="shared" si="59"/>
        <v>0</v>
      </c>
    </row>
    <row r="509" spans="9:16">
      <c r="I509" s="205"/>
      <c r="J509" s="111">
        <f t="shared" si="51"/>
        <v>0</v>
      </c>
      <c r="K509" s="205"/>
      <c r="L509" s="82"/>
      <c r="M509" s="82"/>
      <c r="N509" s="111">
        <f t="shared" si="57"/>
        <v>0</v>
      </c>
      <c r="O509" s="111">
        <f t="shared" si="58"/>
        <v>0</v>
      </c>
      <c r="P509" s="111">
        <f t="shared" si="59"/>
        <v>0</v>
      </c>
    </row>
    <row r="510" spans="9:16">
      <c r="I510" s="205"/>
      <c r="J510" s="111">
        <f t="shared" si="51"/>
        <v>0</v>
      </c>
      <c r="K510" s="205"/>
      <c r="L510" s="82"/>
      <c r="M510" s="82"/>
      <c r="N510" s="111">
        <f t="shared" si="57"/>
        <v>0</v>
      </c>
      <c r="O510" s="111">
        <f t="shared" si="58"/>
        <v>0</v>
      </c>
      <c r="P510" s="111">
        <f t="shared" si="59"/>
        <v>0</v>
      </c>
    </row>
    <row r="511" spans="9:16">
      <c r="I511" s="205"/>
      <c r="J511" s="111">
        <f t="shared" si="51"/>
        <v>0</v>
      </c>
      <c r="K511" s="205"/>
      <c r="L511" s="82"/>
      <c r="M511" s="82"/>
      <c r="N511" s="111">
        <f t="shared" si="57"/>
        <v>0</v>
      </c>
      <c r="O511" s="111">
        <f t="shared" si="58"/>
        <v>0</v>
      </c>
      <c r="P511" s="111">
        <f t="shared" si="59"/>
        <v>0</v>
      </c>
    </row>
    <row r="512" spans="9:16">
      <c r="I512" s="205"/>
      <c r="J512" s="111">
        <f t="shared" si="51"/>
        <v>0</v>
      </c>
      <c r="K512" s="205"/>
      <c r="L512" s="82"/>
      <c r="M512" s="82"/>
      <c r="N512" s="111">
        <f t="shared" si="57"/>
        <v>0</v>
      </c>
      <c r="O512" s="111">
        <f t="shared" si="58"/>
        <v>0</v>
      </c>
      <c r="P512" s="111">
        <f t="shared" si="59"/>
        <v>0</v>
      </c>
    </row>
    <row r="513" spans="9:16">
      <c r="I513" s="205"/>
      <c r="J513" s="111">
        <f t="shared" si="51"/>
        <v>0</v>
      </c>
      <c r="K513" s="205"/>
      <c r="L513" s="82"/>
      <c r="M513" s="82"/>
      <c r="N513" s="111">
        <f t="shared" si="57"/>
        <v>0</v>
      </c>
      <c r="O513" s="111">
        <f t="shared" si="58"/>
        <v>0</v>
      </c>
      <c r="P513" s="111">
        <f t="shared" si="59"/>
        <v>0</v>
      </c>
    </row>
    <row r="514" spans="9:16">
      <c r="I514" s="205"/>
      <c r="J514" s="111">
        <f t="shared" si="51"/>
        <v>0</v>
      </c>
      <c r="K514" s="205"/>
      <c r="L514" s="82"/>
      <c r="M514" s="82"/>
      <c r="N514" s="111">
        <f t="shared" si="57"/>
        <v>0</v>
      </c>
      <c r="O514" s="111">
        <f t="shared" si="58"/>
        <v>0</v>
      </c>
      <c r="P514" s="111">
        <f t="shared" si="59"/>
        <v>0</v>
      </c>
    </row>
    <row r="515" spans="9:16">
      <c r="I515" s="205"/>
      <c r="J515" s="111">
        <f t="shared" si="51"/>
        <v>0</v>
      </c>
      <c r="K515" s="205"/>
      <c r="L515" s="82"/>
      <c r="M515" s="82"/>
      <c r="N515" s="111">
        <f t="shared" si="57"/>
        <v>0</v>
      </c>
      <c r="O515" s="111">
        <f t="shared" si="58"/>
        <v>0</v>
      </c>
      <c r="P515" s="111">
        <f t="shared" si="59"/>
        <v>0</v>
      </c>
    </row>
    <row r="516" spans="9:16">
      <c r="I516" s="205"/>
      <c r="J516" s="111">
        <f t="shared" si="51"/>
        <v>0</v>
      </c>
      <c r="K516" s="205"/>
      <c r="L516" s="82"/>
      <c r="M516" s="82"/>
      <c r="N516" s="111">
        <f t="shared" si="57"/>
        <v>0</v>
      </c>
      <c r="O516" s="111">
        <f t="shared" si="58"/>
        <v>0</v>
      </c>
      <c r="P516" s="111">
        <f t="shared" si="59"/>
        <v>0</v>
      </c>
    </row>
    <row r="517" spans="9:16">
      <c r="I517" s="205"/>
      <c r="J517" s="111" t="e">
        <f t="shared" si="51"/>
        <v>#VALUE!</v>
      </c>
      <c r="K517" s="205"/>
      <c r="L517" s="82" t="s">
        <v>25</v>
      </c>
      <c r="M517" s="82"/>
      <c r="N517" s="111" t="e">
        <f t="shared" si="57"/>
        <v>#VALUE!</v>
      </c>
      <c r="O517" s="111">
        <f t="shared" si="58"/>
        <v>0</v>
      </c>
      <c r="P517" s="111" t="e">
        <f t="shared" si="59"/>
        <v>#VALUE!</v>
      </c>
    </row>
    <row r="518" spans="9:16">
      <c r="I518" s="205"/>
      <c r="J518" s="111" t="e">
        <f t="shared" si="51"/>
        <v>#VALUE!</v>
      </c>
      <c r="K518" s="205"/>
      <c r="L518" s="82"/>
      <c r="M518" s="82"/>
      <c r="N518" s="111">
        <f t="shared" si="57"/>
        <v>0</v>
      </c>
      <c r="O518" s="111">
        <f t="shared" si="58"/>
        <v>0</v>
      </c>
      <c r="P518" s="111" t="e">
        <f t="shared" si="59"/>
        <v>#VALUE!</v>
      </c>
    </row>
    <row r="519" spans="9:16">
      <c r="I519" s="205"/>
      <c r="J519" s="111">
        <f t="shared" si="51"/>
        <v>0</v>
      </c>
      <c r="K519" s="205"/>
      <c r="L519" s="82"/>
      <c r="M519" s="82"/>
      <c r="N519" s="111">
        <f t="shared" si="57"/>
        <v>0</v>
      </c>
      <c r="O519" s="111">
        <f t="shared" si="58"/>
        <v>0</v>
      </c>
      <c r="P519" s="111">
        <f t="shared" si="59"/>
        <v>0</v>
      </c>
    </row>
    <row r="520" spans="9:16">
      <c r="I520" s="205"/>
      <c r="J520" s="111">
        <f t="shared" si="51"/>
        <v>0</v>
      </c>
      <c r="K520" s="205"/>
      <c r="L520" s="82"/>
      <c r="M520" s="82"/>
      <c r="N520" s="111">
        <f t="shared" si="57"/>
        <v>0</v>
      </c>
      <c r="O520" s="111">
        <f t="shared" si="58"/>
        <v>0</v>
      </c>
      <c r="P520" s="111">
        <f t="shared" si="59"/>
        <v>0</v>
      </c>
    </row>
    <row r="521" spans="9:16">
      <c r="I521" s="205"/>
      <c r="J521" s="111">
        <f t="shared" si="51"/>
        <v>0</v>
      </c>
      <c r="K521" s="205"/>
      <c r="L521" s="82"/>
      <c r="M521" s="82"/>
      <c r="N521" s="111">
        <f t="shared" si="57"/>
        <v>0</v>
      </c>
      <c r="O521" s="111">
        <f t="shared" si="58"/>
        <v>0</v>
      </c>
      <c r="P521" s="111">
        <f t="shared" si="59"/>
        <v>0</v>
      </c>
    </row>
    <row r="522" spans="9:16">
      <c r="I522" s="205"/>
      <c r="J522" s="111">
        <f t="shared" si="51"/>
        <v>0</v>
      </c>
      <c r="K522" s="205"/>
      <c r="L522" s="82"/>
      <c r="M522" s="82"/>
      <c r="N522" s="111">
        <f t="shared" si="57"/>
        <v>0</v>
      </c>
      <c r="O522" s="111">
        <f t="shared" si="58"/>
        <v>0</v>
      </c>
      <c r="P522" s="111">
        <f t="shared" si="59"/>
        <v>0</v>
      </c>
    </row>
    <row r="523" spans="9:16">
      <c r="I523" s="205"/>
      <c r="J523" s="111">
        <f t="shared" si="51"/>
        <v>0</v>
      </c>
      <c r="K523" s="205"/>
      <c r="L523" s="82"/>
      <c r="M523" s="82"/>
      <c r="N523" s="111">
        <f t="shared" si="57"/>
        <v>0</v>
      </c>
      <c r="O523" s="111">
        <f t="shared" si="58"/>
        <v>0</v>
      </c>
      <c r="P523" s="111">
        <f t="shared" si="59"/>
        <v>0</v>
      </c>
    </row>
    <row r="524" spans="9:16">
      <c r="I524" s="205"/>
      <c r="J524" s="111">
        <f t="shared" si="51"/>
        <v>0</v>
      </c>
      <c r="K524" s="205"/>
      <c r="L524" s="82"/>
      <c r="M524" s="82"/>
      <c r="N524" s="111">
        <f t="shared" si="57"/>
        <v>0</v>
      </c>
      <c r="O524" s="111">
        <f t="shared" si="58"/>
        <v>0</v>
      </c>
      <c r="P524" s="111">
        <f t="shared" si="59"/>
        <v>0</v>
      </c>
    </row>
    <row r="525" spans="9:16">
      <c r="I525" s="205"/>
      <c r="J525" s="111">
        <f t="shared" si="51"/>
        <v>0</v>
      </c>
      <c r="K525" s="205"/>
      <c r="L525" s="82"/>
      <c r="M525" s="82"/>
      <c r="N525" s="111">
        <f t="shared" si="57"/>
        <v>0</v>
      </c>
      <c r="O525" s="111">
        <f t="shared" si="58"/>
        <v>0</v>
      </c>
      <c r="P525" s="111">
        <f t="shared" si="59"/>
        <v>0</v>
      </c>
    </row>
    <row r="526" spans="9:16">
      <c r="I526" s="205"/>
      <c r="J526" s="111">
        <f t="shared" si="51"/>
        <v>0</v>
      </c>
      <c r="K526" s="205"/>
      <c r="L526" s="82"/>
      <c r="M526" s="82"/>
      <c r="N526" s="111">
        <f t="shared" si="57"/>
        <v>0</v>
      </c>
      <c r="O526" s="111">
        <f t="shared" si="58"/>
        <v>0</v>
      </c>
      <c r="P526" s="111">
        <f t="shared" si="59"/>
        <v>0</v>
      </c>
    </row>
    <row r="527" spans="9:16">
      <c r="I527" s="205"/>
      <c r="J527" s="111">
        <f t="shared" si="51"/>
        <v>0</v>
      </c>
      <c r="K527" s="205"/>
      <c r="L527" s="82"/>
      <c r="M527" s="82"/>
      <c r="N527" s="111">
        <f t="shared" ref="N527:N559" si="60">L527+M527</f>
        <v>0</v>
      </c>
      <c r="O527" s="111">
        <f t="shared" ref="O527:O559" si="61">M527-M526</f>
        <v>0</v>
      </c>
      <c r="P527" s="111">
        <f t="shared" ref="P527:P559" si="62">N527-N526</f>
        <v>0</v>
      </c>
    </row>
    <row r="528" spans="9:16">
      <c r="I528" s="205"/>
      <c r="J528" s="111">
        <f t="shared" si="51"/>
        <v>0</v>
      </c>
      <c r="K528" s="205"/>
      <c r="L528" s="82"/>
      <c r="M528" s="82"/>
      <c r="N528" s="111">
        <f t="shared" si="60"/>
        <v>0</v>
      </c>
      <c r="O528" s="111">
        <f t="shared" si="61"/>
        <v>0</v>
      </c>
      <c r="P528" s="111">
        <f t="shared" si="62"/>
        <v>0</v>
      </c>
    </row>
    <row r="529" spans="9:18">
      <c r="I529" s="205"/>
      <c r="J529" s="111">
        <f t="shared" si="51"/>
        <v>0</v>
      </c>
      <c r="K529" s="205"/>
      <c r="L529" s="82"/>
      <c r="M529" s="82"/>
      <c r="N529" s="111">
        <f t="shared" si="60"/>
        <v>0</v>
      </c>
      <c r="O529" s="111">
        <f t="shared" si="61"/>
        <v>0</v>
      </c>
      <c r="P529" s="111">
        <f t="shared" si="62"/>
        <v>0</v>
      </c>
    </row>
    <row r="530" spans="9:18">
      <c r="I530" s="205"/>
      <c r="J530" s="111">
        <f t="shared" si="51"/>
        <v>0</v>
      </c>
      <c r="K530" s="205"/>
      <c r="L530" s="82"/>
      <c r="M530" s="82"/>
      <c r="N530" s="111">
        <f t="shared" si="60"/>
        <v>0</v>
      </c>
      <c r="O530" s="111">
        <f t="shared" si="61"/>
        <v>0</v>
      </c>
      <c r="P530" s="111">
        <f t="shared" si="62"/>
        <v>0</v>
      </c>
    </row>
    <row r="531" spans="9:18">
      <c r="I531" s="205"/>
      <c r="J531" s="111">
        <f t="shared" si="51"/>
        <v>0</v>
      </c>
      <c r="K531" s="205"/>
      <c r="L531" s="82"/>
      <c r="M531" s="82"/>
      <c r="N531" s="111">
        <f t="shared" si="60"/>
        <v>0</v>
      </c>
      <c r="O531" s="111">
        <f t="shared" si="61"/>
        <v>0</v>
      </c>
      <c r="P531" s="111">
        <f t="shared" si="62"/>
        <v>0</v>
      </c>
    </row>
    <row r="532" spans="9:18">
      <c r="I532" s="205"/>
      <c r="J532" s="111">
        <f t="shared" si="51"/>
        <v>0</v>
      </c>
      <c r="K532" s="205"/>
      <c r="L532" s="82"/>
      <c r="M532" s="82"/>
      <c r="N532" s="111">
        <f t="shared" si="60"/>
        <v>0</v>
      </c>
      <c r="O532" s="111">
        <f t="shared" si="61"/>
        <v>0</v>
      </c>
      <c r="P532" s="111">
        <f t="shared" si="62"/>
        <v>0</v>
      </c>
    </row>
    <row r="533" spans="9:18">
      <c r="I533" s="205"/>
      <c r="J533" s="111">
        <f t="shared" si="51"/>
        <v>0</v>
      </c>
      <c r="K533" s="205"/>
      <c r="L533" s="82"/>
      <c r="M533" s="82"/>
      <c r="N533" s="111">
        <f t="shared" si="60"/>
        <v>0</v>
      </c>
      <c r="O533" s="111">
        <f t="shared" si="61"/>
        <v>0</v>
      </c>
      <c r="P533" s="111">
        <f t="shared" si="62"/>
        <v>0</v>
      </c>
    </row>
    <row r="534" spans="9:18">
      <c r="I534" s="205"/>
      <c r="J534" s="111">
        <f t="shared" si="51"/>
        <v>0</v>
      </c>
      <c r="K534" s="205"/>
      <c r="L534" s="82"/>
      <c r="M534" s="82"/>
      <c r="N534" s="111">
        <f t="shared" si="60"/>
        <v>0</v>
      </c>
      <c r="O534" s="111">
        <f t="shared" si="61"/>
        <v>0</v>
      </c>
      <c r="P534" s="111">
        <f t="shared" si="62"/>
        <v>0</v>
      </c>
    </row>
    <row r="535" spans="9:18">
      <c r="I535" s="205"/>
      <c r="J535" s="111">
        <f t="shared" si="51"/>
        <v>0</v>
      </c>
      <c r="K535" s="205"/>
      <c r="L535" s="82"/>
      <c r="M535" s="82"/>
      <c r="N535" s="111">
        <f t="shared" si="60"/>
        <v>0</v>
      </c>
      <c r="O535" s="111">
        <f t="shared" si="61"/>
        <v>0</v>
      </c>
      <c r="P535" s="111">
        <f t="shared" si="62"/>
        <v>0</v>
      </c>
    </row>
    <row r="536" spans="9:18">
      <c r="I536" s="205"/>
      <c r="J536" s="111">
        <f t="shared" si="51"/>
        <v>0</v>
      </c>
      <c r="K536" s="205"/>
      <c r="L536" s="82"/>
      <c r="M536" s="82"/>
      <c r="N536" s="111">
        <f t="shared" si="60"/>
        <v>0</v>
      </c>
      <c r="O536" s="111">
        <f t="shared" si="61"/>
        <v>0</v>
      </c>
      <c r="P536" s="111">
        <f t="shared" si="62"/>
        <v>0</v>
      </c>
    </row>
    <row r="537" spans="9:18">
      <c r="I537" s="205"/>
      <c r="J537" s="111">
        <f t="shared" si="51"/>
        <v>0</v>
      </c>
      <c r="K537" s="205"/>
      <c r="L537" s="82"/>
      <c r="M537" s="82"/>
      <c r="N537" s="111">
        <f t="shared" si="60"/>
        <v>0</v>
      </c>
      <c r="O537" s="111">
        <f t="shared" si="61"/>
        <v>0</v>
      </c>
      <c r="P537" s="111">
        <f t="shared" si="62"/>
        <v>0</v>
      </c>
    </row>
    <row r="538" spans="9:18">
      <c r="I538" s="205"/>
      <c r="J538" s="111">
        <f t="shared" si="51"/>
        <v>0</v>
      </c>
      <c r="K538" s="205"/>
      <c r="L538" s="82"/>
      <c r="M538" s="82"/>
      <c r="N538" s="111">
        <f t="shared" si="60"/>
        <v>0</v>
      </c>
      <c r="O538" s="111">
        <f t="shared" si="61"/>
        <v>0</v>
      </c>
      <c r="P538" s="111">
        <f t="shared" si="62"/>
        <v>0</v>
      </c>
    </row>
    <row r="539" spans="9:18">
      <c r="I539" s="205"/>
      <c r="J539" s="111">
        <f t="shared" si="51"/>
        <v>0</v>
      </c>
      <c r="K539" s="205"/>
      <c r="L539" s="82"/>
      <c r="M539" s="82"/>
      <c r="N539" s="111">
        <f t="shared" si="60"/>
        <v>0</v>
      </c>
      <c r="O539" s="111">
        <f t="shared" si="61"/>
        <v>0</v>
      </c>
      <c r="P539" s="111">
        <f t="shared" si="62"/>
        <v>0</v>
      </c>
    </row>
    <row r="540" spans="9:18">
      <c r="I540" s="205"/>
      <c r="J540" s="111">
        <f t="shared" si="51"/>
        <v>0</v>
      </c>
      <c r="K540" s="205"/>
      <c r="L540" s="82"/>
      <c r="M540" s="82"/>
      <c r="N540" s="111">
        <f t="shared" si="60"/>
        <v>0</v>
      </c>
      <c r="O540" s="111">
        <f t="shared" si="61"/>
        <v>0</v>
      </c>
      <c r="P540" s="111">
        <f t="shared" si="62"/>
        <v>0</v>
      </c>
    </row>
    <row r="541" spans="9:18">
      <c r="I541" s="205"/>
      <c r="J541" s="111">
        <f t="shared" si="51"/>
        <v>0</v>
      </c>
      <c r="K541" s="205"/>
      <c r="L541" s="82"/>
      <c r="M541" s="82"/>
      <c r="N541" s="111">
        <f t="shared" si="60"/>
        <v>0</v>
      </c>
      <c r="O541" s="111">
        <f t="shared" si="61"/>
        <v>0</v>
      </c>
      <c r="P541" s="111">
        <f t="shared" si="62"/>
        <v>0</v>
      </c>
    </row>
    <row r="542" spans="9:18">
      <c r="I542" s="205"/>
      <c r="J542" s="111">
        <f t="shared" si="51"/>
        <v>0</v>
      </c>
      <c r="K542" s="205"/>
      <c r="L542" s="82"/>
      <c r="M542" s="82"/>
      <c r="N542" s="111">
        <f t="shared" si="60"/>
        <v>0</v>
      </c>
      <c r="O542" s="111">
        <f t="shared" si="61"/>
        <v>0</v>
      </c>
      <c r="P542" s="111">
        <f t="shared" si="62"/>
        <v>0</v>
      </c>
    </row>
    <row r="543" spans="9:18">
      <c r="I543" s="205"/>
      <c r="J543" s="111">
        <f t="shared" si="51"/>
        <v>0</v>
      </c>
      <c r="K543" s="205"/>
      <c r="L543" s="82"/>
      <c r="M543" s="82"/>
      <c r="N543" s="111">
        <f t="shared" si="60"/>
        <v>0</v>
      </c>
      <c r="O543" s="111">
        <f t="shared" si="61"/>
        <v>0</v>
      </c>
      <c r="P543" s="111">
        <f t="shared" si="62"/>
        <v>0</v>
      </c>
    </row>
    <row r="544" spans="9:18">
      <c r="I544" s="205"/>
      <c r="J544" s="111">
        <f t="shared" si="51"/>
        <v>0</v>
      </c>
      <c r="K544" s="205"/>
      <c r="L544" s="82"/>
      <c r="M544" s="82"/>
      <c r="N544" s="111">
        <f t="shared" si="60"/>
        <v>0</v>
      </c>
      <c r="O544" s="111">
        <f t="shared" si="61"/>
        <v>0</v>
      </c>
      <c r="P544" s="111">
        <f t="shared" si="62"/>
        <v>0</v>
      </c>
      <c r="R544" t="s">
        <v>25</v>
      </c>
    </row>
    <row r="545" spans="9:16">
      <c r="I545" s="205"/>
      <c r="J545" s="111">
        <f t="shared" si="51"/>
        <v>0</v>
      </c>
      <c r="K545" s="205"/>
      <c r="L545" s="82"/>
      <c r="M545" s="82"/>
      <c r="N545" s="111">
        <f t="shared" si="60"/>
        <v>0</v>
      </c>
      <c r="O545" s="111">
        <f t="shared" si="61"/>
        <v>0</v>
      </c>
      <c r="P545" s="111">
        <f t="shared" si="62"/>
        <v>0</v>
      </c>
    </row>
    <row r="546" spans="9:16">
      <c r="I546" s="205"/>
      <c r="J546" s="111">
        <f t="shared" si="51"/>
        <v>0</v>
      </c>
      <c r="K546" s="205"/>
      <c r="L546" s="82"/>
      <c r="M546" s="82"/>
      <c r="N546" s="111">
        <f t="shared" si="60"/>
        <v>0</v>
      </c>
      <c r="O546" s="111">
        <f t="shared" si="61"/>
        <v>0</v>
      </c>
      <c r="P546" s="111">
        <f t="shared" si="62"/>
        <v>0</v>
      </c>
    </row>
    <row r="547" spans="9:16">
      <c r="I547" s="205"/>
      <c r="J547" s="111">
        <f t="shared" si="51"/>
        <v>0</v>
      </c>
      <c r="K547" s="205"/>
      <c r="L547" s="82"/>
      <c r="M547" s="82"/>
      <c r="N547" s="111">
        <f t="shared" si="60"/>
        <v>0</v>
      </c>
      <c r="O547" s="111">
        <f t="shared" si="61"/>
        <v>0</v>
      </c>
      <c r="P547" s="111">
        <f t="shared" si="62"/>
        <v>0</v>
      </c>
    </row>
    <row r="548" spans="9:16">
      <c r="I548" s="205"/>
      <c r="J548" s="111">
        <f t="shared" si="51"/>
        <v>0</v>
      </c>
      <c r="K548" s="205"/>
      <c r="L548" s="82"/>
      <c r="M548" s="82"/>
      <c r="N548" s="111">
        <f t="shared" si="60"/>
        <v>0</v>
      </c>
      <c r="O548" s="111">
        <f t="shared" si="61"/>
        <v>0</v>
      </c>
      <c r="P548" s="111">
        <f t="shared" si="62"/>
        <v>0</v>
      </c>
    </row>
    <row r="549" spans="9:16">
      <c r="I549" s="205"/>
      <c r="J549" s="111">
        <f t="shared" si="51"/>
        <v>0</v>
      </c>
      <c r="K549" s="205"/>
      <c r="L549" s="82"/>
      <c r="M549" s="82"/>
      <c r="N549" s="111">
        <f t="shared" si="60"/>
        <v>0</v>
      </c>
      <c r="O549" s="111">
        <f t="shared" si="61"/>
        <v>0</v>
      </c>
      <c r="P549" s="111">
        <f t="shared" si="62"/>
        <v>0</v>
      </c>
    </row>
    <row r="550" spans="9:16">
      <c r="I550" s="205"/>
      <c r="J550" s="111">
        <f t="shared" si="51"/>
        <v>0</v>
      </c>
      <c r="K550" s="205"/>
      <c r="L550" s="82"/>
      <c r="M550" s="82"/>
      <c r="N550" s="111">
        <f t="shared" si="60"/>
        <v>0</v>
      </c>
      <c r="O550" s="111">
        <f t="shared" si="61"/>
        <v>0</v>
      </c>
      <c r="P550" s="111">
        <f t="shared" si="62"/>
        <v>0</v>
      </c>
    </row>
    <row r="551" spans="9:16">
      <c r="I551" s="205"/>
      <c r="J551" s="111">
        <f t="shared" si="51"/>
        <v>0</v>
      </c>
      <c r="K551" s="205"/>
      <c r="L551" s="82"/>
      <c r="M551" s="82"/>
      <c r="N551" s="111">
        <f t="shared" si="60"/>
        <v>0</v>
      </c>
      <c r="O551" s="111">
        <f t="shared" si="61"/>
        <v>0</v>
      </c>
      <c r="P551" s="111">
        <f t="shared" si="62"/>
        <v>0</v>
      </c>
    </row>
    <row r="552" spans="9:16">
      <c r="I552" s="205"/>
      <c r="J552" s="111">
        <f t="shared" si="51"/>
        <v>0</v>
      </c>
      <c r="K552" s="205"/>
      <c r="L552" s="82"/>
      <c r="M552" s="82"/>
      <c r="N552" s="111">
        <f t="shared" si="60"/>
        <v>0</v>
      </c>
      <c r="O552" s="111">
        <f t="shared" si="61"/>
        <v>0</v>
      </c>
      <c r="P552" s="111">
        <f t="shared" si="62"/>
        <v>0</v>
      </c>
    </row>
    <row r="553" spans="9:16">
      <c r="I553" s="205"/>
      <c r="J553" s="111">
        <f t="shared" si="51"/>
        <v>0</v>
      </c>
      <c r="K553" s="205"/>
      <c r="L553" s="82"/>
      <c r="M553" s="82"/>
      <c r="N553" s="111">
        <f t="shared" si="60"/>
        <v>0</v>
      </c>
      <c r="O553" s="111">
        <f t="shared" si="61"/>
        <v>0</v>
      </c>
      <c r="P553" s="111">
        <f t="shared" si="62"/>
        <v>0</v>
      </c>
    </row>
    <row r="554" spans="9:16">
      <c r="I554" s="205"/>
      <c r="J554" s="111">
        <f t="shared" si="51"/>
        <v>0</v>
      </c>
      <c r="K554" s="205"/>
      <c r="L554" s="82"/>
      <c r="M554" s="82"/>
      <c r="N554" s="111">
        <f t="shared" si="60"/>
        <v>0</v>
      </c>
      <c r="O554" s="111">
        <f t="shared" si="61"/>
        <v>0</v>
      </c>
      <c r="P554" s="111">
        <f t="shared" si="62"/>
        <v>0</v>
      </c>
    </row>
    <row r="555" spans="9:16">
      <c r="I555" s="205"/>
      <c r="J555" s="111">
        <f t="shared" si="51"/>
        <v>0</v>
      </c>
      <c r="K555" s="205"/>
      <c r="L555" s="82"/>
      <c r="M555" s="82"/>
      <c r="N555" s="111">
        <f t="shared" si="60"/>
        <v>0</v>
      </c>
      <c r="O555" s="111">
        <f t="shared" si="61"/>
        <v>0</v>
      </c>
      <c r="P555" s="111">
        <f t="shared" si="62"/>
        <v>0</v>
      </c>
    </row>
    <row r="556" spans="9:16">
      <c r="I556" s="205"/>
      <c r="J556" s="111">
        <f t="shared" si="51"/>
        <v>0</v>
      </c>
      <c r="K556" s="205"/>
      <c r="L556" s="82"/>
      <c r="M556" s="82"/>
      <c r="N556" s="111">
        <f t="shared" si="60"/>
        <v>0</v>
      </c>
      <c r="O556" s="111">
        <f t="shared" si="61"/>
        <v>0</v>
      </c>
      <c r="P556" s="111">
        <f t="shared" si="62"/>
        <v>0</v>
      </c>
    </row>
    <row r="557" spans="9:16">
      <c r="I557" s="205"/>
      <c r="J557" s="111">
        <f t="shared" si="51"/>
        <v>0</v>
      </c>
      <c r="K557" s="205"/>
      <c r="L557" s="82"/>
      <c r="M557" s="82"/>
      <c r="N557" s="111">
        <f t="shared" si="60"/>
        <v>0</v>
      </c>
      <c r="O557" s="111">
        <f t="shared" si="61"/>
        <v>0</v>
      </c>
      <c r="P557" s="111">
        <f t="shared" si="62"/>
        <v>0</v>
      </c>
    </row>
    <row r="558" spans="9:16">
      <c r="I558" s="205"/>
      <c r="J558" s="111">
        <f t="shared" si="51"/>
        <v>0</v>
      </c>
      <c r="K558" s="205"/>
      <c r="L558" s="82"/>
      <c r="M558" s="82"/>
      <c r="N558" s="111">
        <f t="shared" si="60"/>
        <v>0</v>
      </c>
      <c r="O558" s="111">
        <f t="shared" si="61"/>
        <v>0</v>
      </c>
      <c r="P558" s="111">
        <f t="shared" si="62"/>
        <v>0</v>
      </c>
    </row>
    <row r="559" spans="9:16">
      <c r="I559" s="205"/>
      <c r="J559" s="111">
        <f t="shared" si="51"/>
        <v>0</v>
      </c>
      <c r="K559" s="205"/>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208"/>
  <sheetViews>
    <sheetView topLeftCell="K1" zoomScaleNormal="100" workbookViewId="0">
      <pane ySplit="1" topLeftCell="A2" activePane="bottomLeft" state="frozen"/>
      <selection pane="bottomLeft" activeCell="R19" sqref="R1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836</v>
      </c>
      <c r="N6" t="s">
        <v>1050</v>
      </c>
      <c r="O6" t="s">
        <v>279</v>
      </c>
      <c r="P6">
        <v>54682</v>
      </c>
      <c r="Q6" s="25" t="s">
        <v>3905</v>
      </c>
      <c r="R6" s="25" t="s">
        <v>4119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3906</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4120</v>
      </c>
      <c r="R8" s="113" t="s">
        <v>4121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1051</v>
      </c>
      <c r="L10" s="34">
        <v>410021484671</v>
      </c>
      <c r="M10" s="33" t="s">
        <v>1052</v>
      </c>
      <c r="N10" t="s">
        <v>1054</v>
      </c>
      <c r="O10" t="s">
        <v>1055</v>
      </c>
      <c r="P10">
        <v>3781963292</v>
      </c>
      <c r="Q10" s="25" t="s">
        <v>3904</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1121</v>
      </c>
      <c r="L13" t="s">
        <v>1118</v>
      </c>
      <c r="N13" t="s">
        <v>1123</v>
      </c>
      <c r="P13" t="s">
        <v>1117</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1120</v>
      </c>
      <c r="L14" t="s">
        <v>1119</v>
      </c>
      <c r="M14" t="s">
        <v>1122</v>
      </c>
      <c r="N14" t="s">
        <v>1124</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4653</v>
      </c>
      <c r="L15">
        <v>451474</v>
      </c>
      <c r="M15" s="225" t="s">
        <v>4795</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1128</v>
      </c>
      <c r="L17">
        <v>200011228</v>
      </c>
      <c r="M17" t="s">
        <v>1129</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3871</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4008</v>
      </c>
      <c r="L19" t="s">
        <v>4009</v>
      </c>
      <c r="N19" t="s">
        <v>5741</v>
      </c>
      <c r="O19" t="s">
        <v>6892</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4010</v>
      </c>
      <c r="L20" t="s">
        <v>4160</v>
      </c>
      <c r="M20" t="s">
        <v>4011</v>
      </c>
      <c r="N20" t="s">
        <v>4161</v>
      </c>
      <c r="O20" t="s">
        <v>6935</v>
      </c>
      <c r="P20" t="s">
        <v>4090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4323</v>
      </c>
      <c r="L21" s="33" t="s">
        <v>4325</v>
      </c>
      <c r="M21" s="94" t="s">
        <v>4324</v>
      </c>
      <c r="N21" s="185" t="s">
        <v>4326</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4293</v>
      </c>
      <c r="L23">
        <v>9149046982</v>
      </c>
      <c r="M23" t="s">
        <v>4294</v>
      </c>
      <c r="N23" t="s">
        <v>4295</v>
      </c>
      <c r="O23" t="s">
        <v>4296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4298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4995</v>
      </c>
      <c r="L33" t="s">
        <v>4996</v>
      </c>
      <c r="M33" t="s">
        <v>4997</v>
      </c>
      <c r="N33" t="s">
        <v>4998</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5000</v>
      </c>
      <c r="M34" t="s">
        <v>5001</v>
      </c>
      <c r="N34" t="s">
        <v>4999</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765</v>
      </c>
      <c r="D90" s="11">
        <v>29</v>
      </c>
      <c r="E90" s="11">
        <f t="shared" si="6"/>
        <v>484</v>
      </c>
      <c r="F90" s="11">
        <f t="shared" si="5"/>
        <v>1</v>
      </c>
      <c r="G90" s="11">
        <f t="shared" si="4"/>
        <v>118260618</v>
      </c>
    </row>
    <row r="91" spans="1:7">
      <c r="A91" s="11" t="s">
        <v>795</v>
      </c>
      <c r="B91" s="38">
        <v>272155</v>
      </c>
      <c r="C91" s="11" t="s">
        <v>797</v>
      </c>
      <c r="D91" s="11">
        <v>30</v>
      </c>
      <c r="E91" s="11">
        <f t="shared" si="6"/>
        <v>455</v>
      </c>
      <c r="F91" s="11">
        <f t="shared" si="5"/>
        <v>1</v>
      </c>
      <c r="G91" s="11">
        <f t="shared" si="4"/>
        <v>123558370</v>
      </c>
    </row>
    <row r="92" spans="1:7">
      <c r="A92" s="11" t="s">
        <v>834</v>
      </c>
      <c r="B92" s="38">
        <v>3000000</v>
      </c>
      <c r="C92" s="11" t="s">
        <v>835</v>
      </c>
      <c r="D92" s="11">
        <v>0</v>
      </c>
      <c r="E92" s="11">
        <f t="shared" si="6"/>
        <v>425</v>
      </c>
      <c r="F92" s="11">
        <f t="shared" si="5"/>
        <v>1</v>
      </c>
      <c r="G92" s="11">
        <f t="shared" si="4"/>
        <v>1272000000</v>
      </c>
    </row>
    <row r="93" spans="1:7">
      <c r="A93" s="11" t="s">
        <v>834</v>
      </c>
      <c r="B93" s="35">
        <v>274385</v>
      </c>
      <c r="C93" s="11" t="s">
        <v>264</v>
      </c>
      <c r="D93" s="11">
        <v>1</v>
      </c>
      <c r="E93" s="11">
        <f t="shared" si="6"/>
        <v>425</v>
      </c>
      <c r="F93" s="11">
        <f t="shared" si="5"/>
        <v>1</v>
      </c>
      <c r="G93" s="11">
        <f t="shared" si="4"/>
        <v>116339240</v>
      </c>
    </row>
    <row r="94" spans="1:7">
      <c r="A94" s="11" t="s">
        <v>842</v>
      </c>
      <c r="B94" s="38">
        <v>5500000</v>
      </c>
      <c r="C94" s="11" t="s">
        <v>843</v>
      </c>
      <c r="D94" s="11">
        <v>1</v>
      </c>
      <c r="E94" s="11">
        <f t="shared" si="6"/>
        <v>424</v>
      </c>
      <c r="F94" s="11">
        <f t="shared" si="5"/>
        <v>1</v>
      </c>
      <c r="G94" s="11">
        <f t="shared" si="4"/>
        <v>2326500000</v>
      </c>
    </row>
    <row r="95" spans="1:7">
      <c r="A95" s="11" t="s">
        <v>844</v>
      </c>
      <c r="B95" s="38">
        <v>3000000</v>
      </c>
      <c r="C95" s="11" t="s">
        <v>845</v>
      </c>
      <c r="D95" s="11">
        <v>1</v>
      </c>
      <c r="E95" s="11">
        <f t="shared" si="6"/>
        <v>423</v>
      </c>
      <c r="F95" s="11">
        <f t="shared" si="5"/>
        <v>1</v>
      </c>
      <c r="G95" s="11">
        <f t="shared" si="4"/>
        <v>1266000000</v>
      </c>
    </row>
    <row r="96" spans="1:7">
      <c r="A96" s="11" t="s">
        <v>846</v>
      </c>
      <c r="B96" s="38">
        <v>3000000</v>
      </c>
      <c r="C96" s="11" t="s">
        <v>847</v>
      </c>
      <c r="D96" s="11">
        <v>1</v>
      </c>
      <c r="E96" s="11">
        <f t="shared" si="6"/>
        <v>422</v>
      </c>
      <c r="F96" s="11">
        <f t="shared" si="5"/>
        <v>1</v>
      </c>
      <c r="G96" s="11">
        <f t="shared" si="4"/>
        <v>1263000000</v>
      </c>
    </row>
    <row r="97" spans="1:7">
      <c r="A97" s="11" t="s">
        <v>848</v>
      </c>
      <c r="B97" s="38">
        <v>3000000</v>
      </c>
      <c r="C97" s="11" t="s">
        <v>849</v>
      </c>
      <c r="D97" s="11">
        <v>1</v>
      </c>
      <c r="E97" s="11">
        <f t="shared" si="6"/>
        <v>421</v>
      </c>
      <c r="F97" s="11">
        <f t="shared" si="5"/>
        <v>1</v>
      </c>
      <c r="G97" s="11">
        <f t="shared" si="4"/>
        <v>1260000000</v>
      </c>
    </row>
    <row r="98" spans="1:7">
      <c r="A98" s="11" t="s">
        <v>850</v>
      </c>
      <c r="B98" s="38">
        <v>3000000</v>
      </c>
      <c r="C98" s="11" t="s">
        <v>851</v>
      </c>
      <c r="D98" s="11">
        <v>1</v>
      </c>
      <c r="E98" s="11">
        <f t="shared" si="6"/>
        <v>420</v>
      </c>
      <c r="F98" s="11">
        <f t="shared" si="5"/>
        <v>1</v>
      </c>
      <c r="G98" s="11">
        <f t="shared" si="4"/>
        <v>1257000000</v>
      </c>
    </row>
    <row r="99" spans="1:7">
      <c r="A99" s="11" t="s">
        <v>852</v>
      </c>
      <c r="B99" s="38">
        <v>3000000</v>
      </c>
      <c r="C99" s="11" t="s">
        <v>853</v>
      </c>
      <c r="D99" s="11">
        <v>2</v>
      </c>
      <c r="E99" s="11">
        <f t="shared" si="6"/>
        <v>419</v>
      </c>
      <c r="F99" s="11">
        <f t="shared" si="5"/>
        <v>1</v>
      </c>
      <c r="G99" s="11">
        <f t="shared" si="4"/>
        <v>1254000000</v>
      </c>
    </row>
    <row r="100" spans="1:7">
      <c r="A100" s="11" t="s">
        <v>854</v>
      </c>
      <c r="B100" s="38">
        <v>999500</v>
      </c>
      <c r="C100" s="11" t="s">
        <v>868</v>
      </c>
      <c r="D100" s="11">
        <v>1</v>
      </c>
      <c r="E100" s="11">
        <f t="shared" si="6"/>
        <v>417</v>
      </c>
      <c r="F100" s="11">
        <f t="shared" si="5"/>
        <v>1</v>
      </c>
      <c r="G100" s="11">
        <f t="shared" si="4"/>
        <v>415792000</v>
      </c>
    </row>
    <row r="101" spans="1:7" ht="30">
      <c r="A101" s="11" t="s">
        <v>867</v>
      </c>
      <c r="B101" s="38">
        <v>-1986700</v>
      </c>
      <c r="C101" s="71" t="s">
        <v>869</v>
      </c>
      <c r="D101" s="11">
        <v>21</v>
      </c>
      <c r="E101" s="11">
        <f t="shared" si="6"/>
        <v>416</v>
      </c>
      <c r="F101" s="11">
        <f t="shared" si="5"/>
        <v>0</v>
      </c>
      <c r="G101" s="11">
        <f t="shared" si="4"/>
        <v>-826467200</v>
      </c>
    </row>
    <row r="102" spans="1:7" ht="30">
      <c r="A102" s="11" t="s">
        <v>870</v>
      </c>
      <c r="B102" s="38">
        <v>3000000</v>
      </c>
      <c r="C102" s="71" t="s">
        <v>871</v>
      </c>
      <c r="D102" s="11">
        <v>0</v>
      </c>
      <c r="E102" s="11">
        <f t="shared" si="6"/>
        <v>395</v>
      </c>
      <c r="F102" s="11">
        <f t="shared" si="5"/>
        <v>1</v>
      </c>
      <c r="G102" s="11">
        <f t="shared" si="4"/>
        <v>1182000000</v>
      </c>
    </row>
    <row r="103" spans="1:7">
      <c r="A103" s="11" t="s">
        <v>995</v>
      </c>
      <c r="B103" s="38">
        <v>295500</v>
      </c>
      <c r="C103" s="71" t="s">
        <v>996</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3942</v>
      </c>
      <c r="B105" s="38">
        <f>SUM(B2:B103)</f>
        <v>59475793</v>
      </c>
      <c r="C105" s="71" t="s">
        <v>3941</v>
      </c>
      <c r="D105" s="97">
        <v>1</v>
      </c>
      <c r="E105" s="97">
        <f>D105+E106</f>
        <v>381</v>
      </c>
      <c r="F105" s="97">
        <f t="shared" si="5"/>
        <v>1</v>
      </c>
      <c r="G105" s="97">
        <f t="shared" si="4"/>
        <v>22600801340</v>
      </c>
    </row>
    <row r="106" spans="1:7">
      <c r="A106" s="11" t="s">
        <v>895</v>
      </c>
      <c r="B106" s="38">
        <v>-10000</v>
      </c>
      <c r="C106" s="71" t="s">
        <v>901</v>
      </c>
      <c r="D106" s="11">
        <v>6</v>
      </c>
      <c r="E106" s="97">
        <f t="shared" ref="E106:E169" si="7">D106+E107</f>
        <v>380</v>
      </c>
      <c r="F106" s="11">
        <f t="shared" si="5"/>
        <v>0</v>
      </c>
      <c r="G106" s="11">
        <f t="shared" si="4"/>
        <v>-3800000</v>
      </c>
    </row>
    <row r="107" spans="1:7">
      <c r="A107" s="11" t="s">
        <v>903</v>
      </c>
      <c r="B107" s="38">
        <v>1999000</v>
      </c>
      <c r="C107" s="71" t="s">
        <v>904</v>
      </c>
      <c r="D107" s="11">
        <v>5</v>
      </c>
      <c r="E107" s="97">
        <f t="shared" si="7"/>
        <v>374</v>
      </c>
      <c r="F107" s="11">
        <f t="shared" si="5"/>
        <v>1</v>
      </c>
      <c r="G107" s="11">
        <f t="shared" si="4"/>
        <v>745627000</v>
      </c>
    </row>
    <row r="108" spans="1:7">
      <c r="A108" s="11" t="s">
        <v>917</v>
      </c>
      <c r="B108" s="38">
        <v>-60000000</v>
      </c>
      <c r="C108" s="71" t="s">
        <v>992</v>
      </c>
      <c r="D108" s="11">
        <v>0</v>
      </c>
      <c r="E108" s="97">
        <f t="shared" si="7"/>
        <v>369</v>
      </c>
      <c r="F108" s="11">
        <f t="shared" si="5"/>
        <v>0</v>
      </c>
      <c r="G108" s="11">
        <f t="shared" si="4"/>
        <v>-22140000000</v>
      </c>
    </row>
    <row r="109" spans="1:7">
      <c r="A109" s="11" t="s">
        <v>917</v>
      </c>
      <c r="B109" s="38">
        <v>5850000</v>
      </c>
      <c r="C109" s="71" t="s">
        <v>994</v>
      </c>
      <c r="D109" s="11">
        <v>1</v>
      </c>
      <c r="E109" s="97">
        <f t="shared" si="7"/>
        <v>369</v>
      </c>
      <c r="F109" s="11">
        <f t="shared" si="5"/>
        <v>1</v>
      </c>
      <c r="G109" s="11">
        <f t="shared" si="4"/>
        <v>2152800000</v>
      </c>
    </row>
    <row r="110" spans="1:7">
      <c r="A110" s="11" t="s">
        <v>1000</v>
      </c>
      <c r="B110" s="38">
        <v>3000000</v>
      </c>
      <c r="C110" s="71" t="s">
        <v>1010</v>
      </c>
      <c r="D110" s="11">
        <v>1</v>
      </c>
      <c r="E110" s="97">
        <f t="shared" si="7"/>
        <v>368</v>
      </c>
      <c r="F110" s="11">
        <f t="shared" si="5"/>
        <v>1</v>
      </c>
      <c r="G110" s="11">
        <f t="shared" si="4"/>
        <v>1101000000</v>
      </c>
    </row>
    <row r="111" spans="1:7">
      <c r="A111" s="11" t="s">
        <v>1011</v>
      </c>
      <c r="B111" s="38">
        <v>2000000</v>
      </c>
      <c r="C111" s="71" t="s">
        <v>1010</v>
      </c>
      <c r="D111" s="11">
        <v>0</v>
      </c>
      <c r="E111" s="97">
        <f t="shared" si="7"/>
        <v>367</v>
      </c>
      <c r="F111" s="11">
        <f t="shared" si="5"/>
        <v>1</v>
      </c>
      <c r="G111" s="11">
        <f t="shared" si="4"/>
        <v>732000000</v>
      </c>
    </row>
    <row r="112" spans="1:7">
      <c r="A112" s="11" t="s">
        <v>1011</v>
      </c>
      <c r="B112" s="38">
        <v>-5000000</v>
      </c>
      <c r="C112" s="71" t="s">
        <v>992</v>
      </c>
      <c r="D112" s="11">
        <v>1</v>
      </c>
      <c r="E112" s="97">
        <f t="shared" si="7"/>
        <v>367</v>
      </c>
      <c r="F112" s="11">
        <f t="shared" si="5"/>
        <v>0</v>
      </c>
      <c r="G112" s="11">
        <f t="shared" si="4"/>
        <v>-1835000000</v>
      </c>
    </row>
    <row r="113" spans="1:7">
      <c r="A113" s="11" t="s">
        <v>1017</v>
      </c>
      <c r="B113" s="38">
        <v>412668</v>
      </c>
      <c r="C113" s="71" t="s">
        <v>1018</v>
      </c>
      <c r="D113" s="11">
        <v>8</v>
      </c>
      <c r="E113" s="97">
        <f t="shared" si="7"/>
        <v>366</v>
      </c>
      <c r="F113" s="11">
        <f t="shared" si="5"/>
        <v>1</v>
      </c>
      <c r="G113" s="11">
        <f t="shared" si="4"/>
        <v>150623820</v>
      </c>
    </row>
    <row r="114" spans="1:7">
      <c r="A114" s="11" t="s">
        <v>1056</v>
      </c>
      <c r="B114" s="38">
        <v>42000000</v>
      </c>
      <c r="C114" s="71" t="s">
        <v>1057</v>
      </c>
      <c r="D114" s="11">
        <v>7</v>
      </c>
      <c r="E114" s="97">
        <f t="shared" si="7"/>
        <v>358</v>
      </c>
      <c r="F114" s="11">
        <f t="shared" si="5"/>
        <v>1</v>
      </c>
      <c r="G114" s="11">
        <f t="shared" si="4"/>
        <v>14994000000</v>
      </c>
    </row>
    <row r="115" spans="1:7">
      <c r="A115" s="11" t="s">
        <v>1060</v>
      </c>
      <c r="B115" s="38">
        <v>-25000000</v>
      </c>
      <c r="C115" s="71" t="s">
        <v>1064</v>
      </c>
      <c r="D115" s="11">
        <v>1</v>
      </c>
      <c r="E115" s="97">
        <f t="shared" si="7"/>
        <v>351</v>
      </c>
      <c r="F115" s="11">
        <f t="shared" si="5"/>
        <v>0</v>
      </c>
      <c r="G115" s="11">
        <f t="shared" si="4"/>
        <v>-8775000000</v>
      </c>
    </row>
    <row r="116" spans="1:7">
      <c r="A116" s="11" t="s">
        <v>1061</v>
      </c>
      <c r="B116" s="38">
        <v>-200000</v>
      </c>
      <c r="C116" s="71" t="s">
        <v>1083</v>
      </c>
      <c r="D116" s="11">
        <v>2</v>
      </c>
      <c r="E116" s="97">
        <f t="shared" si="7"/>
        <v>350</v>
      </c>
      <c r="F116" s="11">
        <f t="shared" si="5"/>
        <v>0</v>
      </c>
      <c r="G116" s="11">
        <f t="shared" si="4"/>
        <v>-70000000</v>
      </c>
    </row>
    <row r="117" spans="1:7">
      <c r="A117" s="11" t="s">
        <v>1090</v>
      </c>
      <c r="B117" s="38">
        <v>-18000000</v>
      </c>
      <c r="C117" s="71" t="s">
        <v>1091</v>
      </c>
      <c r="D117" s="11">
        <v>1</v>
      </c>
      <c r="E117" s="97">
        <f t="shared" si="7"/>
        <v>348</v>
      </c>
      <c r="F117" s="11">
        <f t="shared" si="5"/>
        <v>0</v>
      </c>
      <c r="G117" s="11">
        <f t="shared" si="4"/>
        <v>-6264000000</v>
      </c>
    </row>
    <row r="118" spans="1:7">
      <c r="A118" s="11" t="s">
        <v>1092</v>
      </c>
      <c r="B118" s="38">
        <v>-2500000</v>
      </c>
      <c r="C118" s="71" t="s">
        <v>1091</v>
      </c>
      <c r="D118" s="11">
        <v>10</v>
      </c>
      <c r="E118" s="97">
        <f t="shared" si="7"/>
        <v>347</v>
      </c>
      <c r="F118" s="11">
        <f t="shared" si="5"/>
        <v>0</v>
      </c>
      <c r="G118" s="11">
        <f t="shared" si="4"/>
        <v>-867500000</v>
      </c>
    </row>
    <row r="119" spans="1:7">
      <c r="A119" s="11" t="s">
        <v>1125</v>
      </c>
      <c r="B119" s="38">
        <v>595000</v>
      </c>
      <c r="C119" s="71" t="s">
        <v>1010</v>
      </c>
      <c r="D119" s="11">
        <v>2</v>
      </c>
      <c r="E119" s="97">
        <f t="shared" si="7"/>
        <v>337</v>
      </c>
      <c r="F119" s="11">
        <f t="shared" si="5"/>
        <v>1</v>
      </c>
      <c r="G119" s="11">
        <f t="shared" si="4"/>
        <v>199920000</v>
      </c>
    </row>
    <row r="120" spans="1:7">
      <c r="A120" s="11" t="s">
        <v>1127</v>
      </c>
      <c r="B120" s="38">
        <v>137334</v>
      </c>
      <c r="C120" s="71" t="s">
        <v>507</v>
      </c>
      <c r="D120" s="11">
        <v>2</v>
      </c>
      <c r="E120" s="97">
        <f t="shared" si="7"/>
        <v>335</v>
      </c>
      <c r="F120" s="11">
        <f t="shared" si="5"/>
        <v>1</v>
      </c>
      <c r="G120" s="11">
        <f t="shared" si="4"/>
        <v>45869556</v>
      </c>
    </row>
    <row r="121" spans="1:7">
      <c r="A121" s="11" t="s">
        <v>1130</v>
      </c>
      <c r="B121" s="38">
        <v>-3200900</v>
      </c>
      <c r="C121" s="71" t="s">
        <v>1131</v>
      </c>
      <c r="D121" s="11">
        <v>1</v>
      </c>
      <c r="E121" s="97">
        <f t="shared" si="7"/>
        <v>333</v>
      </c>
      <c r="F121" s="11">
        <f t="shared" si="5"/>
        <v>0</v>
      </c>
      <c r="G121" s="11">
        <f t="shared" si="4"/>
        <v>-1065899700</v>
      </c>
    </row>
    <row r="122" spans="1:7">
      <c r="A122" s="11" t="s">
        <v>1138</v>
      </c>
      <c r="B122" s="38">
        <v>16276000</v>
      </c>
      <c r="C122" s="71" t="s">
        <v>1140</v>
      </c>
      <c r="D122" s="11">
        <v>3</v>
      </c>
      <c r="E122" s="97">
        <f t="shared" si="7"/>
        <v>332</v>
      </c>
      <c r="F122" s="11">
        <f t="shared" si="5"/>
        <v>1</v>
      </c>
      <c r="G122" s="11">
        <f t="shared" si="4"/>
        <v>5387356000</v>
      </c>
    </row>
    <row r="123" spans="1:7">
      <c r="A123" s="11" t="s">
        <v>1149</v>
      </c>
      <c r="B123" s="38">
        <v>3000000</v>
      </c>
      <c r="C123" s="71" t="s">
        <v>719</v>
      </c>
      <c r="D123" s="11">
        <v>0</v>
      </c>
      <c r="E123" s="97">
        <f t="shared" si="7"/>
        <v>329</v>
      </c>
      <c r="F123" s="11">
        <f t="shared" si="5"/>
        <v>1</v>
      </c>
      <c r="G123" s="97">
        <f t="shared" si="4"/>
        <v>984000000</v>
      </c>
    </row>
    <row r="124" spans="1:7">
      <c r="A124" s="11" t="s">
        <v>1149</v>
      </c>
      <c r="B124" s="38">
        <v>2020000</v>
      </c>
      <c r="C124" s="71" t="s">
        <v>1153</v>
      </c>
      <c r="D124" s="11">
        <v>0</v>
      </c>
      <c r="E124" s="97">
        <f t="shared" si="7"/>
        <v>329</v>
      </c>
      <c r="F124" s="97">
        <f t="shared" si="5"/>
        <v>1</v>
      </c>
      <c r="G124" s="97">
        <f t="shared" si="4"/>
        <v>662560000</v>
      </c>
    </row>
    <row r="125" spans="1:7">
      <c r="A125" s="11" t="s">
        <v>1149</v>
      </c>
      <c r="B125" s="38">
        <v>4975000</v>
      </c>
      <c r="C125" s="71" t="s">
        <v>1150</v>
      </c>
      <c r="D125" s="11">
        <v>1</v>
      </c>
      <c r="E125" s="97">
        <f t="shared" si="7"/>
        <v>329</v>
      </c>
      <c r="F125" s="97">
        <f t="shared" si="5"/>
        <v>1</v>
      </c>
      <c r="G125" s="97">
        <f t="shared" si="4"/>
        <v>1631800000</v>
      </c>
    </row>
    <row r="126" spans="1:7">
      <c r="A126" s="97" t="s">
        <v>1163</v>
      </c>
      <c r="B126" s="38">
        <v>-18500000</v>
      </c>
      <c r="C126" s="71" t="s">
        <v>1091</v>
      </c>
      <c r="D126" s="97">
        <v>0</v>
      </c>
      <c r="E126" s="97">
        <f t="shared" si="7"/>
        <v>328</v>
      </c>
      <c r="F126" s="97">
        <f t="shared" si="5"/>
        <v>0</v>
      </c>
      <c r="G126" s="97">
        <f t="shared" si="4"/>
        <v>-6068000000</v>
      </c>
    </row>
    <row r="127" spans="1:7">
      <c r="A127" s="97" t="s">
        <v>1163</v>
      </c>
      <c r="B127" s="38">
        <v>3000000</v>
      </c>
      <c r="C127" s="71" t="s">
        <v>1169</v>
      </c>
      <c r="D127" s="97">
        <v>0</v>
      </c>
      <c r="E127" s="97">
        <f t="shared" si="7"/>
        <v>328</v>
      </c>
      <c r="F127" s="97">
        <f t="shared" si="5"/>
        <v>1</v>
      </c>
      <c r="G127" s="97">
        <f t="shared" si="4"/>
        <v>981000000</v>
      </c>
    </row>
    <row r="128" spans="1:7">
      <c r="A128" s="97" t="s">
        <v>1163</v>
      </c>
      <c r="B128" s="38">
        <v>-3000900</v>
      </c>
      <c r="C128" s="71" t="s">
        <v>1175</v>
      </c>
      <c r="D128" s="97">
        <v>1</v>
      </c>
      <c r="E128" s="97">
        <f t="shared" si="7"/>
        <v>328</v>
      </c>
      <c r="F128" s="97">
        <f t="shared" si="5"/>
        <v>0</v>
      </c>
      <c r="G128" s="97">
        <f t="shared" si="4"/>
        <v>-984295200</v>
      </c>
    </row>
    <row r="129" spans="1:10">
      <c r="A129" s="97" t="s">
        <v>1172</v>
      </c>
      <c r="B129" s="38">
        <v>900000</v>
      </c>
      <c r="C129" s="71" t="s">
        <v>1174</v>
      </c>
      <c r="D129" s="97">
        <v>0</v>
      </c>
      <c r="E129" s="97">
        <f t="shared" si="7"/>
        <v>327</v>
      </c>
      <c r="F129" s="97">
        <f t="shared" si="5"/>
        <v>1</v>
      </c>
      <c r="G129" s="97">
        <f t="shared" si="4"/>
        <v>293400000</v>
      </c>
    </row>
    <row r="130" spans="1:10">
      <c r="A130" s="97" t="s">
        <v>1172</v>
      </c>
      <c r="B130" s="38">
        <v>-3000900</v>
      </c>
      <c r="C130" s="71" t="s">
        <v>1175</v>
      </c>
      <c r="D130" s="97">
        <v>1</v>
      </c>
      <c r="E130" s="97">
        <f t="shared" si="7"/>
        <v>327</v>
      </c>
      <c r="F130" s="97">
        <f t="shared" si="5"/>
        <v>0</v>
      </c>
      <c r="G130" s="97">
        <f t="shared" si="4"/>
        <v>-981294300</v>
      </c>
    </row>
    <row r="131" spans="1:10">
      <c r="A131" s="97" t="s">
        <v>1179</v>
      </c>
      <c r="B131" s="38">
        <v>-3000900</v>
      </c>
      <c r="C131" s="71" t="s">
        <v>1187</v>
      </c>
      <c r="D131" s="97">
        <v>2</v>
      </c>
      <c r="E131" s="97">
        <f t="shared" si="7"/>
        <v>326</v>
      </c>
      <c r="F131" s="97">
        <f t="shared" si="5"/>
        <v>0</v>
      </c>
      <c r="G131" s="97">
        <f t="shared" si="4"/>
        <v>-978293400</v>
      </c>
    </row>
    <row r="132" spans="1:10">
      <c r="A132" s="97" t="s">
        <v>1188</v>
      </c>
      <c r="B132" s="38">
        <v>-1000500</v>
      </c>
      <c r="C132" s="71" t="s">
        <v>1187</v>
      </c>
      <c r="D132" s="97">
        <v>0</v>
      </c>
      <c r="E132" s="97">
        <f t="shared" si="7"/>
        <v>324</v>
      </c>
      <c r="F132" s="97">
        <f t="shared" si="5"/>
        <v>0</v>
      </c>
      <c r="G132" s="97">
        <f t="shared" si="4"/>
        <v>-324162000</v>
      </c>
    </row>
    <row r="133" spans="1:10">
      <c r="A133" s="97" t="s">
        <v>1188</v>
      </c>
      <c r="B133" s="38">
        <v>100000</v>
      </c>
      <c r="C133" s="71" t="s">
        <v>1189</v>
      </c>
      <c r="D133" s="97">
        <v>2</v>
      </c>
      <c r="E133" s="97">
        <f t="shared" si="7"/>
        <v>324</v>
      </c>
      <c r="F133" s="97">
        <f t="shared" si="5"/>
        <v>1</v>
      </c>
      <c r="G133" s="97">
        <f t="shared" si="4"/>
        <v>32300000</v>
      </c>
    </row>
    <row r="134" spans="1:10">
      <c r="A134" s="97" t="s">
        <v>1191</v>
      </c>
      <c r="B134" s="38">
        <v>-200000</v>
      </c>
      <c r="C134" s="71" t="s">
        <v>1192</v>
      </c>
      <c r="D134" s="97">
        <v>1</v>
      </c>
      <c r="E134" s="97">
        <f t="shared" si="7"/>
        <v>322</v>
      </c>
      <c r="F134" s="97">
        <f t="shared" si="5"/>
        <v>0</v>
      </c>
      <c r="G134" s="97">
        <f t="shared" si="4"/>
        <v>-64400000</v>
      </c>
    </row>
    <row r="135" spans="1:10">
      <c r="A135" s="97" t="s">
        <v>1195</v>
      </c>
      <c r="B135" s="38">
        <v>-2200000</v>
      </c>
      <c r="C135" s="71" t="s">
        <v>1199</v>
      </c>
      <c r="D135" s="97">
        <v>3</v>
      </c>
      <c r="E135" s="97">
        <f t="shared" si="7"/>
        <v>321</v>
      </c>
      <c r="F135" s="97">
        <f t="shared" si="5"/>
        <v>0</v>
      </c>
      <c r="G135" s="97">
        <f t="shared" si="4"/>
        <v>-706200000</v>
      </c>
    </row>
    <row r="136" spans="1:10">
      <c r="A136" s="97" t="s">
        <v>1205</v>
      </c>
      <c r="B136" s="38">
        <v>-905500</v>
      </c>
      <c r="C136" s="71" t="s">
        <v>1206</v>
      </c>
      <c r="D136" s="97">
        <v>3</v>
      </c>
      <c r="E136" s="97">
        <f t="shared" si="7"/>
        <v>318</v>
      </c>
      <c r="F136" s="97">
        <f t="shared" si="5"/>
        <v>0</v>
      </c>
      <c r="G136" s="97">
        <f t="shared" si="4"/>
        <v>-287949000</v>
      </c>
    </row>
    <row r="137" spans="1:10">
      <c r="A137" s="97" t="s">
        <v>1215</v>
      </c>
      <c r="B137" s="38">
        <v>1500000</v>
      </c>
      <c r="C137" s="71" t="s">
        <v>1216</v>
      </c>
      <c r="D137" s="97">
        <v>1</v>
      </c>
      <c r="E137" s="97">
        <f t="shared" si="7"/>
        <v>315</v>
      </c>
      <c r="F137" s="97">
        <f t="shared" si="5"/>
        <v>1</v>
      </c>
      <c r="G137" s="97">
        <f t="shared" si="4"/>
        <v>471000000</v>
      </c>
    </row>
    <row r="138" spans="1:10">
      <c r="A138" s="97" t="s">
        <v>3639</v>
      </c>
      <c r="B138" s="38">
        <v>-1000500</v>
      </c>
      <c r="C138" s="71" t="s">
        <v>1202</v>
      </c>
      <c r="D138" s="97">
        <v>0</v>
      </c>
      <c r="E138" s="97">
        <f t="shared" si="7"/>
        <v>314</v>
      </c>
      <c r="F138" s="97">
        <f t="shared" si="5"/>
        <v>0</v>
      </c>
      <c r="G138" s="97">
        <f t="shared" si="4"/>
        <v>-314157000</v>
      </c>
    </row>
    <row r="139" spans="1:10">
      <c r="A139" s="97" t="s">
        <v>3639</v>
      </c>
      <c r="B139" s="38">
        <v>-365000</v>
      </c>
      <c r="C139" s="71" t="s">
        <v>3641</v>
      </c>
      <c r="D139" s="97">
        <v>2</v>
      </c>
      <c r="E139" s="97">
        <f t="shared" si="7"/>
        <v>314</v>
      </c>
      <c r="F139" s="97">
        <f t="shared" si="5"/>
        <v>0</v>
      </c>
      <c r="G139" s="97">
        <f t="shared" si="4"/>
        <v>-114610000</v>
      </c>
    </row>
    <row r="140" spans="1:10">
      <c r="A140" s="97" t="s">
        <v>3644</v>
      </c>
      <c r="B140" s="38">
        <v>23000000</v>
      </c>
      <c r="C140" s="71" t="s">
        <v>3645</v>
      </c>
      <c r="D140" s="97">
        <v>1</v>
      </c>
      <c r="E140" s="97">
        <f t="shared" si="7"/>
        <v>312</v>
      </c>
      <c r="F140" s="97">
        <f t="shared" si="5"/>
        <v>1</v>
      </c>
      <c r="G140" s="97">
        <f t="shared" si="4"/>
        <v>7153000000</v>
      </c>
      <c r="J140" t="s">
        <v>25</v>
      </c>
    </row>
    <row r="141" spans="1:10">
      <c r="A141" s="97" t="s">
        <v>3647</v>
      </c>
      <c r="B141" s="38">
        <v>1800000</v>
      </c>
      <c r="C141" s="71" t="s">
        <v>3645</v>
      </c>
      <c r="D141" s="97">
        <v>2</v>
      </c>
      <c r="E141" s="97">
        <f t="shared" si="7"/>
        <v>311</v>
      </c>
      <c r="F141" s="97">
        <f t="shared" si="5"/>
        <v>1</v>
      </c>
      <c r="G141" s="97">
        <f t="shared" si="4"/>
        <v>558000000</v>
      </c>
    </row>
    <row r="142" spans="1:10">
      <c r="A142" s="97" t="s">
        <v>3660</v>
      </c>
      <c r="B142" s="38">
        <v>200000</v>
      </c>
      <c r="C142" s="71" t="s">
        <v>3645</v>
      </c>
      <c r="D142" s="97"/>
      <c r="E142" s="97">
        <f t="shared" si="7"/>
        <v>309</v>
      </c>
      <c r="F142" s="97">
        <f t="shared" si="5"/>
        <v>1</v>
      </c>
      <c r="G142" s="97">
        <f t="shared" si="4"/>
        <v>61600000</v>
      </c>
    </row>
    <row r="143" spans="1:10">
      <c r="A143" s="97" t="s">
        <v>3648</v>
      </c>
      <c r="B143" s="38">
        <v>-3200900</v>
      </c>
      <c r="C143" s="71" t="s">
        <v>3649</v>
      </c>
      <c r="D143" s="97">
        <v>1</v>
      </c>
      <c r="E143" s="97">
        <f t="shared" si="7"/>
        <v>309</v>
      </c>
      <c r="F143" s="97">
        <f t="shared" si="5"/>
        <v>0</v>
      </c>
      <c r="G143" s="97">
        <f t="shared" si="4"/>
        <v>-989078100</v>
      </c>
    </row>
    <row r="144" spans="1:10">
      <c r="A144" s="97" t="s">
        <v>3652</v>
      </c>
      <c r="B144" s="38">
        <v>-3020900</v>
      </c>
      <c r="C144" s="71" t="s">
        <v>3653</v>
      </c>
      <c r="D144" s="97">
        <v>1</v>
      </c>
      <c r="E144" s="97">
        <f t="shared" si="7"/>
        <v>308</v>
      </c>
      <c r="F144" s="97">
        <f t="shared" si="5"/>
        <v>0</v>
      </c>
      <c r="G144" s="97">
        <f t="shared" si="4"/>
        <v>-930437200</v>
      </c>
    </row>
    <row r="145" spans="1:10">
      <c r="A145" s="97" t="s">
        <v>3654</v>
      </c>
      <c r="B145" s="38">
        <v>72533</v>
      </c>
      <c r="C145" s="71" t="s">
        <v>3657</v>
      </c>
      <c r="D145" s="97">
        <v>3</v>
      </c>
      <c r="E145" s="97">
        <f t="shared" si="7"/>
        <v>307</v>
      </c>
      <c r="F145" s="97">
        <f t="shared" si="5"/>
        <v>1</v>
      </c>
      <c r="G145" s="97">
        <f t="shared" si="4"/>
        <v>22195098</v>
      </c>
    </row>
    <row r="146" spans="1:10">
      <c r="A146" s="97" t="s">
        <v>3661</v>
      </c>
      <c r="B146" s="38">
        <v>-3000900</v>
      </c>
      <c r="C146" s="71" t="s">
        <v>1187</v>
      </c>
      <c r="D146" s="97">
        <v>1</v>
      </c>
      <c r="E146" s="97">
        <f t="shared" si="7"/>
        <v>304</v>
      </c>
      <c r="F146" s="97">
        <f t="shared" si="5"/>
        <v>0</v>
      </c>
      <c r="G146" s="97">
        <f t="shared" si="4"/>
        <v>-912273600</v>
      </c>
    </row>
    <row r="147" spans="1:10">
      <c r="A147" s="97" t="s">
        <v>3677</v>
      </c>
      <c r="B147" s="38">
        <v>-3001400</v>
      </c>
      <c r="C147" s="71" t="s">
        <v>3679</v>
      </c>
      <c r="D147" s="97">
        <v>0</v>
      </c>
      <c r="E147" s="97">
        <f t="shared" si="7"/>
        <v>303</v>
      </c>
      <c r="F147" s="97">
        <f t="shared" si="5"/>
        <v>0</v>
      </c>
      <c r="G147" s="97">
        <f t="shared" si="4"/>
        <v>-909424200</v>
      </c>
    </row>
    <row r="148" spans="1:10">
      <c r="A148" s="97" t="s">
        <v>3677</v>
      </c>
      <c r="B148" s="38">
        <v>-216910</v>
      </c>
      <c r="C148" s="71" t="s">
        <v>3682</v>
      </c>
      <c r="D148" s="97">
        <v>1</v>
      </c>
      <c r="E148" s="97">
        <f t="shared" si="7"/>
        <v>303</v>
      </c>
      <c r="F148" s="97">
        <f t="shared" si="5"/>
        <v>0</v>
      </c>
      <c r="G148" s="97">
        <f t="shared" si="4"/>
        <v>-65723730</v>
      </c>
    </row>
    <row r="149" spans="1:10">
      <c r="A149" s="97" t="s">
        <v>3683</v>
      </c>
      <c r="B149" s="38">
        <v>-3000900</v>
      </c>
      <c r="C149" s="71" t="s">
        <v>461</v>
      </c>
      <c r="D149" s="97">
        <v>1</v>
      </c>
      <c r="E149" s="97">
        <f t="shared" si="7"/>
        <v>302</v>
      </c>
      <c r="F149" s="97">
        <f t="shared" si="5"/>
        <v>0</v>
      </c>
      <c r="G149" s="97">
        <f t="shared" si="4"/>
        <v>-906271800</v>
      </c>
    </row>
    <row r="150" spans="1:10">
      <c r="A150" s="97" t="s">
        <v>3696</v>
      </c>
      <c r="B150" s="38">
        <v>5900000</v>
      </c>
      <c r="C150" s="71" t="s">
        <v>3697</v>
      </c>
      <c r="D150" s="97">
        <v>13</v>
      </c>
      <c r="E150" s="97">
        <f t="shared" si="7"/>
        <v>301</v>
      </c>
      <c r="F150" s="97">
        <f t="shared" si="5"/>
        <v>1</v>
      </c>
      <c r="G150" s="97">
        <f t="shared" si="4"/>
        <v>1770000000</v>
      </c>
      <c r="J150" t="s">
        <v>25</v>
      </c>
    </row>
    <row r="151" spans="1:10">
      <c r="A151" s="97" t="s">
        <v>3750</v>
      </c>
      <c r="B151" s="38">
        <v>17000000</v>
      </c>
      <c r="C151" s="71" t="s">
        <v>3751</v>
      </c>
      <c r="D151" s="97">
        <v>0</v>
      </c>
      <c r="E151" s="97">
        <f t="shared" si="7"/>
        <v>288</v>
      </c>
      <c r="F151" s="97">
        <f t="shared" si="5"/>
        <v>1</v>
      </c>
      <c r="G151" s="97">
        <f t="shared" si="4"/>
        <v>4879000000</v>
      </c>
    </row>
    <row r="152" spans="1:10">
      <c r="A152" s="97" t="s">
        <v>3750</v>
      </c>
      <c r="B152" s="38">
        <v>-1000</v>
      </c>
      <c r="C152" s="71" t="s">
        <v>3752</v>
      </c>
      <c r="D152" s="97">
        <v>1</v>
      </c>
      <c r="E152" s="97">
        <f t="shared" si="7"/>
        <v>288</v>
      </c>
      <c r="F152" s="97">
        <f t="shared" si="5"/>
        <v>0</v>
      </c>
      <c r="G152" s="97">
        <f t="shared" si="4"/>
        <v>-288000</v>
      </c>
    </row>
    <row r="153" spans="1:10">
      <c r="A153" s="97" t="s">
        <v>3754</v>
      </c>
      <c r="B153" s="38">
        <v>3000000</v>
      </c>
      <c r="C153" s="71" t="s">
        <v>3757</v>
      </c>
      <c r="D153" s="97">
        <v>0</v>
      </c>
      <c r="E153" s="97">
        <f t="shared" si="7"/>
        <v>287</v>
      </c>
      <c r="F153" s="97">
        <f t="shared" si="5"/>
        <v>1</v>
      </c>
      <c r="G153" s="97">
        <f t="shared" si="4"/>
        <v>858000000</v>
      </c>
    </row>
    <row r="154" spans="1:10">
      <c r="A154" s="97" t="s">
        <v>3754</v>
      </c>
      <c r="B154" s="38">
        <v>-18011000</v>
      </c>
      <c r="C154" s="71" t="s">
        <v>3759</v>
      </c>
      <c r="D154" s="97">
        <v>0</v>
      </c>
      <c r="E154" s="97">
        <f t="shared" si="7"/>
        <v>287</v>
      </c>
      <c r="F154" s="97">
        <f t="shared" si="5"/>
        <v>0</v>
      </c>
      <c r="G154" s="97">
        <f t="shared" si="4"/>
        <v>-5169157000</v>
      </c>
    </row>
    <row r="155" spans="1:10">
      <c r="A155" s="97" t="s">
        <v>3754</v>
      </c>
      <c r="B155" s="38">
        <v>-15600000</v>
      </c>
      <c r="C155" s="71" t="s">
        <v>3758</v>
      </c>
      <c r="D155" s="97">
        <v>0</v>
      </c>
      <c r="E155" s="97">
        <f t="shared" si="7"/>
        <v>287</v>
      </c>
      <c r="F155" s="97">
        <f t="shared" si="5"/>
        <v>0</v>
      </c>
      <c r="G155" s="97">
        <f t="shared" si="4"/>
        <v>-4477200000</v>
      </c>
    </row>
    <row r="156" spans="1:10">
      <c r="A156" s="97" t="s">
        <v>3754</v>
      </c>
      <c r="B156" s="38">
        <v>-1400500</v>
      </c>
      <c r="C156" s="71" t="s">
        <v>3760</v>
      </c>
      <c r="D156" s="97">
        <v>0</v>
      </c>
      <c r="E156" s="97">
        <f t="shared" si="7"/>
        <v>287</v>
      </c>
      <c r="F156" s="97">
        <f t="shared" si="5"/>
        <v>0</v>
      </c>
      <c r="G156" s="97">
        <f t="shared" si="4"/>
        <v>-401943500</v>
      </c>
    </row>
    <row r="157" spans="1:10">
      <c r="A157" s="97" t="s">
        <v>3754</v>
      </c>
      <c r="B157" s="38">
        <v>-5000</v>
      </c>
      <c r="C157" s="71" t="s">
        <v>499</v>
      </c>
      <c r="D157" s="97">
        <v>5</v>
      </c>
      <c r="E157" s="97">
        <f t="shared" si="7"/>
        <v>287</v>
      </c>
      <c r="F157" s="97">
        <f t="shared" si="5"/>
        <v>0</v>
      </c>
      <c r="G157" s="97">
        <f t="shared" si="4"/>
        <v>-1435000</v>
      </c>
    </row>
    <row r="158" spans="1:10">
      <c r="A158" s="97" t="s">
        <v>3762</v>
      </c>
      <c r="B158" s="38">
        <v>3000000</v>
      </c>
      <c r="C158" s="71" t="s">
        <v>3763</v>
      </c>
      <c r="D158" s="97">
        <v>1</v>
      </c>
      <c r="E158" s="97">
        <f t="shared" si="7"/>
        <v>282</v>
      </c>
      <c r="F158" s="97">
        <f t="shared" si="5"/>
        <v>1</v>
      </c>
      <c r="G158" s="97">
        <f t="shared" si="4"/>
        <v>843000000</v>
      </c>
    </row>
    <row r="159" spans="1:10">
      <c r="A159" s="97" t="s">
        <v>3769</v>
      </c>
      <c r="B159" s="38">
        <v>1000000</v>
      </c>
      <c r="C159" s="71" t="s">
        <v>3645</v>
      </c>
      <c r="D159" s="97">
        <v>1</v>
      </c>
      <c r="E159" s="97">
        <f t="shared" si="7"/>
        <v>281</v>
      </c>
      <c r="F159" s="97">
        <f t="shared" si="5"/>
        <v>1</v>
      </c>
      <c r="G159" s="97">
        <f t="shared" si="4"/>
        <v>280000000</v>
      </c>
    </row>
    <row r="160" spans="1:10">
      <c r="A160" s="97" t="s">
        <v>3768</v>
      </c>
      <c r="B160" s="38">
        <v>-4500000</v>
      </c>
      <c r="C160" s="71" t="s">
        <v>3770</v>
      </c>
      <c r="D160" s="97">
        <v>0</v>
      </c>
      <c r="E160" s="97">
        <f t="shared" si="7"/>
        <v>280</v>
      </c>
      <c r="F160" s="97">
        <f t="shared" si="5"/>
        <v>0</v>
      </c>
      <c r="G160" s="97">
        <f t="shared" si="4"/>
        <v>-1260000000</v>
      </c>
    </row>
    <row r="161" spans="1:7">
      <c r="A161" s="97" t="s">
        <v>3768</v>
      </c>
      <c r="B161" s="38">
        <v>3000000</v>
      </c>
      <c r="C161" s="71" t="s">
        <v>3771</v>
      </c>
      <c r="D161" s="97">
        <v>0</v>
      </c>
      <c r="E161" s="97">
        <f t="shared" si="7"/>
        <v>280</v>
      </c>
      <c r="F161" s="97">
        <f t="shared" si="5"/>
        <v>1</v>
      </c>
      <c r="G161" s="97">
        <f t="shared" si="4"/>
        <v>837000000</v>
      </c>
    </row>
    <row r="162" spans="1:7">
      <c r="A162" s="97" t="s">
        <v>3768</v>
      </c>
      <c r="B162" s="38">
        <v>-3000000</v>
      </c>
      <c r="C162" s="71" t="s">
        <v>3770</v>
      </c>
      <c r="D162" s="97">
        <v>1</v>
      </c>
      <c r="E162" s="97">
        <f t="shared" si="7"/>
        <v>280</v>
      </c>
      <c r="F162" s="97">
        <f t="shared" si="5"/>
        <v>0</v>
      </c>
      <c r="G162" s="97">
        <f t="shared" si="4"/>
        <v>-840000000</v>
      </c>
    </row>
    <row r="163" spans="1:7">
      <c r="A163" s="97" t="s">
        <v>3786</v>
      </c>
      <c r="B163" s="38">
        <v>93165</v>
      </c>
      <c r="C163" s="71" t="s">
        <v>579</v>
      </c>
      <c r="D163" s="97">
        <v>6</v>
      </c>
      <c r="E163" s="97">
        <f t="shared" si="7"/>
        <v>279</v>
      </c>
      <c r="F163" s="97">
        <f t="shared" si="5"/>
        <v>1</v>
      </c>
      <c r="G163" s="97">
        <f t="shared" si="4"/>
        <v>25899870</v>
      </c>
    </row>
    <row r="164" spans="1:7">
      <c r="A164" s="37" t="s">
        <v>3783</v>
      </c>
      <c r="B164" s="38">
        <v>1160000</v>
      </c>
      <c r="C164" s="71" t="s">
        <v>3790</v>
      </c>
      <c r="D164" s="97">
        <v>1</v>
      </c>
      <c r="E164" s="97">
        <f t="shared" si="7"/>
        <v>273</v>
      </c>
      <c r="F164" s="97">
        <f t="shared" si="5"/>
        <v>1</v>
      </c>
      <c r="G164" s="97">
        <f t="shared" si="4"/>
        <v>315520000</v>
      </c>
    </row>
    <row r="165" spans="1:7">
      <c r="A165" s="57" t="s">
        <v>3787</v>
      </c>
      <c r="B165" s="38">
        <v>-526350</v>
      </c>
      <c r="C165" s="71" t="s">
        <v>3788</v>
      </c>
      <c r="D165" s="97">
        <v>3</v>
      </c>
      <c r="E165" s="97">
        <f t="shared" si="7"/>
        <v>272</v>
      </c>
      <c r="F165" s="97">
        <f t="shared" si="5"/>
        <v>0</v>
      </c>
      <c r="G165" s="97">
        <f t="shared" si="4"/>
        <v>-143167200</v>
      </c>
    </row>
    <row r="166" spans="1:7">
      <c r="A166" s="57">
        <v>35707</v>
      </c>
      <c r="B166" s="38">
        <v>-200000</v>
      </c>
      <c r="C166" s="71" t="s">
        <v>3861</v>
      </c>
      <c r="D166" s="97">
        <v>2</v>
      </c>
      <c r="E166" s="97">
        <f t="shared" si="7"/>
        <v>269</v>
      </c>
      <c r="F166" s="97">
        <f t="shared" si="5"/>
        <v>0</v>
      </c>
      <c r="G166" s="97">
        <f t="shared" si="4"/>
        <v>-53800000</v>
      </c>
    </row>
    <row r="167" spans="1:7">
      <c r="A167" s="97" t="s">
        <v>3865</v>
      </c>
      <c r="B167" s="38">
        <v>785000</v>
      </c>
      <c r="C167" s="71" t="s">
        <v>3868</v>
      </c>
      <c r="D167" s="97">
        <v>0</v>
      </c>
      <c r="E167" s="97">
        <f t="shared" si="7"/>
        <v>267</v>
      </c>
      <c r="F167" s="97">
        <f t="shared" si="5"/>
        <v>1</v>
      </c>
      <c r="G167" s="97">
        <f t="shared" si="4"/>
        <v>208810000</v>
      </c>
    </row>
    <row r="168" spans="1:7">
      <c r="A168" s="97" t="s">
        <v>3865</v>
      </c>
      <c r="B168" s="38">
        <v>-200000</v>
      </c>
      <c r="C168" s="71" t="s">
        <v>158</v>
      </c>
      <c r="D168" s="97">
        <v>1</v>
      </c>
      <c r="E168" s="97">
        <f t="shared" si="7"/>
        <v>267</v>
      </c>
      <c r="F168" s="97">
        <f t="shared" si="5"/>
        <v>0</v>
      </c>
      <c r="G168" s="97">
        <f t="shared" si="4"/>
        <v>-53400000</v>
      </c>
    </row>
    <row r="169" spans="1:7">
      <c r="A169" s="97" t="s">
        <v>3869</v>
      </c>
      <c r="B169" s="38">
        <v>-450000</v>
      </c>
      <c r="C169" s="71" t="s">
        <v>1091</v>
      </c>
      <c r="D169" s="97">
        <v>0</v>
      </c>
      <c r="E169" s="97">
        <f t="shared" si="7"/>
        <v>266</v>
      </c>
      <c r="F169" s="97">
        <f t="shared" si="5"/>
        <v>0</v>
      </c>
      <c r="G169" s="97">
        <f t="shared" si="4"/>
        <v>-119700000</v>
      </c>
    </row>
    <row r="170" spans="1:7">
      <c r="A170" s="97" t="s">
        <v>3869</v>
      </c>
      <c r="B170" s="38">
        <v>3000000</v>
      </c>
      <c r="C170" s="71" t="s">
        <v>3873</v>
      </c>
      <c r="D170" s="97">
        <v>0</v>
      </c>
      <c r="E170" s="97">
        <f t="shared" ref="E170:E180" si="8">D170+E171</f>
        <v>266</v>
      </c>
      <c r="F170" s="97">
        <f t="shared" si="5"/>
        <v>1</v>
      </c>
      <c r="G170" s="97">
        <f t="shared" si="4"/>
        <v>795000000</v>
      </c>
    </row>
    <row r="171" spans="1:7">
      <c r="A171" s="97" t="s">
        <v>3869</v>
      </c>
      <c r="B171" s="38">
        <v>-35000</v>
      </c>
      <c r="C171" s="71" t="s">
        <v>3876</v>
      </c>
      <c r="D171" s="97">
        <v>1</v>
      </c>
      <c r="E171" s="97">
        <f t="shared" si="8"/>
        <v>266</v>
      </c>
      <c r="F171" s="97">
        <f t="shared" si="5"/>
        <v>0</v>
      </c>
      <c r="G171" s="97">
        <f t="shared" si="4"/>
        <v>-9310000</v>
      </c>
    </row>
    <row r="172" spans="1:7">
      <c r="A172" s="97" t="s">
        <v>3877</v>
      </c>
      <c r="B172" s="38">
        <v>2500000</v>
      </c>
      <c r="C172" s="71" t="s">
        <v>3873</v>
      </c>
      <c r="D172" s="97">
        <v>1</v>
      </c>
      <c r="E172" s="97">
        <f t="shared" si="8"/>
        <v>265</v>
      </c>
      <c r="F172" s="97">
        <f t="shared" si="5"/>
        <v>1</v>
      </c>
      <c r="G172" s="97">
        <f t="shared" si="4"/>
        <v>660000000</v>
      </c>
    </row>
    <row r="173" spans="1:7">
      <c r="A173" s="97" t="s">
        <v>3881</v>
      </c>
      <c r="B173" s="38">
        <v>-130640</v>
      </c>
      <c r="C173" s="71" t="s">
        <v>3882</v>
      </c>
      <c r="D173" s="97">
        <v>5</v>
      </c>
      <c r="E173" s="97">
        <f t="shared" si="8"/>
        <v>264</v>
      </c>
      <c r="F173" s="97">
        <f t="shared" si="5"/>
        <v>0</v>
      </c>
      <c r="G173" s="97">
        <f t="shared" si="4"/>
        <v>-34488960</v>
      </c>
    </row>
    <row r="174" spans="1:7">
      <c r="A174" s="97" t="s">
        <v>3894</v>
      </c>
      <c r="B174" s="38">
        <v>-4800000</v>
      </c>
      <c r="C174" s="71" t="s">
        <v>3895</v>
      </c>
      <c r="D174" s="97">
        <v>0</v>
      </c>
      <c r="E174" s="97">
        <f t="shared" si="8"/>
        <v>259</v>
      </c>
      <c r="F174" s="97">
        <f t="shared" si="5"/>
        <v>0</v>
      </c>
      <c r="G174" s="97">
        <f t="shared" si="4"/>
        <v>-1243200000</v>
      </c>
    </row>
    <row r="175" spans="1:7">
      <c r="A175" s="97" t="s">
        <v>3894</v>
      </c>
      <c r="B175" s="38">
        <v>-320000</v>
      </c>
      <c r="C175" s="71" t="s">
        <v>3896</v>
      </c>
      <c r="D175" s="97">
        <v>0</v>
      </c>
      <c r="E175" s="97">
        <f t="shared" si="8"/>
        <v>259</v>
      </c>
      <c r="F175" s="97">
        <f t="shared" si="5"/>
        <v>0</v>
      </c>
      <c r="G175" s="97">
        <f t="shared" si="4"/>
        <v>-82880000</v>
      </c>
    </row>
    <row r="176" spans="1:7">
      <c r="A176" s="97" t="s">
        <v>3894</v>
      </c>
      <c r="B176" s="38">
        <v>-493437</v>
      </c>
      <c r="C176" s="71" t="s">
        <v>602</v>
      </c>
      <c r="D176" s="97">
        <v>10</v>
      </c>
      <c r="E176" s="97">
        <f t="shared" si="8"/>
        <v>259</v>
      </c>
      <c r="F176" s="97">
        <f t="shared" si="5"/>
        <v>0</v>
      </c>
      <c r="G176" s="97">
        <f t="shared" si="4"/>
        <v>-127800183</v>
      </c>
    </row>
    <row r="177" spans="1:7">
      <c r="A177" s="97" t="s">
        <v>3931</v>
      </c>
      <c r="B177" s="38">
        <v>-80000</v>
      </c>
      <c r="C177" s="71" t="s">
        <v>750</v>
      </c>
      <c r="D177" s="97">
        <v>0</v>
      </c>
      <c r="E177" s="97">
        <f t="shared" si="8"/>
        <v>249</v>
      </c>
      <c r="F177" s="97">
        <f t="shared" si="5"/>
        <v>0</v>
      </c>
      <c r="G177" s="97">
        <f t="shared" si="4"/>
        <v>-19920000</v>
      </c>
    </row>
    <row r="178" spans="1:7">
      <c r="A178" s="97" t="s">
        <v>3931</v>
      </c>
      <c r="B178" s="38">
        <v>-100000</v>
      </c>
      <c r="C178" s="71" t="s">
        <v>3932</v>
      </c>
      <c r="D178" s="97">
        <v>1</v>
      </c>
      <c r="E178" s="97">
        <f t="shared" si="8"/>
        <v>249</v>
      </c>
      <c r="F178" s="97">
        <f t="shared" si="5"/>
        <v>0</v>
      </c>
      <c r="G178" s="97">
        <f t="shared" si="4"/>
        <v>-24900000</v>
      </c>
    </row>
    <row r="179" spans="1:7">
      <c r="A179" s="97" t="s">
        <v>3936</v>
      </c>
      <c r="B179" s="38">
        <v>14371</v>
      </c>
      <c r="C179" s="71" t="s">
        <v>661</v>
      </c>
      <c r="D179" s="97">
        <v>2</v>
      </c>
      <c r="E179" s="97">
        <f t="shared" si="8"/>
        <v>248</v>
      </c>
      <c r="F179" s="97">
        <f t="shared" si="5"/>
        <v>1</v>
      </c>
      <c r="G179" s="97">
        <f t="shared" si="4"/>
        <v>3549637</v>
      </c>
    </row>
    <row r="180" spans="1:7">
      <c r="A180" s="97" t="s">
        <v>3939</v>
      </c>
      <c r="B180" s="38">
        <v>-39030</v>
      </c>
      <c r="C180" s="71" t="s">
        <v>3940</v>
      </c>
      <c r="D180" s="97">
        <v>2</v>
      </c>
      <c r="E180" s="97">
        <f t="shared" si="8"/>
        <v>246</v>
      </c>
      <c r="F180" s="97">
        <f t="shared" si="5"/>
        <v>0</v>
      </c>
      <c r="G180" s="97">
        <f t="shared" si="4"/>
        <v>-9601380</v>
      </c>
    </row>
    <row r="181" spans="1:7">
      <c r="A181" s="97" t="s">
        <v>3945</v>
      </c>
      <c r="B181" s="38">
        <v>-32000</v>
      </c>
      <c r="C181" s="71" t="s">
        <v>3946</v>
      </c>
      <c r="D181" s="97">
        <v>2</v>
      </c>
      <c r="E181" s="97">
        <f t="shared" ref="E181:E195" si="9">D181+E182</f>
        <v>244</v>
      </c>
      <c r="F181" s="97">
        <f t="shared" si="5"/>
        <v>0</v>
      </c>
      <c r="G181" s="97">
        <f t="shared" si="4"/>
        <v>-7808000</v>
      </c>
    </row>
    <row r="182" spans="1:7">
      <c r="A182" s="97" t="s">
        <v>3949</v>
      </c>
      <c r="B182" s="38">
        <v>-100000</v>
      </c>
      <c r="C182" s="71" t="s">
        <v>158</v>
      </c>
      <c r="D182" s="97">
        <v>1</v>
      </c>
      <c r="E182" s="97">
        <f t="shared" si="9"/>
        <v>242</v>
      </c>
      <c r="F182" s="97">
        <f t="shared" si="5"/>
        <v>0</v>
      </c>
      <c r="G182" s="97">
        <f t="shared" si="4"/>
        <v>-24200000</v>
      </c>
    </row>
    <row r="183" spans="1:7">
      <c r="A183" s="97" t="s">
        <v>3951</v>
      </c>
      <c r="B183" s="38">
        <v>-20000</v>
      </c>
      <c r="C183" s="71" t="s">
        <v>3952</v>
      </c>
      <c r="D183" s="97">
        <v>1</v>
      </c>
      <c r="E183" s="97">
        <f t="shared" si="9"/>
        <v>241</v>
      </c>
      <c r="F183" s="97">
        <f t="shared" si="5"/>
        <v>0</v>
      </c>
      <c r="G183" s="97">
        <f t="shared" si="4"/>
        <v>-4820000</v>
      </c>
    </row>
    <row r="184" spans="1:7">
      <c r="A184" s="97" t="s">
        <v>973</v>
      </c>
      <c r="B184" s="38">
        <v>-8185</v>
      </c>
      <c r="C184" s="71" t="s">
        <v>3955</v>
      </c>
      <c r="D184" s="97">
        <v>2</v>
      </c>
      <c r="E184" s="97">
        <f t="shared" si="9"/>
        <v>240</v>
      </c>
      <c r="F184" s="97">
        <f t="shared" si="5"/>
        <v>0</v>
      </c>
      <c r="G184" s="97">
        <f t="shared" si="4"/>
        <v>-1964400</v>
      </c>
    </row>
    <row r="185" spans="1:7">
      <c r="A185" s="97" t="s">
        <v>3959</v>
      </c>
      <c r="B185" s="38">
        <v>-60100</v>
      </c>
      <c r="C185" s="71" t="s">
        <v>3960</v>
      </c>
      <c r="D185" s="97">
        <v>0</v>
      </c>
      <c r="E185" s="97">
        <f t="shared" si="9"/>
        <v>238</v>
      </c>
      <c r="F185" s="97">
        <f t="shared" si="5"/>
        <v>0</v>
      </c>
      <c r="G185" s="97">
        <f t="shared" si="4"/>
        <v>-14303800</v>
      </c>
    </row>
    <row r="186" spans="1:7">
      <c r="A186" s="97" t="s">
        <v>3959</v>
      </c>
      <c r="B186" s="38">
        <v>-32300</v>
      </c>
      <c r="C186" s="71" t="s">
        <v>647</v>
      </c>
      <c r="D186" s="97">
        <v>4</v>
      </c>
      <c r="E186" s="97">
        <f t="shared" si="9"/>
        <v>238</v>
      </c>
      <c r="F186" s="97">
        <f t="shared" si="5"/>
        <v>0</v>
      </c>
      <c r="G186" s="97">
        <f t="shared" si="4"/>
        <v>-7687400</v>
      </c>
    </row>
    <row r="187" spans="1:7">
      <c r="A187" s="97" t="s">
        <v>3975</v>
      </c>
      <c r="B187" s="38">
        <v>-32725</v>
      </c>
      <c r="C187" s="71" t="s">
        <v>647</v>
      </c>
      <c r="D187" s="97">
        <v>5</v>
      </c>
      <c r="E187" s="97">
        <f t="shared" si="9"/>
        <v>234</v>
      </c>
      <c r="F187" s="97">
        <f t="shared" si="5"/>
        <v>0</v>
      </c>
      <c r="G187" s="97">
        <f t="shared" si="4"/>
        <v>-7657650</v>
      </c>
    </row>
    <row r="188" spans="1:7">
      <c r="A188" s="97" t="s">
        <v>3984</v>
      </c>
      <c r="B188" s="38">
        <v>-16000</v>
      </c>
      <c r="C188" s="71" t="s">
        <v>3985</v>
      </c>
      <c r="D188" s="97">
        <v>1</v>
      </c>
      <c r="E188" s="97">
        <f t="shared" si="9"/>
        <v>229</v>
      </c>
      <c r="F188" s="97">
        <f t="shared" si="5"/>
        <v>0</v>
      </c>
      <c r="G188" s="97">
        <f t="shared" si="4"/>
        <v>-3664000</v>
      </c>
    </row>
    <row r="189" spans="1:7">
      <c r="A189" s="97" t="s">
        <v>3987</v>
      </c>
      <c r="B189" s="38">
        <v>-16932</v>
      </c>
      <c r="C189" s="71" t="s">
        <v>647</v>
      </c>
      <c r="D189" s="97">
        <v>3</v>
      </c>
      <c r="E189" s="97">
        <f t="shared" si="9"/>
        <v>228</v>
      </c>
      <c r="F189" s="97">
        <f t="shared" si="5"/>
        <v>0</v>
      </c>
      <c r="G189" s="97">
        <f t="shared" si="4"/>
        <v>-3860496</v>
      </c>
    </row>
    <row r="190" spans="1:7">
      <c r="A190" s="97" t="s">
        <v>3993</v>
      </c>
      <c r="B190" s="38">
        <v>-10350</v>
      </c>
      <c r="C190" s="71" t="s">
        <v>3994</v>
      </c>
      <c r="D190" s="97">
        <v>53</v>
      </c>
      <c r="E190" s="97">
        <f t="shared" si="9"/>
        <v>225</v>
      </c>
      <c r="F190" s="97">
        <f t="shared" si="5"/>
        <v>0</v>
      </c>
      <c r="G190" s="97">
        <f t="shared" si="4"/>
        <v>-2328750</v>
      </c>
    </row>
    <row r="191" spans="1:7">
      <c r="A191" s="97" t="s">
        <v>4220</v>
      </c>
      <c r="B191" s="38">
        <v>-5000</v>
      </c>
      <c r="C191" s="71" t="s">
        <v>4221</v>
      </c>
      <c r="D191" s="97">
        <v>84</v>
      </c>
      <c r="E191" s="97">
        <f t="shared" si="9"/>
        <v>172</v>
      </c>
      <c r="F191" s="97">
        <f t="shared" si="5"/>
        <v>0</v>
      </c>
      <c r="G191" s="97">
        <f t="shared" si="4"/>
        <v>-860000</v>
      </c>
    </row>
    <row r="192" spans="1:7">
      <c r="A192" s="97" t="s">
        <v>4511</v>
      </c>
      <c r="B192" s="38">
        <v>100000</v>
      </c>
      <c r="C192" s="71" t="s">
        <v>3873</v>
      </c>
      <c r="D192" s="97">
        <v>87</v>
      </c>
      <c r="E192" s="97">
        <f t="shared" si="9"/>
        <v>88</v>
      </c>
      <c r="F192" s="97">
        <f t="shared" si="5"/>
        <v>1</v>
      </c>
      <c r="G192" s="97">
        <f t="shared" si="4"/>
        <v>8700000</v>
      </c>
    </row>
    <row r="193" spans="1:7">
      <c r="A193" s="11" t="s">
        <v>4751</v>
      </c>
      <c r="B193" s="38">
        <v>-25000</v>
      </c>
      <c r="C193" s="11" t="s">
        <v>4758</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837</v>
      </c>
    </row>
    <row r="204" spans="1:7">
      <c r="B204" s="7"/>
    </row>
    <row r="206" spans="1:7">
      <c r="B206" s="7"/>
    </row>
    <row r="207" spans="1:7">
      <c r="G207" t="s">
        <v>568</v>
      </c>
    </row>
    <row r="208" spans="1:7">
      <c r="G208" s="38">
        <v>13400000000</v>
      </c>
    </row>
  </sheetData>
  <hyperlinks>
    <hyperlink ref="K33" r:id="rId1" display="https://tegrahost.com/" xr:uid="{00000000-0004-0000-0B00-000000000000}"/>
    <hyperlink ref="L34" r:id="rId2" xr:uid="{00000000-0004-0000-0B00-000001000000}"/>
  </hyperlinks>
  <pageMargins left="0.7" right="0.7" top="0.75" bottom="0.75" header="0.3" footer="0.3"/>
  <pageSetup orientation="portrait"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8"/>
  <sheetViews>
    <sheetView topLeftCell="A25" workbookViewId="0">
      <selection activeCell="J44" sqref="J44"/>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5519</v>
      </c>
    </row>
    <row r="29" spans="2:21">
      <c r="G29" s="11">
        <f t="shared" ref="G29:G48" si="5">$I$49-I29</f>
        <v>31000</v>
      </c>
      <c r="H29" s="11" t="s">
        <v>5279</v>
      </c>
      <c r="I29" s="11">
        <v>270000</v>
      </c>
      <c r="J29" s="11" t="s">
        <v>560</v>
      </c>
    </row>
    <row r="30" spans="2:21">
      <c r="G30" s="11">
        <f t="shared" si="5"/>
        <v>31000</v>
      </c>
      <c r="H30" s="11" t="s">
        <v>5279</v>
      </c>
      <c r="I30" s="11">
        <v>270000</v>
      </c>
      <c r="J30" s="11" t="s">
        <v>561</v>
      </c>
    </row>
    <row r="31" spans="2:21">
      <c r="G31" s="11">
        <f t="shared" si="5"/>
        <v>5558</v>
      </c>
      <c r="H31" s="11" t="s">
        <v>6858</v>
      </c>
      <c r="I31" s="11">
        <v>295442</v>
      </c>
      <c r="J31" s="11" t="s">
        <v>475</v>
      </c>
    </row>
    <row r="32" spans="2:21">
      <c r="G32" s="11">
        <f t="shared" si="5"/>
        <v>116000</v>
      </c>
      <c r="H32" s="57" t="s">
        <v>778</v>
      </c>
      <c r="I32" s="11">
        <v>185000</v>
      </c>
      <c r="J32" s="11" t="s">
        <v>555</v>
      </c>
    </row>
    <row r="33" spans="6:23">
      <c r="G33" s="11">
        <f t="shared" si="5"/>
        <v>17000</v>
      </c>
      <c r="H33" s="11" t="s">
        <v>6243</v>
      </c>
      <c r="I33" s="11">
        <v>284000</v>
      </c>
      <c r="J33" s="11" t="s">
        <v>562</v>
      </c>
    </row>
    <row r="34" spans="6:23">
      <c r="G34" s="11">
        <f t="shared" si="5"/>
        <v>17000</v>
      </c>
      <c r="H34" s="11" t="s">
        <v>6243</v>
      </c>
      <c r="I34" s="11">
        <v>284000</v>
      </c>
      <c r="J34" s="11" t="s">
        <v>563</v>
      </c>
    </row>
    <row r="35" spans="6:23">
      <c r="G35" s="11">
        <f t="shared" si="5"/>
        <v>5558</v>
      </c>
      <c r="H35" s="11" t="s">
        <v>6858</v>
      </c>
      <c r="I35" s="11">
        <v>295442</v>
      </c>
      <c r="J35" s="11" t="s">
        <v>564</v>
      </c>
    </row>
    <row r="36" spans="6:23">
      <c r="F36" t="s">
        <v>25</v>
      </c>
      <c r="G36" s="11">
        <f t="shared" si="5"/>
        <v>37000</v>
      </c>
      <c r="H36" s="11" t="s">
        <v>5321</v>
      </c>
      <c r="I36" s="11">
        <v>264000</v>
      </c>
      <c r="J36" s="11" t="s">
        <v>635</v>
      </c>
      <c r="O36" s="22"/>
    </row>
    <row r="37" spans="6:23">
      <c r="G37" s="11">
        <f t="shared" si="5"/>
        <v>3000</v>
      </c>
      <c r="H37" s="11" t="s">
        <v>6962</v>
      </c>
      <c r="I37" s="11">
        <v>298000</v>
      </c>
      <c r="J37" s="11" t="s">
        <v>644</v>
      </c>
    </row>
    <row r="38" spans="6:23">
      <c r="G38" s="11">
        <f t="shared" si="5"/>
        <v>76500</v>
      </c>
      <c r="H38" s="11" t="s">
        <v>702</v>
      </c>
      <c r="I38" s="11">
        <v>224500</v>
      </c>
      <c r="J38" s="11" t="s">
        <v>701</v>
      </c>
      <c r="M38" s="25"/>
      <c r="N38" s="25"/>
      <c r="O38" s="25"/>
      <c r="P38" s="25"/>
      <c r="Q38" s="25"/>
      <c r="R38" s="25"/>
      <c r="S38" s="25"/>
      <c r="T38" s="25"/>
      <c r="U38" s="25"/>
      <c r="V38" s="25"/>
      <c r="W38" s="25"/>
    </row>
    <row r="39" spans="6:23">
      <c r="G39" s="11">
        <f t="shared" si="5"/>
        <v>111000</v>
      </c>
      <c r="H39" s="11" t="s">
        <v>736</v>
      </c>
      <c r="I39" s="11">
        <v>190000</v>
      </c>
      <c r="J39" s="11" t="s">
        <v>735</v>
      </c>
      <c r="M39" s="25"/>
      <c r="N39" s="25"/>
      <c r="O39" s="25"/>
      <c r="P39" s="25"/>
      <c r="Q39" s="25"/>
      <c r="R39" s="25"/>
      <c r="S39" s="25"/>
      <c r="T39" s="25"/>
      <c r="U39" s="25"/>
      <c r="V39" s="25"/>
      <c r="W39" s="25"/>
    </row>
    <row r="40" spans="6:23">
      <c r="G40" s="11">
        <f t="shared" si="5"/>
        <v>76000</v>
      </c>
      <c r="H40" s="11" t="s">
        <v>734</v>
      </c>
      <c r="I40" s="11">
        <v>225000</v>
      </c>
      <c r="J40" s="11" t="s">
        <v>733</v>
      </c>
      <c r="M40" s="25"/>
      <c r="N40" s="25"/>
      <c r="O40" s="25"/>
      <c r="P40" s="25"/>
      <c r="Q40" s="25"/>
      <c r="R40" s="25"/>
      <c r="S40" s="25"/>
      <c r="T40" s="25"/>
      <c r="U40" s="25"/>
      <c r="V40" s="25"/>
      <c r="W40" s="25"/>
    </row>
    <row r="41" spans="6:23">
      <c r="G41" s="11">
        <f t="shared" si="5"/>
        <v>0</v>
      </c>
      <c r="H41" s="11" t="s">
        <v>6983</v>
      </c>
      <c r="I41" s="11">
        <v>301000</v>
      </c>
      <c r="J41" s="11" t="s">
        <v>772</v>
      </c>
      <c r="M41" s="25"/>
      <c r="N41" s="25"/>
      <c r="O41" s="69"/>
      <c r="P41" s="25"/>
      <c r="Q41" s="69"/>
      <c r="R41" s="69"/>
      <c r="S41" s="28"/>
      <c r="T41" s="28"/>
      <c r="U41" s="28"/>
      <c r="V41" s="28"/>
      <c r="W41" s="28"/>
    </row>
    <row r="42" spans="6:23">
      <c r="G42" s="11">
        <f t="shared" si="5"/>
        <v>85000</v>
      </c>
      <c r="H42" s="11" t="s">
        <v>773</v>
      </c>
      <c r="I42" s="11">
        <v>216000</v>
      </c>
      <c r="J42" s="11" t="s">
        <v>774</v>
      </c>
      <c r="M42" s="25"/>
      <c r="N42" s="25"/>
      <c r="O42" s="69"/>
      <c r="P42" s="25"/>
      <c r="Q42" s="69"/>
      <c r="R42" s="69"/>
      <c r="S42" s="28"/>
      <c r="T42" s="28"/>
      <c r="U42" s="25"/>
      <c r="V42" s="28"/>
      <c r="W42" s="28"/>
    </row>
    <row r="43" spans="6:23">
      <c r="G43" s="11">
        <f t="shared" si="5"/>
        <v>74000</v>
      </c>
      <c r="H43" s="11" t="s">
        <v>795</v>
      </c>
      <c r="I43" s="11">
        <v>227000</v>
      </c>
      <c r="J43" s="11" t="s">
        <v>796</v>
      </c>
      <c r="M43" s="25"/>
      <c r="N43" s="25"/>
      <c r="O43" s="25"/>
      <c r="P43" s="25"/>
      <c r="Q43" s="28"/>
      <c r="R43" s="25"/>
      <c r="S43" s="28"/>
      <c r="T43" s="25"/>
      <c r="U43" s="25"/>
      <c r="V43" s="25"/>
      <c r="W43" s="25"/>
    </row>
    <row r="44" spans="6:23">
      <c r="G44" s="11">
        <f t="shared" si="5"/>
        <v>72000</v>
      </c>
      <c r="H44" s="11" t="s">
        <v>858</v>
      </c>
      <c r="I44" s="11">
        <v>229000</v>
      </c>
      <c r="J44" s="11" t="s">
        <v>477</v>
      </c>
      <c r="M44" s="25"/>
      <c r="N44" s="25"/>
      <c r="O44" s="25"/>
      <c r="P44" s="25"/>
      <c r="Q44" s="25"/>
      <c r="R44" s="25"/>
      <c r="S44" s="25"/>
      <c r="T44" s="25"/>
      <c r="U44" s="25"/>
      <c r="V44" s="25"/>
      <c r="W44" s="25"/>
    </row>
    <row r="45" spans="6:23">
      <c r="G45" s="11">
        <f t="shared" si="5"/>
        <v>70000</v>
      </c>
      <c r="H45" s="11" t="s">
        <v>1085</v>
      </c>
      <c r="I45" s="11">
        <v>231000</v>
      </c>
      <c r="J45" s="11" t="s">
        <v>1084</v>
      </c>
      <c r="M45" s="25"/>
      <c r="N45" s="25"/>
      <c r="O45" s="25"/>
      <c r="P45" s="25"/>
      <c r="Q45" s="25"/>
      <c r="R45" s="25"/>
      <c r="S45" s="28"/>
      <c r="T45" s="25"/>
      <c r="U45" s="25"/>
      <c r="V45" s="25"/>
      <c r="W45" s="25"/>
    </row>
    <row r="46" spans="6:23">
      <c r="G46" s="11">
        <f t="shared" si="5"/>
        <v>52800</v>
      </c>
      <c r="H46" s="11" t="s">
        <v>4709</v>
      </c>
      <c r="I46" s="11">
        <v>248200</v>
      </c>
      <c r="J46" s="11" t="s">
        <v>4718</v>
      </c>
      <c r="M46" s="25"/>
      <c r="N46" s="25"/>
      <c r="O46" s="25"/>
      <c r="P46" s="25"/>
      <c r="Q46" s="25"/>
      <c r="R46" s="25"/>
      <c r="S46" s="25"/>
      <c r="T46" s="25"/>
      <c r="U46" s="25"/>
      <c r="V46" s="25"/>
      <c r="W46" s="25"/>
    </row>
    <row r="47" spans="6:23">
      <c r="G47" s="97">
        <f t="shared" si="5"/>
        <v>44000</v>
      </c>
      <c r="H47" s="97" t="s">
        <v>5094</v>
      </c>
      <c r="I47" s="97">
        <v>257000</v>
      </c>
      <c r="J47" s="97" t="s">
        <v>5125</v>
      </c>
      <c r="M47" s="25"/>
      <c r="N47" s="25"/>
      <c r="O47" s="25"/>
      <c r="P47" s="25"/>
      <c r="Q47" s="25"/>
      <c r="R47" s="25"/>
      <c r="S47" s="25"/>
      <c r="T47" s="25"/>
      <c r="U47" s="25"/>
      <c r="V47" s="25"/>
      <c r="W47" s="25"/>
    </row>
    <row r="48" spans="6:23">
      <c r="G48" s="97">
        <f t="shared" si="5"/>
        <v>25140</v>
      </c>
      <c r="H48" s="97" t="s">
        <v>5767</v>
      </c>
      <c r="I48" s="97">
        <v>275860</v>
      </c>
      <c r="J48" s="97" t="s">
        <v>5766</v>
      </c>
      <c r="M48" s="25"/>
      <c r="N48" s="25"/>
      <c r="O48" s="25"/>
      <c r="P48" s="25"/>
      <c r="Q48" s="25"/>
      <c r="R48" s="25"/>
      <c r="S48" s="25"/>
      <c r="T48" s="25"/>
      <c r="U48" s="25"/>
      <c r="V48" s="25"/>
      <c r="W48" s="25"/>
    </row>
    <row r="49" spans="7:23">
      <c r="G49" s="11"/>
      <c r="H49" s="11" t="s">
        <v>6851</v>
      </c>
      <c r="I49" s="11">
        <v>301000</v>
      </c>
      <c r="J49" s="11" t="s">
        <v>567</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566</v>
      </c>
      <c r="H53" s="97" t="s">
        <v>180</v>
      </c>
      <c r="I53" s="97" t="s">
        <v>565</v>
      </c>
      <c r="J53" s="97" t="s">
        <v>5520</v>
      </c>
      <c r="M53" s="25"/>
      <c r="N53" s="25"/>
      <c r="O53" s="68"/>
      <c r="P53" s="25"/>
      <c r="Q53" s="69"/>
      <c r="R53" s="25"/>
      <c r="S53" s="69"/>
      <c r="T53" s="25"/>
      <c r="U53" s="25"/>
      <c r="V53" s="25"/>
      <c r="W53" s="25"/>
    </row>
    <row r="54" spans="7:23">
      <c r="G54" s="97">
        <f>$I$73-I54</f>
        <v>22000</v>
      </c>
      <c r="H54" s="97" t="s">
        <v>5279</v>
      </c>
      <c r="I54" s="97">
        <v>38000</v>
      </c>
      <c r="J54" s="97" t="s">
        <v>560</v>
      </c>
      <c r="M54" s="25"/>
      <c r="N54" s="25"/>
      <c r="O54" s="25"/>
      <c r="P54" s="25"/>
      <c r="Q54" s="69"/>
      <c r="R54" s="25"/>
      <c r="S54" s="69"/>
      <c r="T54" s="25"/>
      <c r="U54" s="25"/>
      <c r="V54" s="25"/>
      <c r="W54" s="25"/>
    </row>
    <row r="55" spans="7:23">
      <c r="G55" s="97">
        <f t="shared" ref="G55:G72" si="6">$I$73-I55</f>
        <v>22000</v>
      </c>
      <c r="H55" s="97" t="s">
        <v>5279</v>
      </c>
      <c r="I55" s="97">
        <v>38000</v>
      </c>
      <c r="J55" s="97" t="s">
        <v>561</v>
      </c>
      <c r="M55" s="25"/>
      <c r="N55" s="25"/>
      <c r="O55" s="25"/>
      <c r="P55" s="25"/>
      <c r="Q55" s="69"/>
      <c r="R55" s="25"/>
      <c r="S55" s="69"/>
      <c r="T55" s="25"/>
      <c r="U55" s="28"/>
      <c r="V55" s="25"/>
      <c r="W55" s="25"/>
    </row>
    <row r="56" spans="7:23">
      <c r="G56" s="97">
        <f t="shared" si="6"/>
        <v>8100</v>
      </c>
      <c r="H56" s="97" t="s">
        <v>6408</v>
      </c>
      <c r="I56" s="97">
        <v>51900</v>
      </c>
      <c r="J56" s="97" t="s">
        <v>475</v>
      </c>
      <c r="M56" s="25"/>
      <c r="N56" s="25"/>
      <c r="O56" s="25"/>
      <c r="P56" s="25"/>
      <c r="Q56" s="69"/>
      <c r="R56" s="25"/>
      <c r="S56" s="69"/>
      <c r="T56" s="25"/>
      <c r="U56" s="25"/>
      <c r="V56" s="25"/>
      <c r="W56" s="25"/>
    </row>
    <row r="57" spans="7:23">
      <c r="G57" s="97">
        <f t="shared" si="6"/>
        <v>30000</v>
      </c>
      <c r="H57" s="57" t="s">
        <v>778</v>
      </c>
      <c r="I57" s="97">
        <v>30000</v>
      </c>
      <c r="J57" s="97" t="s">
        <v>555</v>
      </c>
      <c r="M57" s="25"/>
      <c r="N57" s="25"/>
      <c r="O57" s="25"/>
      <c r="P57" s="25"/>
      <c r="Q57" s="69"/>
      <c r="R57" s="25"/>
      <c r="S57" s="69"/>
      <c r="T57" s="25"/>
      <c r="U57" s="25"/>
      <c r="V57" s="25"/>
      <c r="W57" s="25"/>
    </row>
    <row r="58" spans="7:23">
      <c r="G58" s="97">
        <f t="shared" si="6"/>
        <v>17500</v>
      </c>
      <c r="H58" s="97" t="s">
        <v>5736</v>
      </c>
      <c r="I58" s="97">
        <v>42500</v>
      </c>
      <c r="J58" s="97" t="s">
        <v>562</v>
      </c>
      <c r="M58" s="25"/>
      <c r="N58" s="25"/>
      <c r="O58" s="25"/>
      <c r="P58" s="25"/>
      <c r="Q58" s="69"/>
      <c r="R58" s="25"/>
      <c r="S58" s="69"/>
      <c r="T58" s="25"/>
      <c r="U58" s="25"/>
      <c r="V58" s="25"/>
      <c r="W58" s="25"/>
    </row>
    <row r="59" spans="7:23">
      <c r="G59" s="97">
        <f t="shared" si="6"/>
        <v>17500</v>
      </c>
      <c r="H59" s="97" t="s">
        <v>5736</v>
      </c>
      <c r="I59" s="97">
        <v>42500</v>
      </c>
      <c r="J59" s="97" t="s">
        <v>563</v>
      </c>
      <c r="M59" s="25"/>
      <c r="N59" s="25"/>
      <c r="O59" s="25"/>
      <c r="P59" s="25"/>
      <c r="Q59" s="69"/>
      <c r="R59" s="25"/>
      <c r="S59" s="69"/>
      <c r="T59" s="25"/>
      <c r="U59" s="25"/>
      <c r="V59" s="25"/>
      <c r="W59" s="25"/>
    </row>
    <row r="60" spans="7:23">
      <c r="G60" s="97">
        <f t="shared" si="6"/>
        <v>8100</v>
      </c>
      <c r="H60" s="97" t="s">
        <v>6408</v>
      </c>
      <c r="I60" s="97">
        <v>51900</v>
      </c>
      <c r="J60" s="97" t="s">
        <v>564</v>
      </c>
      <c r="M60" s="25"/>
      <c r="N60" s="25"/>
      <c r="O60" s="25"/>
      <c r="P60" s="25"/>
      <c r="Q60" s="69"/>
      <c r="R60" s="25"/>
      <c r="S60" s="69"/>
      <c r="T60" s="25"/>
      <c r="U60" s="25"/>
      <c r="V60" s="25"/>
      <c r="W60" s="25"/>
    </row>
    <row r="61" spans="7:23">
      <c r="G61" s="97">
        <f t="shared" si="6"/>
        <v>60000</v>
      </c>
      <c r="H61" s="97" t="s">
        <v>5321</v>
      </c>
      <c r="I61" s="97">
        <v>0</v>
      </c>
      <c r="J61" s="97" t="s">
        <v>635</v>
      </c>
      <c r="M61" s="25"/>
      <c r="N61" s="25"/>
      <c r="O61" s="25"/>
      <c r="P61" s="25"/>
      <c r="Q61" s="69"/>
      <c r="R61" s="25"/>
      <c r="S61" s="69"/>
      <c r="T61" s="25"/>
      <c r="U61" s="25"/>
      <c r="V61" s="25"/>
      <c r="W61" s="25"/>
    </row>
    <row r="62" spans="7:23">
      <c r="G62" s="97">
        <f t="shared" si="6"/>
        <v>9500</v>
      </c>
      <c r="H62" s="97" t="s">
        <v>6253</v>
      </c>
      <c r="I62" s="97">
        <v>50500</v>
      </c>
      <c r="J62" s="97" t="s">
        <v>644</v>
      </c>
      <c r="M62" s="25"/>
      <c r="N62" s="25"/>
      <c r="O62" s="25"/>
      <c r="P62" s="25"/>
      <c r="Q62" s="25"/>
      <c r="R62" s="25"/>
      <c r="S62" s="69"/>
      <c r="T62" s="25"/>
      <c r="U62" s="25"/>
      <c r="V62" s="25"/>
      <c r="W62" s="25"/>
    </row>
    <row r="63" spans="7:23">
      <c r="G63" s="97">
        <f t="shared" si="6"/>
        <v>60000</v>
      </c>
      <c r="H63" s="97" t="s">
        <v>702</v>
      </c>
      <c r="I63" s="97">
        <v>0</v>
      </c>
      <c r="J63" s="97" t="s">
        <v>701</v>
      </c>
      <c r="M63" s="25"/>
      <c r="N63" s="25"/>
      <c r="O63" s="25"/>
      <c r="P63" s="25"/>
      <c r="Q63" s="25"/>
      <c r="R63" s="25"/>
      <c r="S63" s="28"/>
      <c r="T63" s="25"/>
      <c r="U63" s="25"/>
      <c r="V63" s="25"/>
      <c r="W63" s="25"/>
    </row>
    <row r="64" spans="7:23">
      <c r="G64" s="97">
        <f t="shared" si="6"/>
        <v>60000</v>
      </c>
      <c r="H64" s="97" t="s">
        <v>736</v>
      </c>
      <c r="I64" s="97">
        <v>0</v>
      </c>
      <c r="J64" s="97" t="s">
        <v>735</v>
      </c>
      <c r="M64" s="25"/>
      <c r="N64" s="25" t="s">
        <v>25</v>
      </c>
      <c r="O64" s="25"/>
      <c r="P64" s="25"/>
      <c r="Q64" s="25"/>
      <c r="R64" s="25"/>
      <c r="S64" s="25"/>
      <c r="T64" s="25"/>
      <c r="U64" s="25"/>
      <c r="V64" s="25"/>
      <c r="W64" s="25"/>
    </row>
    <row r="65" spans="7:17">
      <c r="G65" s="97">
        <f t="shared" si="6"/>
        <v>60000</v>
      </c>
      <c r="H65" s="97" t="s">
        <v>734</v>
      </c>
      <c r="I65" s="97">
        <v>0</v>
      </c>
      <c r="J65" s="97" t="s">
        <v>733</v>
      </c>
    </row>
    <row r="66" spans="7:17">
      <c r="G66" s="97">
        <f t="shared" si="6"/>
        <v>60000</v>
      </c>
      <c r="H66" s="97" t="s">
        <v>1085</v>
      </c>
      <c r="I66" s="97">
        <v>0</v>
      </c>
      <c r="J66" s="97" t="s">
        <v>772</v>
      </c>
    </row>
    <row r="67" spans="7:17">
      <c r="G67" s="97">
        <f t="shared" si="6"/>
        <v>9500</v>
      </c>
      <c r="H67" s="97" t="s">
        <v>6253</v>
      </c>
      <c r="I67" s="97">
        <v>50500</v>
      </c>
      <c r="J67" s="97" t="s">
        <v>6356</v>
      </c>
    </row>
    <row r="68" spans="7:17">
      <c r="G68" s="97">
        <f t="shared" si="6"/>
        <v>60000</v>
      </c>
      <c r="H68" s="97" t="s">
        <v>795</v>
      </c>
      <c r="I68" s="97">
        <v>0</v>
      </c>
      <c r="J68" s="97" t="s">
        <v>796</v>
      </c>
    </row>
    <row r="69" spans="7:17">
      <c r="G69" s="97">
        <f t="shared" si="6"/>
        <v>60000</v>
      </c>
      <c r="H69" s="97" t="s">
        <v>858</v>
      </c>
      <c r="I69" s="97">
        <v>0</v>
      </c>
      <c r="J69" s="97" t="s">
        <v>477</v>
      </c>
    </row>
    <row r="70" spans="7:17">
      <c r="G70" s="97">
        <f t="shared" si="6"/>
        <v>17500</v>
      </c>
      <c r="H70" s="97" t="s">
        <v>5736</v>
      </c>
      <c r="I70" s="97">
        <v>42500</v>
      </c>
      <c r="J70" s="97" t="s">
        <v>1084</v>
      </c>
    </row>
    <row r="71" spans="7:17">
      <c r="G71" s="97">
        <f t="shared" si="6"/>
        <v>60000</v>
      </c>
      <c r="H71" s="97" t="s">
        <v>4709</v>
      </c>
      <c r="I71" s="97">
        <v>0</v>
      </c>
      <c r="J71" s="97" t="s">
        <v>4718</v>
      </c>
    </row>
    <row r="72" spans="7:17">
      <c r="G72" s="97">
        <f t="shared" si="6"/>
        <v>60000</v>
      </c>
      <c r="H72" s="97" t="s">
        <v>5094</v>
      </c>
      <c r="I72" s="97">
        <v>0</v>
      </c>
      <c r="J72" s="97" t="s">
        <v>5125</v>
      </c>
    </row>
    <row r="73" spans="7:17">
      <c r="G73" s="97"/>
      <c r="H73" s="97" t="s">
        <v>6840</v>
      </c>
      <c r="I73" s="97">
        <v>60000</v>
      </c>
      <c r="J73" s="97" t="s">
        <v>567</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494" t="s">
        <v>6278</v>
      </c>
      <c r="C1" s="494"/>
      <c r="D1" s="494" t="s">
        <v>6279</v>
      </c>
      <c r="E1" s="494"/>
      <c r="G1" s="22"/>
      <c r="R1" s="97" t="s">
        <v>5506</v>
      </c>
      <c r="S1" s="97"/>
      <c r="T1" s="97" t="s">
        <v>933</v>
      </c>
      <c r="U1" s="97" t="s">
        <v>6269</v>
      </c>
      <c r="V1" s="97"/>
      <c r="W1" s="97" t="s">
        <v>933</v>
      </c>
      <c r="X1" s="97" t="s">
        <v>6270</v>
      </c>
      <c r="Y1" s="97"/>
      <c r="Z1" s="97" t="s">
        <v>936</v>
      </c>
      <c r="AA1" s="97" t="s">
        <v>5</v>
      </c>
      <c r="AB1" s="97" t="s">
        <v>6271</v>
      </c>
      <c r="AC1" s="307"/>
      <c r="AD1" s="307" t="s">
        <v>6272</v>
      </c>
    </row>
    <row r="2" spans="1:30">
      <c r="A2" s="294" t="s">
        <v>3623</v>
      </c>
      <c r="B2" s="294" t="s">
        <v>180</v>
      </c>
      <c r="C2" s="294" t="s">
        <v>6280</v>
      </c>
      <c r="D2" s="294" t="s">
        <v>6281</v>
      </c>
      <c r="E2" s="294" t="s">
        <v>6282</v>
      </c>
      <c r="F2" s="294" t="s">
        <v>5300</v>
      </c>
      <c r="G2" s="22"/>
      <c r="H2" s="294" t="s">
        <v>4116</v>
      </c>
      <c r="I2" s="294" t="s">
        <v>5</v>
      </c>
      <c r="R2" s="97" t="s">
        <v>5496</v>
      </c>
      <c r="S2" s="97" t="s">
        <v>6268</v>
      </c>
      <c r="T2" s="97">
        <v>17800</v>
      </c>
      <c r="U2" s="97">
        <v>916</v>
      </c>
      <c r="V2" s="97" t="s">
        <v>4354</v>
      </c>
      <c r="W2" s="97">
        <v>16472</v>
      </c>
      <c r="X2" s="97">
        <v>916</v>
      </c>
      <c r="Y2" s="97"/>
      <c r="Z2" s="93">
        <v>987467</v>
      </c>
      <c r="AA2" s="93">
        <f>Z2/2</f>
        <v>493733.5</v>
      </c>
      <c r="AB2" s="97" t="s">
        <v>5496</v>
      </c>
      <c r="AC2" s="307"/>
      <c r="AD2" s="307">
        <v>1086</v>
      </c>
    </row>
    <row r="3" spans="1:30" s="306" customFormat="1" ht="72.75" customHeight="1">
      <c r="A3" s="303">
        <v>2</v>
      </c>
      <c r="B3" s="303" t="s">
        <v>6348</v>
      </c>
      <c r="C3" s="303" t="s">
        <v>6349</v>
      </c>
      <c r="D3" s="303">
        <v>0</v>
      </c>
      <c r="E3" s="303">
        <v>426136788</v>
      </c>
      <c r="F3" s="303">
        <v>1153060652</v>
      </c>
      <c r="G3" s="22"/>
      <c r="H3" s="112">
        <v>1230000</v>
      </c>
      <c r="I3" s="112">
        <f>H3/2</f>
        <v>615000</v>
      </c>
      <c r="J3" s="306" t="s">
        <v>6351</v>
      </c>
      <c r="R3" s="269" t="s">
        <v>5718</v>
      </c>
      <c r="S3" s="305" t="s">
        <v>6347</v>
      </c>
      <c r="T3" s="269">
        <v>21532</v>
      </c>
      <c r="U3" s="269">
        <v>1859</v>
      </c>
      <c r="V3" s="271" t="s">
        <v>6275</v>
      </c>
      <c r="W3" s="271">
        <v>1187</v>
      </c>
      <c r="X3" s="271">
        <f t="shared" ref="X3:X9" si="0">T3*U3*0.99114/(W3*1.0037158)</f>
        <v>33299.467209851166</v>
      </c>
      <c r="Y3" s="271">
        <f t="shared" ref="Y3:Y9" si="1">T3/W3</f>
        <v>18.139848357203032</v>
      </c>
      <c r="Z3" s="93">
        <v>0</v>
      </c>
      <c r="AA3" s="93">
        <f t="shared" ref="AA3:AA9" si="2">Z3/2</f>
        <v>0</v>
      </c>
      <c r="AB3" s="97" t="s">
        <v>6267</v>
      </c>
      <c r="AC3" s="307"/>
      <c r="AD3" s="307"/>
    </row>
    <row r="4" spans="1:30" s="306" customFormat="1">
      <c r="A4" s="308">
        <v>3</v>
      </c>
      <c r="B4" s="308" t="s">
        <v>6348</v>
      </c>
      <c r="C4" s="308" t="s">
        <v>6350</v>
      </c>
      <c r="D4" s="308">
        <v>0</v>
      </c>
      <c r="E4" s="308">
        <v>259688196</v>
      </c>
      <c r="F4" s="308">
        <v>1412748848</v>
      </c>
      <c r="G4" s="22"/>
      <c r="H4" s="112"/>
      <c r="I4" s="112"/>
      <c r="R4" s="269" t="s">
        <v>5723</v>
      </c>
      <c r="S4" s="269" t="s">
        <v>6274</v>
      </c>
      <c r="T4" s="269">
        <v>22420.1</v>
      </c>
      <c r="U4" s="283">
        <v>1000</v>
      </c>
      <c r="V4" s="271" t="s">
        <v>6276</v>
      </c>
      <c r="W4" s="271">
        <v>1161</v>
      </c>
      <c r="X4" s="271">
        <f t="shared" si="0"/>
        <v>19069.072437793271</v>
      </c>
      <c r="Y4" s="271">
        <f t="shared" si="1"/>
        <v>19.311024978466836</v>
      </c>
      <c r="Z4" s="93">
        <v>19462210</v>
      </c>
      <c r="AA4" s="93">
        <f t="shared" si="2"/>
        <v>9731105</v>
      </c>
      <c r="AB4" s="97" t="s">
        <v>6263</v>
      </c>
      <c r="AC4" s="307"/>
      <c r="AD4" s="307"/>
    </row>
    <row r="5" spans="1:30">
      <c r="A5" s="304"/>
      <c r="B5" s="295" t="s">
        <v>6283</v>
      </c>
      <c r="C5" s="295" t="s">
        <v>6284</v>
      </c>
      <c r="D5" s="295">
        <v>0</v>
      </c>
      <c r="E5" s="295">
        <v>1545379960</v>
      </c>
      <c r="F5" s="295">
        <v>1545486874</v>
      </c>
      <c r="G5" s="22"/>
      <c r="H5" s="112">
        <f>(E5-D7)/10</f>
        <v>19462210.699999999</v>
      </c>
      <c r="I5" s="112">
        <f>H5/2</f>
        <v>9731105.3499999996</v>
      </c>
      <c r="R5" s="269" t="s">
        <v>5724</v>
      </c>
      <c r="S5" s="269" t="s">
        <v>6274</v>
      </c>
      <c r="T5" s="269">
        <v>23233.1</v>
      </c>
      <c r="U5" s="283">
        <v>1000</v>
      </c>
      <c r="V5" s="271" t="s">
        <v>6276</v>
      </c>
      <c r="W5" s="271">
        <v>1152</v>
      </c>
      <c r="X5" s="271">
        <f t="shared" si="0"/>
        <v>19914.936480069027</v>
      </c>
      <c r="Y5" s="271">
        <f t="shared" si="1"/>
        <v>20.167621527777776</v>
      </c>
      <c r="Z5" s="93">
        <v>0</v>
      </c>
      <c r="AA5" s="93">
        <f t="shared" si="2"/>
        <v>0</v>
      </c>
      <c r="AB5" s="97" t="s">
        <v>6263</v>
      </c>
      <c r="AC5" s="307"/>
      <c r="AD5" s="307"/>
    </row>
    <row r="6" spans="1:30">
      <c r="A6" s="294"/>
      <c r="B6" s="296" t="s">
        <v>6283</v>
      </c>
      <c r="C6" s="296" t="s">
        <v>6285</v>
      </c>
      <c r="D6" s="296">
        <v>0</v>
      </c>
      <c r="E6" s="296">
        <v>32194843</v>
      </c>
      <c r="F6" s="296">
        <v>1577681717</v>
      </c>
      <c r="G6" s="22"/>
      <c r="H6" s="112">
        <f>E6/10</f>
        <v>3219484.3</v>
      </c>
      <c r="I6" s="112">
        <f>H6/2</f>
        <v>1609742.15</v>
      </c>
      <c r="R6" s="269" t="s">
        <v>5726</v>
      </c>
      <c r="S6" s="269" t="s">
        <v>6274</v>
      </c>
      <c r="T6" s="269">
        <v>23900</v>
      </c>
      <c r="U6" s="283">
        <v>1000</v>
      </c>
      <c r="V6" s="271" t="s">
        <v>6277</v>
      </c>
      <c r="W6" s="271">
        <v>1153</v>
      </c>
      <c r="X6" s="271">
        <f t="shared" si="0"/>
        <v>20468.821398374203</v>
      </c>
      <c r="Y6" s="271">
        <f t="shared" si="1"/>
        <v>20.7285342584562</v>
      </c>
      <c r="Z6" s="93">
        <v>0</v>
      </c>
      <c r="AA6" s="93">
        <f t="shared" si="2"/>
        <v>0</v>
      </c>
      <c r="AB6" s="97" t="s">
        <v>6263</v>
      </c>
      <c r="AC6" s="307"/>
      <c r="AD6" s="307"/>
    </row>
    <row r="7" spans="1:30">
      <c r="A7" s="304"/>
      <c r="B7" s="295" t="s">
        <v>6283</v>
      </c>
      <c r="C7" s="295" t="s">
        <v>6286</v>
      </c>
      <c r="D7" s="295">
        <v>1350757853</v>
      </c>
      <c r="E7" s="295">
        <v>0</v>
      </c>
      <c r="F7" s="295">
        <v>226923864</v>
      </c>
      <c r="G7" s="22"/>
      <c r="H7" s="112"/>
      <c r="I7" s="112"/>
      <c r="R7" s="269" t="s">
        <v>5736</v>
      </c>
      <c r="S7" s="269" t="s">
        <v>6274</v>
      </c>
      <c r="T7" s="269">
        <v>22500</v>
      </c>
      <c r="U7" s="283">
        <v>2000</v>
      </c>
      <c r="V7" s="271" t="s">
        <v>6276</v>
      </c>
      <c r="W7" s="271">
        <v>1093</v>
      </c>
      <c r="X7" s="271">
        <f t="shared" si="0"/>
        <v>40655.246136679802</v>
      </c>
      <c r="Y7" s="271">
        <f t="shared" si="1"/>
        <v>20.585544373284538</v>
      </c>
      <c r="Z7" s="93">
        <v>0</v>
      </c>
      <c r="AA7" s="93">
        <f t="shared" si="2"/>
        <v>0</v>
      </c>
      <c r="AB7" s="97" t="s">
        <v>6263</v>
      </c>
      <c r="AC7" s="307"/>
      <c r="AD7" s="307"/>
    </row>
    <row r="8" spans="1:30" ht="30">
      <c r="A8" s="41">
        <v>1</v>
      </c>
      <c r="B8" s="296" t="s">
        <v>6287</v>
      </c>
      <c r="C8" s="296" t="s">
        <v>6288</v>
      </c>
      <c r="D8" s="296">
        <v>0</v>
      </c>
      <c r="E8" s="296">
        <v>417254126</v>
      </c>
      <c r="F8" s="296">
        <v>417260507</v>
      </c>
      <c r="G8" s="22" t="s">
        <v>6289</v>
      </c>
      <c r="H8" s="112"/>
      <c r="I8" s="112"/>
      <c r="R8" s="269" t="s">
        <v>6250</v>
      </c>
      <c r="S8" s="269" t="s">
        <v>6273</v>
      </c>
      <c r="T8" s="269">
        <v>23706</v>
      </c>
      <c r="U8" s="283">
        <v>1000</v>
      </c>
      <c r="V8" s="271" t="s">
        <v>4216</v>
      </c>
      <c r="W8" s="271">
        <v>1155</v>
      </c>
      <c r="X8" s="271">
        <f t="shared" si="0"/>
        <v>20267.516662882761</v>
      </c>
      <c r="Y8" s="271">
        <f t="shared" si="1"/>
        <v>20.524675324675325</v>
      </c>
      <c r="Z8" s="93">
        <v>0</v>
      </c>
      <c r="AA8" s="93">
        <f t="shared" si="2"/>
        <v>0</v>
      </c>
      <c r="AB8" s="97" t="s">
        <v>6263</v>
      </c>
      <c r="AC8" s="307"/>
      <c r="AD8" s="307"/>
    </row>
    <row r="9" spans="1:30">
      <c r="A9" s="41">
        <v>2</v>
      </c>
      <c r="B9" s="296" t="s">
        <v>6287</v>
      </c>
      <c r="C9" s="296" t="s">
        <v>6290</v>
      </c>
      <c r="D9" s="296">
        <v>417153593</v>
      </c>
      <c r="E9" s="296">
        <v>0</v>
      </c>
      <c r="F9" s="296">
        <v>106914</v>
      </c>
      <c r="G9" s="22"/>
      <c r="H9" s="112"/>
      <c r="I9" s="112"/>
      <c r="R9" s="60" t="s">
        <v>6250</v>
      </c>
      <c r="S9" s="60" t="s">
        <v>4354</v>
      </c>
      <c r="T9" s="60">
        <v>16794</v>
      </c>
      <c r="U9" s="60">
        <v>2227</v>
      </c>
      <c r="V9" s="271" t="s">
        <v>4216</v>
      </c>
      <c r="W9" s="271">
        <v>1146.6500000000001</v>
      </c>
      <c r="X9" s="271">
        <f t="shared" si="0"/>
        <v>32208.294857700886</v>
      </c>
      <c r="Y9" s="271">
        <f t="shared" si="1"/>
        <v>14.646143112545239</v>
      </c>
      <c r="Z9" s="93">
        <v>3219484</v>
      </c>
      <c r="AA9" s="93">
        <f t="shared" si="2"/>
        <v>1609742</v>
      </c>
      <c r="AB9" s="97" t="s">
        <v>6254</v>
      </c>
      <c r="AC9" s="307"/>
      <c r="AD9" s="307" t="s">
        <v>25</v>
      </c>
    </row>
    <row r="10" spans="1:30">
      <c r="A10" s="41">
        <v>3</v>
      </c>
      <c r="B10" s="295" t="s">
        <v>6291</v>
      </c>
      <c r="C10" s="297" t="s">
        <v>6292</v>
      </c>
      <c r="D10" s="297">
        <v>0</v>
      </c>
      <c r="E10" s="297">
        <v>234963645</v>
      </c>
      <c r="F10" s="297">
        <v>235147671</v>
      </c>
      <c r="G10" s="22"/>
      <c r="H10" s="112"/>
      <c r="I10" s="112"/>
      <c r="R10" s="307"/>
      <c r="S10" s="307"/>
      <c r="T10" s="307"/>
      <c r="U10" s="307"/>
      <c r="V10" s="307"/>
      <c r="W10" s="307"/>
      <c r="X10" s="307"/>
      <c r="Y10" s="307"/>
      <c r="Z10" s="307"/>
    </row>
    <row r="11" spans="1:30">
      <c r="A11" s="296">
        <v>4</v>
      </c>
      <c r="B11" s="296" t="s">
        <v>6291</v>
      </c>
      <c r="C11" s="296" t="s">
        <v>6293</v>
      </c>
      <c r="D11" s="296">
        <v>0</v>
      </c>
      <c r="E11" s="296">
        <v>370711163</v>
      </c>
      <c r="F11" s="296">
        <v>605858834</v>
      </c>
      <c r="G11" s="22"/>
      <c r="H11" s="112"/>
      <c r="I11" s="112"/>
      <c r="R11" s="307"/>
      <c r="S11" s="307"/>
      <c r="T11" s="307"/>
      <c r="U11" s="307"/>
      <c r="V11" s="307"/>
      <c r="W11" s="307"/>
      <c r="X11" s="307"/>
      <c r="Y11" s="307"/>
      <c r="Z11" s="307"/>
    </row>
    <row r="12" spans="1:30" ht="30">
      <c r="A12" s="296">
        <v>5</v>
      </c>
      <c r="B12" s="295" t="s">
        <v>6291</v>
      </c>
      <c r="C12" s="296" t="s">
        <v>6294</v>
      </c>
      <c r="D12" s="297">
        <v>605852453</v>
      </c>
      <c r="E12" s="297">
        <v>0</v>
      </c>
      <c r="F12" s="297">
        <v>6381</v>
      </c>
      <c r="G12" s="22" t="s">
        <v>6295</v>
      </c>
      <c r="H12" s="112"/>
      <c r="I12" s="112"/>
      <c r="R12" s="307"/>
      <c r="S12" s="307"/>
      <c r="T12" s="307"/>
      <c r="U12" s="307"/>
      <c r="V12" s="307"/>
      <c r="W12" s="307"/>
      <c r="X12" s="307"/>
      <c r="Y12" s="307"/>
      <c r="Z12" s="307"/>
    </row>
    <row r="13" spans="1:30">
      <c r="A13" s="41">
        <v>11</v>
      </c>
      <c r="B13" s="41" t="s">
        <v>6175</v>
      </c>
      <c r="C13" s="41" t="s">
        <v>6296</v>
      </c>
      <c r="D13" s="41">
        <v>88258180</v>
      </c>
      <c r="E13" s="41">
        <v>0</v>
      </c>
      <c r="F13" s="41">
        <v>184108</v>
      </c>
      <c r="G13" s="22" t="s">
        <v>6297</v>
      </c>
      <c r="H13" s="112"/>
      <c r="I13" s="112"/>
      <c r="R13" s="307"/>
      <c r="S13" s="307"/>
      <c r="T13" s="307"/>
      <c r="U13" s="307"/>
      <c r="V13" s="307"/>
      <c r="W13" s="307"/>
      <c r="X13" s="307"/>
      <c r="Y13" s="307"/>
      <c r="Z13" s="307"/>
    </row>
    <row r="14" spans="1:30">
      <c r="A14" s="298">
        <v>12</v>
      </c>
      <c r="B14" s="298" t="s">
        <v>6298</v>
      </c>
      <c r="C14" s="298" t="s">
        <v>6299</v>
      </c>
      <c r="D14" s="298">
        <v>0</v>
      </c>
      <c r="E14" s="298">
        <v>88371992</v>
      </c>
      <c r="F14" s="298">
        <v>88442288</v>
      </c>
      <c r="G14" s="22"/>
      <c r="H14" s="112"/>
      <c r="I14" s="112"/>
    </row>
    <row r="15" spans="1:30">
      <c r="A15" s="299">
        <v>15</v>
      </c>
      <c r="B15" s="295" t="s">
        <v>6300</v>
      </c>
      <c r="C15" s="299" t="s">
        <v>6301</v>
      </c>
      <c r="D15" s="299">
        <v>0</v>
      </c>
      <c r="E15" s="299">
        <v>446040000</v>
      </c>
      <c r="F15" s="299">
        <v>455337264</v>
      </c>
      <c r="G15" s="22"/>
      <c r="H15" s="112"/>
      <c r="I15" s="112"/>
    </row>
    <row r="16" spans="1:30">
      <c r="A16" s="41">
        <v>16</v>
      </c>
      <c r="B16" s="41" t="s">
        <v>6300</v>
      </c>
      <c r="C16" s="41" t="s">
        <v>6302</v>
      </c>
      <c r="D16" s="41">
        <v>0</v>
      </c>
      <c r="E16" s="41">
        <v>5458523</v>
      </c>
      <c r="F16" s="41">
        <v>460795787</v>
      </c>
      <c r="G16" s="22"/>
      <c r="H16" s="112"/>
      <c r="I16" s="112"/>
    </row>
    <row r="17" spans="1:9">
      <c r="A17" s="299">
        <v>17</v>
      </c>
      <c r="B17" s="295" t="s">
        <v>6300</v>
      </c>
      <c r="C17" s="299" t="s">
        <v>6303</v>
      </c>
      <c r="D17" s="299">
        <v>460784299</v>
      </c>
      <c r="E17" s="299">
        <v>0</v>
      </c>
      <c r="F17" s="299">
        <v>11488</v>
      </c>
      <c r="G17" s="22"/>
      <c r="H17" s="112"/>
      <c r="I17" s="112"/>
    </row>
    <row r="18" spans="1:9">
      <c r="A18" s="300">
        <v>19</v>
      </c>
      <c r="B18" s="295" t="s">
        <v>6304</v>
      </c>
      <c r="C18" s="300" t="s">
        <v>6305</v>
      </c>
      <c r="D18" s="300">
        <v>0</v>
      </c>
      <c r="E18" s="300">
        <v>236896800</v>
      </c>
      <c r="F18" s="300">
        <v>247051542</v>
      </c>
      <c r="G18" s="22"/>
      <c r="H18" s="112"/>
      <c r="I18" s="112"/>
    </row>
    <row r="19" spans="1:9">
      <c r="A19" s="300">
        <v>22</v>
      </c>
      <c r="B19" s="295" t="s">
        <v>6304</v>
      </c>
      <c r="C19" s="300" t="s">
        <v>6306</v>
      </c>
      <c r="D19" s="300">
        <v>244418699</v>
      </c>
      <c r="E19" s="300">
        <v>0</v>
      </c>
      <c r="F19" s="300">
        <v>8048350</v>
      </c>
      <c r="G19" s="22"/>
      <c r="H19" s="112"/>
      <c r="I19" s="112"/>
    </row>
    <row r="20" spans="1:9">
      <c r="A20" s="301">
        <v>23</v>
      </c>
      <c r="B20" s="295" t="s">
        <v>6307</v>
      </c>
      <c r="C20" s="301" t="s">
        <v>6308</v>
      </c>
      <c r="D20" s="301">
        <v>0</v>
      </c>
      <c r="E20" s="301">
        <v>230286491</v>
      </c>
      <c r="F20" s="301">
        <v>238422914</v>
      </c>
      <c r="G20" s="22"/>
      <c r="H20" s="112"/>
      <c r="I20" s="112"/>
    </row>
    <row r="21" spans="1:9">
      <c r="A21" s="301">
        <v>24</v>
      </c>
      <c r="B21" s="295" t="s">
        <v>6307</v>
      </c>
      <c r="C21" s="301" t="s">
        <v>6309</v>
      </c>
      <c r="D21" s="301">
        <v>228268172</v>
      </c>
      <c r="E21" s="301">
        <v>0</v>
      </c>
      <c r="F21" s="301">
        <v>10154742</v>
      </c>
      <c r="G21" s="22"/>
      <c r="H21" s="112"/>
      <c r="I21" s="112"/>
    </row>
    <row r="22" spans="1:9">
      <c r="A22" s="302">
        <v>25</v>
      </c>
      <c r="B22" s="295" t="s">
        <v>6310</v>
      </c>
      <c r="C22" s="302" t="s">
        <v>6311</v>
      </c>
      <c r="D22" s="302">
        <v>0</v>
      </c>
      <c r="E22" s="302">
        <v>222228038</v>
      </c>
      <c r="F22" s="302">
        <v>230347490</v>
      </c>
      <c r="G22" s="22"/>
      <c r="H22" s="112"/>
      <c r="I22" s="112"/>
    </row>
    <row r="23" spans="1:9">
      <c r="A23" s="302">
        <v>26</v>
      </c>
      <c r="B23" s="295" t="s">
        <v>6310</v>
      </c>
      <c r="C23" s="302" t="s">
        <v>6312</v>
      </c>
      <c r="D23" s="302">
        <v>222211067</v>
      </c>
      <c r="E23" s="302">
        <v>0</v>
      </c>
      <c r="F23" s="302">
        <v>8136423</v>
      </c>
      <c r="G23" s="22"/>
      <c r="H23" s="112"/>
      <c r="I23" s="112"/>
    </row>
    <row r="24" spans="1:9">
      <c r="A24" s="303">
        <v>27</v>
      </c>
      <c r="B24" s="303" t="s">
        <v>6313</v>
      </c>
      <c r="C24" s="303" t="s">
        <v>6314</v>
      </c>
      <c r="D24" s="303">
        <v>0</v>
      </c>
      <c r="E24" s="303">
        <v>396757423</v>
      </c>
      <c r="F24" s="303">
        <v>404903981</v>
      </c>
      <c r="G24" s="22"/>
      <c r="H24" s="112"/>
      <c r="I24" s="112"/>
    </row>
    <row r="25" spans="1:9" ht="30">
      <c r="A25" s="303">
        <v>28</v>
      </c>
      <c r="B25" s="303" t="s">
        <v>6313</v>
      </c>
      <c r="C25" s="303" t="s">
        <v>6315</v>
      </c>
      <c r="D25" s="303">
        <v>396784529</v>
      </c>
      <c r="E25" s="303">
        <v>0</v>
      </c>
      <c r="F25" s="303">
        <v>8119452</v>
      </c>
      <c r="G25" s="22" t="s">
        <v>6316</v>
      </c>
      <c r="H25" s="112"/>
      <c r="I25" s="112"/>
    </row>
    <row r="26" spans="1:9">
      <c r="A26" s="41">
        <v>41</v>
      </c>
      <c r="B26" s="41" t="s">
        <v>6317</v>
      </c>
      <c r="C26" s="41" t="s">
        <v>6318</v>
      </c>
      <c r="D26" s="41">
        <v>9935956</v>
      </c>
      <c r="E26" s="41">
        <v>0</v>
      </c>
      <c r="F26" s="41">
        <v>4150875</v>
      </c>
      <c r="G26" s="22"/>
      <c r="H26" s="112"/>
      <c r="I26" s="112"/>
    </row>
    <row r="27" spans="1:9" ht="30">
      <c r="A27" s="298">
        <v>46</v>
      </c>
      <c r="B27" s="298" t="s">
        <v>6319</v>
      </c>
      <c r="C27" s="298" t="s">
        <v>6320</v>
      </c>
      <c r="D27" s="298">
        <v>13072</v>
      </c>
      <c r="E27" s="298">
        <v>0</v>
      </c>
      <c r="F27" s="298">
        <v>4639060</v>
      </c>
      <c r="G27" s="22" t="s">
        <v>6321</v>
      </c>
      <c r="H27" s="112"/>
      <c r="I27" s="112"/>
    </row>
    <row r="28" spans="1:9">
      <c r="A28" s="41">
        <v>59</v>
      </c>
      <c r="B28" s="41" t="s">
        <v>6322</v>
      </c>
      <c r="C28" s="41" t="s">
        <v>6323</v>
      </c>
      <c r="D28" s="41">
        <v>0</v>
      </c>
      <c r="E28" s="41">
        <v>2339234</v>
      </c>
      <c r="F28" s="41">
        <v>2355939</v>
      </c>
      <c r="G28" s="22"/>
      <c r="H28" s="112"/>
      <c r="I28" s="112"/>
    </row>
    <row r="29" spans="1:9">
      <c r="A29" s="299">
        <v>65</v>
      </c>
      <c r="B29" s="299" t="s">
        <v>6324</v>
      </c>
      <c r="C29" s="299" t="s">
        <v>6325</v>
      </c>
      <c r="D29" s="299">
        <v>0</v>
      </c>
      <c r="E29" s="299">
        <v>161458284</v>
      </c>
      <c r="F29" s="299">
        <v>379598720</v>
      </c>
      <c r="G29" s="22" t="s">
        <v>6326</v>
      </c>
      <c r="H29" s="112">
        <f>(E29-D31)/10</f>
        <v>987467.4</v>
      </c>
      <c r="I29" s="112">
        <f>H29/2</f>
        <v>493733.7</v>
      </c>
    </row>
    <row r="30" spans="1:9">
      <c r="A30" s="41">
        <v>66</v>
      </c>
      <c r="B30" s="41" t="s">
        <v>6324</v>
      </c>
      <c r="C30" s="41" t="s">
        <v>6327</v>
      </c>
      <c r="D30" s="41">
        <v>227863316</v>
      </c>
      <c r="E30" s="41">
        <v>0</v>
      </c>
      <c r="F30" s="41">
        <v>151735404</v>
      </c>
      <c r="G30" s="22"/>
    </row>
    <row r="31" spans="1:9">
      <c r="A31" s="299">
        <v>67</v>
      </c>
      <c r="B31" s="299" t="s">
        <v>6324</v>
      </c>
      <c r="C31" s="299" t="s">
        <v>6328</v>
      </c>
      <c r="D31" s="299">
        <v>151583610</v>
      </c>
      <c r="E31" s="299">
        <v>0</v>
      </c>
      <c r="F31" s="299">
        <v>151794</v>
      </c>
      <c r="G31" s="22"/>
    </row>
    <row r="32" spans="1:9">
      <c r="A32" s="41">
        <v>69</v>
      </c>
      <c r="B32" s="41" t="s">
        <v>6329</v>
      </c>
      <c r="C32" s="41" t="s">
        <v>6330</v>
      </c>
      <c r="D32" s="41">
        <v>86650200</v>
      </c>
      <c r="E32" s="41">
        <v>0</v>
      </c>
      <c r="F32" s="41">
        <v>420268653</v>
      </c>
      <c r="G32" s="22"/>
    </row>
    <row r="33" spans="1:9">
      <c r="A33" s="41">
        <v>71</v>
      </c>
      <c r="B33" s="41" t="s">
        <v>6329</v>
      </c>
      <c r="C33" s="41" t="s">
        <v>6331</v>
      </c>
      <c r="D33" s="41">
        <v>135477677</v>
      </c>
      <c r="E33" s="41">
        <v>0</v>
      </c>
      <c r="F33" s="41">
        <v>223507936</v>
      </c>
      <c r="G33" s="22"/>
    </row>
    <row r="34" spans="1:9">
      <c r="A34" s="41">
        <v>73</v>
      </c>
      <c r="B34" s="41" t="s">
        <v>6329</v>
      </c>
      <c r="C34" s="41" t="s">
        <v>6332</v>
      </c>
      <c r="D34" s="41">
        <v>69492638</v>
      </c>
      <c r="E34" s="41">
        <v>0</v>
      </c>
      <c r="F34" s="41">
        <v>153774186</v>
      </c>
      <c r="G34" s="22"/>
    </row>
    <row r="35" spans="1:9">
      <c r="A35" s="41">
        <v>79</v>
      </c>
      <c r="B35" s="41" t="s">
        <v>6333</v>
      </c>
      <c r="C35" s="41" t="s">
        <v>6334</v>
      </c>
      <c r="D35" s="41">
        <v>338468093</v>
      </c>
      <c r="E35" s="41">
        <v>0</v>
      </c>
      <c r="F35" s="41">
        <v>-338350050</v>
      </c>
      <c r="G35" s="22"/>
    </row>
    <row r="36" spans="1:9">
      <c r="A36" s="41">
        <v>80</v>
      </c>
      <c r="B36" s="41" t="s">
        <v>6335</v>
      </c>
      <c r="C36" s="41" t="s">
        <v>6336</v>
      </c>
      <c r="D36" s="41">
        <v>330081591</v>
      </c>
      <c r="E36" s="41">
        <v>0</v>
      </c>
      <c r="F36" s="41">
        <v>-330057613</v>
      </c>
      <c r="G36" s="22"/>
    </row>
    <row r="37" spans="1:9">
      <c r="A37" s="41">
        <v>81</v>
      </c>
      <c r="B37" s="41" t="s">
        <v>6335</v>
      </c>
      <c r="C37" s="41" t="s">
        <v>6337</v>
      </c>
      <c r="D37" s="41">
        <v>169824344</v>
      </c>
      <c r="E37" s="41">
        <v>0</v>
      </c>
      <c r="F37" s="41">
        <v>-499881957</v>
      </c>
      <c r="G37" s="22"/>
    </row>
    <row r="38" spans="1:9">
      <c r="A38" s="41">
        <v>82</v>
      </c>
      <c r="B38" s="41" t="s">
        <v>6338</v>
      </c>
      <c r="C38" s="41" t="s">
        <v>6339</v>
      </c>
      <c r="D38" s="41">
        <v>176497082</v>
      </c>
      <c r="E38" s="41">
        <v>0</v>
      </c>
      <c r="F38" s="41">
        <v>152229958</v>
      </c>
      <c r="G38" s="22"/>
    </row>
    <row r="39" spans="1:9">
      <c r="A39" s="41">
        <v>83</v>
      </c>
      <c r="B39" s="41" t="s">
        <v>6338</v>
      </c>
      <c r="C39" s="41" t="s">
        <v>6340</v>
      </c>
      <c r="D39" s="41">
        <v>152205980</v>
      </c>
      <c r="E39" s="41">
        <v>0</v>
      </c>
      <c r="F39" s="41">
        <v>23978</v>
      </c>
      <c r="G39" s="22"/>
    </row>
    <row r="40" spans="1:9">
      <c r="A40" s="41">
        <v>85</v>
      </c>
      <c r="B40" s="41" t="s">
        <v>6341</v>
      </c>
      <c r="C40" s="41" t="s">
        <v>6342</v>
      </c>
      <c r="D40" s="41">
        <v>170329802</v>
      </c>
      <c r="E40" s="41">
        <v>0</v>
      </c>
      <c r="F40" s="41">
        <v>329670198</v>
      </c>
      <c r="G40" s="22"/>
    </row>
    <row r="41" spans="1:9">
      <c r="A41" s="41">
        <v>86</v>
      </c>
      <c r="B41" s="41" t="s">
        <v>6343</v>
      </c>
      <c r="C41" s="41" t="s">
        <v>6344</v>
      </c>
      <c r="D41" s="41">
        <v>0</v>
      </c>
      <c r="E41" s="41">
        <v>0</v>
      </c>
      <c r="F41" s="41">
        <v>0</v>
      </c>
      <c r="H41" s="94">
        <f>SUM(H6:H40)</f>
        <v>4206951.7</v>
      </c>
      <c r="I41" s="94">
        <f>SUM(I6:I40)</f>
        <v>2103475.85</v>
      </c>
    </row>
    <row r="42" spans="1:9">
      <c r="A42" s="41">
        <v>87</v>
      </c>
      <c r="G42" s="22"/>
      <c r="H42" s="22" t="s">
        <v>6345</v>
      </c>
      <c r="I42" s="94" t="s">
        <v>6346</v>
      </c>
    </row>
    <row r="43" spans="1:9">
      <c r="G43" s="22"/>
    </row>
  </sheetData>
  <mergeCells count="2">
    <mergeCell ref="B1:C1"/>
    <mergeCell ref="D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4223</v>
      </c>
      <c r="B1" t="s">
        <v>4224</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900</v>
      </c>
      <c r="D3" s="11">
        <v>32</v>
      </c>
      <c r="E3" s="11">
        <f t="shared" ref="E3:E45" si="0">E4+D3</f>
        <v>702</v>
      </c>
      <c r="F3" s="11">
        <f t="shared" ref="F3:F84" si="1">IF(B3&gt;0,1,0)</f>
        <v>1</v>
      </c>
      <c r="G3" s="11">
        <f t="shared" ref="G3:G84" si="2">B3*(E3-F3)</f>
        <v>471773</v>
      </c>
    </row>
    <row r="4" spans="1:7">
      <c r="A4" s="11" t="s">
        <v>506</v>
      </c>
      <c r="B4" s="3">
        <v>503</v>
      </c>
      <c r="C4" s="11" t="s">
        <v>900</v>
      </c>
      <c r="D4" s="11">
        <v>31</v>
      </c>
      <c r="E4" s="11">
        <f t="shared" si="0"/>
        <v>670</v>
      </c>
      <c r="F4" s="11">
        <f t="shared" si="1"/>
        <v>1</v>
      </c>
      <c r="G4" s="11">
        <f t="shared" si="2"/>
        <v>336507</v>
      </c>
    </row>
    <row r="5" spans="1:7">
      <c r="A5" s="11" t="s">
        <v>547</v>
      </c>
      <c r="B5" s="3">
        <v>478</v>
      </c>
      <c r="C5" s="11" t="s">
        <v>900</v>
      </c>
      <c r="D5" s="11">
        <v>31</v>
      </c>
      <c r="E5" s="11">
        <f t="shared" si="0"/>
        <v>639</v>
      </c>
      <c r="F5" s="11">
        <f t="shared" si="1"/>
        <v>1</v>
      </c>
      <c r="G5" s="11">
        <f t="shared" si="2"/>
        <v>304964</v>
      </c>
    </row>
    <row r="6" spans="1:7">
      <c r="A6" s="11" t="s">
        <v>578</v>
      </c>
      <c r="B6" s="3">
        <v>482</v>
      </c>
      <c r="C6" s="11" t="s">
        <v>900</v>
      </c>
      <c r="D6" s="11">
        <v>31</v>
      </c>
      <c r="E6" s="11">
        <f t="shared" si="0"/>
        <v>608</v>
      </c>
      <c r="F6" s="11">
        <f t="shared" si="1"/>
        <v>1</v>
      </c>
      <c r="G6" s="11">
        <f t="shared" si="2"/>
        <v>292574</v>
      </c>
    </row>
    <row r="7" spans="1:7">
      <c r="A7" s="11" t="s">
        <v>621</v>
      </c>
      <c r="B7" s="3">
        <v>487</v>
      </c>
      <c r="C7" s="11" t="s">
        <v>900</v>
      </c>
      <c r="D7" s="11">
        <v>31</v>
      </c>
      <c r="E7" s="11">
        <f t="shared" si="0"/>
        <v>577</v>
      </c>
      <c r="F7" s="11">
        <f t="shared" si="1"/>
        <v>1</v>
      </c>
      <c r="G7" s="11">
        <f t="shared" si="2"/>
        <v>280512</v>
      </c>
    </row>
    <row r="8" spans="1:7">
      <c r="A8" s="11" t="s">
        <v>624</v>
      </c>
      <c r="B8" s="3">
        <v>491</v>
      </c>
      <c r="C8" s="11" t="s">
        <v>900</v>
      </c>
      <c r="D8" s="11">
        <v>31</v>
      </c>
      <c r="E8" s="11">
        <f t="shared" si="0"/>
        <v>546</v>
      </c>
      <c r="F8" s="11">
        <f t="shared" si="1"/>
        <v>1</v>
      </c>
      <c r="G8" s="11">
        <f t="shared" si="2"/>
        <v>267595</v>
      </c>
    </row>
    <row r="9" spans="1:7">
      <c r="A9" s="11" t="s">
        <v>625</v>
      </c>
      <c r="B9" s="3">
        <v>496</v>
      </c>
      <c r="C9" s="11" t="s">
        <v>900</v>
      </c>
      <c r="D9" s="11">
        <v>30</v>
      </c>
      <c r="E9" s="11">
        <f t="shared" si="0"/>
        <v>515</v>
      </c>
      <c r="F9" s="11">
        <f t="shared" si="1"/>
        <v>1</v>
      </c>
      <c r="G9" s="11">
        <f t="shared" si="2"/>
        <v>254944</v>
      </c>
    </row>
    <row r="10" spans="1:7">
      <c r="A10" s="11" t="s">
        <v>626</v>
      </c>
      <c r="B10" s="3">
        <v>440</v>
      </c>
      <c r="C10" s="11" t="s">
        <v>900</v>
      </c>
      <c r="D10" s="11">
        <v>30</v>
      </c>
      <c r="E10" s="11">
        <f t="shared" si="0"/>
        <v>485</v>
      </c>
      <c r="F10" s="11">
        <f t="shared" si="1"/>
        <v>1</v>
      </c>
      <c r="G10" s="11">
        <f t="shared" si="2"/>
        <v>212960</v>
      </c>
    </row>
    <row r="11" spans="1:7">
      <c r="A11" s="11" t="s">
        <v>627</v>
      </c>
      <c r="B11" s="3">
        <v>444</v>
      </c>
      <c r="C11" s="11" t="s">
        <v>900</v>
      </c>
      <c r="D11" s="11">
        <v>25</v>
      </c>
      <c r="E11" s="11">
        <f t="shared" si="0"/>
        <v>455</v>
      </c>
      <c r="F11" s="11">
        <f t="shared" si="1"/>
        <v>1</v>
      </c>
      <c r="G11" s="11">
        <f t="shared" si="2"/>
        <v>201576</v>
      </c>
    </row>
    <row r="12" spans="1:7">
      <c r="A12" s="11" t="s">
        <v>787</v>
      </c>
      <c r="B12" s="3">
        <v>-10000</v>
      </c>
      <c r="C12" s="11" t="s">
        <v>499</v>
      </c>
      <c r="D12" s="11">
        <v>4</v>
      </c>
      <c r="E12" s="11">
        <f t="shared" si="0"/>
        <v>430</v>
      </c>
      <c r="F12" s="11">
        <f t="shared" si="1"/>
        <v>0</v>
      </c>
      <c r="G12" s="11">
        <f t="shared" si="2"/>
        <v>-4300000</v>
      </c>
    </row>
    <row r="13" spans="1:7">
      <c r="A13" s="11" t="s">
        <v>884</v>
      </c>
      <c r="B13" s="3">
        <v>436</v>
      </c>
      <c r="C13" s="11" t="s">
        <v>797</v>
      </c>
      <c r="D13" s="11">
        <v>3</v>
      </c>
      <c r="E13" s="11">
        <f t="shared" si="0"/>
        <v>426</v>
      </c>
      <c r="F13" s="11">
        <f t="shared" si="1"/>
        <v>1</v>
      </c>
      <c r="G13" s="11">
        <f t="shared" si="2"/>
        <v>185300</v>
      </c>
    </row>
    <row r="14" spans="1:7">
      <c r="A14" s="11" t="s">
        <v>800</v>
      </c>
      <c r="B14" s="3">
        <v>1000000</v>
      </c>
      <c r="C14" s="11" t="s">
        <v>802</v>
      </c>
      <c r="D14" s="11">
        <v>3</v>
      </c>
      <c r="E14" s="11">
        <f t="shared" si="0"/>
        <v>423</v>
      </c>
      <c r="F14" s="11">
        <f t="shared" si="1"/>
        <v>1</v>
      </c>
      <c r="G14" s="11">
        <f t="shared" si="2"/>
        <v>422000000</v>
      </c>
    </row>
    <row r="15" spans="1:7">
      <c r="A15" s="11" t="s">
        <v>804</v>
      </c>
      <c r="B15" s="3">
        <v>-95000</v>
      </c>
      <c r="C15" s="11" t="s">
        <v>499</v>
      </c>
      <c r="D15" s="11">
        <v>0</v>
      </c>
      <c r="E15" s="11">
        <f t="shared" si="0"/>
        <v>420</v>
      </c>
      <c r="F15" s="11">
        <f t="shared" si="1"/>
        <v>0</v>
      </c>
      <c r="G15" s="11">
        <f t="shared" si="2"/>
        <v>-39900000</v>
      </c>
    </row>
    <row r="16" spans="1:7">
      <c r="A16" s="11" t="s">
        <v>804</v>
      </c>
      <c r="B16" s="3">
        <v>-70600</v>
      </c>
      <c r="C16" s="11" t="s">
        <v>805</v>
      </c>
      <c r="D16" s="11">
        <v>0</v>
      </c>
      <c r="E16" s="11">
        <f t="shared" si="0"/>
        <v>420</v>
      </c>
      <c r="F16" s="11">
        <f t="shared" si="1"/>
        <v>0</v>
      </c>
      <c r="G16" s="11">
        <f t="shared" si="2"/>
        <v>-29652000</v>
      </c>
    </row>
    <row r="17" spans="1:7">
      <c r="A17" s="11" t="s">
        <v>804</v>
      </c>
      <c r="B17" s="3">
        <v>-450030</v>
      </c>
      <c r="C17" s="11" t="s">
        <v>806</v>
      </c>
      <c r="D17" s="11">
        <v>2</v>
      </c>
      <c r="E17" s="11">
        <f t="shared" si="0"/>
        <v>420</v>
      </c>
      <c r="F17" s="11">
        <f t="shared" si="1"/>
        <v>0</v>
      </c>
      <c r="G17" s="11">
        <f t="shared" si="2"/>
        <v>-189012600</v>
      </c>
    </row>
    <row r="18" spans="1:7">
      <c r="A18" s="11" t="s">
        <v>807</v>
      </c>
      <c r="B18" s="3">
        <v>-109047</v>
      </c>
      <c r="C18" s="11" t="s">
        <v>502</v>
      </c>
      <c r="D18" s="11">
        <v>1</v>
      </c>
      <c r="E18" s="11">
        <f t="shared" si="0"/>
        <v>418</v>
      </c>
      <c r="F18" s="11">
        <f t="shared" si="1"/>
        <v>0</v>
      </c>
      <c r="G18" s="11">
        <f t="shared" si="2"/>
        <v>-45581646</v>
      </c>
    </row>
    <row r="19" spans="1:7">
      <c r="A19" s="11" t="s">
        <v>810</v>
      </c>
      <c r="B19" s="3">
        <v>-26000</v>
      </c>
      <c r="C19" s="11" t="s">
        <v>811</v>
      </c>
      <c r="D19" s="11">
        <v>3</v>
      </c>
      <c r="E19" s="11">
        <f t="shared" si="0"/>
        <v>417</v>
      </c>
      <c r="F19" s="11">
        <f t="shared" si="1"/>
        <v>0</v>
      </c>
      <c r="G19" s="11">
        <f t="shared" si="2"/>
        <v>-10842000</v>
      </c>
    </row>
    <row r="20" spans="1:7">
      <c r="A20" s="11" t="s">
        <v>814</v>
      </c>
      <c r="B20" s="3">
        <v>-80000</v>
      </c>
      <c r="C20" s="11" t="s">
        <v>499</v>
      </c>
      <c r="D20" s="11">
        <v>2</v>
      </c>
      <c r="E20" s="11">
        <f t="shared" si="0"/>
        <v>414</v>
      </c>
      <c r="F20" s="11">
        <f t="shared" si="1"/>
        <v>0</v>
      </c>
      <c r="G20" s="11">
        <f t="shared" si="2"/>
        <v>-33120000</v>
      </c>
    </row>
    <row r="21" spans="1:7">
      <c r="A21" s="11" t="s">
        <v>816</v>
      </c>
      <c r="B21" s="3">
        <v>-95000</v>
      </c>
      <c r="C21" s="11" t="s">
        <v>499</v>
      </c>
      <c r="D21" s="11">
        <v>2</v>
      </c>
      <c r="E21" s="11">
        <f t="shared" si="0"/>
        <v>412</v>
      </c>
      <c r="F21" s="11">
        <f t="shared" si="1"/>
        <v>0</v>
      </c>
      <c r="G21" s="11">
        <f t="shared" si="2"/>
        <v>-39140000</v>
      </c>
    </row>
    <row r="22" spans="1:7">
      <c r="A22" s="11" t="s">
        <v>819</v>
      </c>
      <c r="B22" s="3">
        <v>-15670</v>
      </c>
      <c r="C22" s="11" t="s">
        <v>647</v>
      </c>
      <c r="D22" s="11">
        <v>1</v>
      </c>
      <c r="E22" s="11">
        <f t="shared" si="0"/>
        <v>410</v>
      </c>
      <c r="F22" s="11">
        <f t="shared" si="1"/>
        <v>0</v>
      </c>
      <c r="G22" s="11">
        <f t="shared" si="2"/>
        <v>-6424700</v>
      </c>
    </row>
    <row r="23" spans="1:7">
      <c r="A23" s="11" t="s">
        <v>822</v>
      </c>
      <c r="B23" s="3">
        <v>-95500</v>
      </c>
      <c r="C23" s="11" t="s">
        <v>823</v>
      </c>
      <c r="D23" s="11">
        <v>1</v>
      </c>
      <c r="E23" s="11">
        <f t="shared" si="0"/>
        <v>409</v>
      </c>
      <c r="F23" s="11">
        <f t="shared" si="1"/>
        <v>0</v>
      </c>
      <c r="G23" s="11">
        <f t="shared" si="2"/>
        <v>-39059500</v>
      </c>
    </row>
    <row r="24" spans="1:7">
      <c r="A24" s="11" t="s">
        <v>824</v>
      </c>
      <c r="B24" s="3">
        <v>2000000</v>
      </c>
      <c r="C24" s="11" t="s">
        <v>825</v>
      </c>
      <c r="D24" s="11">
        <v>0</v>
      </c>
      <c r="E24" s="11">
        <f t="shared" si="0"/>
        <v>408</v>
      </c>
      <c r="F24" s="11">
        <f t="shared" si="1"/>
        <v>1</v>
      </c>
      <c r="G24" s="11">
        <f t="shared" si="2"/>
        <v>814000000</v>
      </c>
    </row>
    <row r="25" spans="1:7">
      <c r="A25" s="11" t="s">
        <v>824</v>
      </c>
      <c r="B25" s="3">
        <v>-131450</v>
      </c>
      <c r="C25" s="11" t="s">
        <v>827</v>
      </c>
      <c r="D25" s="11">
        <v>6</v>
      </c>
      <c r="E25" s="11">
        <f t="shared" si="0"/>
        <v>408</v>
      </c>
      <c r="F25" s="11">
        <f t="shared" si="1"/>
        <v>0</v>
      </c>
      <c r="G25" s="11">
        <f t="shared" si="2"/>
        <v>-53631600</v>
      </c>
    </row>
    <row r="26" spans="1:7">
      <c r="A26" s="11" t="s">
        <v>829</v>
      </c>
      <c r="B26" s="3">
        <v>-15120</v>
      </c>
      <c r="C26" s="11" t="s">
        <v>647</v>
      </c>
      <c r="D26" s="11">
        <v>2</v>
      </c>
      <c r="E26" s="11">
        <f t="shared" si="0"/>
        <v>402</v>
      </c>
      <c r="F26" s="11">
        <f t="shared" si="1"/>
        <v>0</v>
      </c>
      <c r="G26" s="11">
        <f t="shared" si="2"/>
        <v>-6078240</v>
      </c>
    </row>
    <row r="27" spans="1:7">
      <c r="A27" s="11" t="s">
        <v>830</v>
      </c>
      <c r="B27" s="3">
        <v>-200000</v>
      </c>
      <c r="C27" s="11" t="s">
        <v>499</v>
      </c>
      <c r="D27" s="11">
        <v>1</v>
      </c>
      <c r="E27" s="11">
        <f t="shared" si="0"/>
        <v>400</v>
      </c>
      <c r="F27" s="11">
        <f t="shared" si="1"/>
        <v>0</v>
      </c>
      <c r="G27" s="11">
        <f t="shared" si="2"/>
        <v>-80000000</v>
      </c>
    </row>
    <row r="28" spans="1:7">
      <c r="A28" s="11" t="s">
        <v>831</v>
      </c>
      <c r="B28" s="3">
        <v>-180500</v>
      </c>
      <c r="C28" s="11" t="s">
        <v>832</v>
      </c>
      <c r="D28" s="11">
        <v>3</v>
      </c>
      <c r="E28" s="11">
        <f t="shared" si="0"/>
        <v>399</v>
      </c>
      <c r="F28" s="11">
        <f t="shared" si="1"/>
        <v>0</v>
      </c>
      <c r="G28" s="11">
        <f t="shared" si="2"/>
        <v>-72019500</v>
      </c>
    </row>
    <row r="29" spans="1:7">
      <c r="A29" s="11" t="s">
        <v>834</v>
      </c>
      <c r="B29" s="35">
        <v>7117</v>
      </c>
      <c r="C29" s="11" t="s">
        <v>840</v>
      </c>
      <c r="D29" s="11">
        <v>4</v>
      </c>
      <c r="E29" s="11">
        <f t="shared" si="0"/>
        <v>396</v>
      </c>
      <c r="F29" s="11">
        <f t="shared" si="1"/>
        <v>1</v>
      </c>
      <c r="G29" s="11">
        <f t="shared" si="2"/>
        <v>2811215</v>
      </c>
    </row>
    <row r="30" spans="1:7">
      <c r="A30" s="11" t="s">
        <v>848</v>
      </c>
      <c r="B30" s="3">
        <v>-10000</v>
      </c>
      <c r="C30" s="11" t="s">
        <v>499</v>
      </c>
      <c r="D30" s="11">
        <v>4</v>
      </c>
      <c r="E30" s="11">
        <f t="shared" si="0"/>
        <v>392</v>
      </c>
      <c r="F30" s="11">
        <f t="shared" si="1"/>
        <v>0</v>
      </c>
      <c r="G30" s="11">
        <f t="shared" si="2"/>
        <v>-3920000</v>
      </c>
    </row>
    <row r="31" spans="1:7">
      <c r="A31" s="11" t="s">
        <v>854</v>
      </c>
      <c r="B31" s="3">
        <v>-47053</v>
      </c>
      <c r="C31" s="11" t="s">
        <v>855</v>
      </c>
      <c r="D31" s="11">
        <v>6</v>
      </c>
      <c r="E31" s="11">
        <f t="shared" si="0"/>
        <v>388</v>
      </c>
      <c r="F31" s="11">
        <f t="shared" si="1"/>
        <v>0</v>
      </c>
      <c r="G31" s="11">
        <f t="shared" si="2"/>
        <v>-18256564</v>
      </c>
    </row>
    <row r="32" spans="1:7">
      <c r="A32" s="11" t="s">
        <v>856</v>
      </c>
      <c r="B32" s="3">
        <v>-33870</v>
      </c>
      <c r="C32" s="11" t="s">
        <v>857</v>
      </c>
      <c r="D32" s="11">
        <v>4</v>
      </c>
      <c r="E32" s="11">
        <f t="shared" si="0"/>
        <v>382</v>
      </c>
      <c r="F32" s="11">
        <f t="shared" si="1"/>
        <v>0</v>
      </c>
      <c r="G32" s="11">
        <f t="shared" si="2"/>
        <v>-12938340</v>
      </c>
    </row>
    <row r="33" spans="1:9">
      <c r="A33" s="11" t="s">
        <v>858</v>
      </c>
      <c r="B33" s="3">
        <v>-22000</v>
      </c>
      <c r="C33" s="11" t="s">
        <v>859</v>
      </c>
      <c r="D33" s="11">
        <v>0</v>
      </c>
      <c r="E33" s="11">
        <f t="shared" si="0"/>
        <v>378</v>
      </c>
      <c r="F33" s="11">
        <f t="shared" si="1"/>
        <v>0</v>
      </c>
      <c r="G33" s="11">
        <f t="shared" si="2"/>
        <v>-8316000</v>
      </c>
    </row>
    <row r="34" spans="1:9">
      <c r="A34" s="11" t="s">
        <v>858</v>
      </c>
      <c r="B34" s="3">
        <v>-250000</v>
      </c>
      <c r="C34" s="11" t="s">
        <v>860</v>
      </c>
      <c r="D34" s="11">
        <v>0</v>
      </c>
      <c r="E34" s="11">
        <f t="shared" si="0"/>
        <v>378</v>
      </c>
      <c r="F34" s="11">
        <f t="shared" si="1"/>
        <v>0</v>
      </c>
      <c r="G34" s="11">
        <f t="shared" si="2"/>
        <v>-94500000</v>
      </c>
    </row>
    <row r="35" spans="1:9">
      <c r="A35" s="11" t="s">
        <v>858</v>
      </c>
      <c r="B35" s="3">
        <v>-650500</v>
      </c>
      <c r="C35" s="11" t="s">
        <v>861</v>
      </c>
      <c r="D35" s="11">
        <v>2</v>
      </c>
      <c r="E35" s="11">
        <f t="shared" si="0"/>
        <v>378</v>
      </c>
      <c r="F35" s="11">
        <f t="shared" si="1"/>
        <v>0</v>
      </c>
      <c r="G35" s="11">
        <f t="shared" si="2"/>
        <v>-245889000</v>
      </c>
    </row>
    <row r="36" spans="1:9">
      <c r="A36" s="11" t="s">
        <v>862</v>
      </c>
      <c r="B36" s="3">
        <v>-200000</v>
      </c>
      <c r="C36" s="11" t="s">
        <v>499</v>
      </c>
      <c r="D36" s="11">
        <v>3</v>
      </c>
      <c r="E36" s="11">
        <f t="shared" si="0"/>
        <v>376</v>
      </c>
      <c r="F36" s="11">
        <f t="shared" si="1"/>
        <v>0</v>
      </c>
      <c r="G36" s="11">
        <f t="shared" si="2"/>
        <v>-75200000</v>
      </c>
    </row>
    <row r="37" spans="1:9">
      <c r="A37" s="11" t="s">
        <v>863</v>
      </c>
      <c r="B37" s="3">
        <v>-200000</v>
      </c>
      <c r="C37" s="11" t="s">
        <v>499</v>
      </c>
      <c r="D37" s="11">
        <v>0</v>
      </c>
      <c r="E37" s="11">
        <f t="shared" si="0"/>
        <v>373</v>
      </c>
      <c r="F37" s="11">
        <f t="shared" si="1"/>
        <v>0</v>
      </c>
      <c r="G37" s="11">
        <f t="shared" si="2"/>
        <v>-74600000</v>
      </c>
    </row>
    <row r="38" spans="1:9">
      <c r="A38" s="11" t="s">
        <v>885</v>
      </c>
      <c r="B38" s="3">
        <v>-26274</v>
      </c>
      <c r="C38" s="11" t="s">
        <v>61</v>
      </c>
      <c r="D38" s="11">
        <v>1</v>
      </c>
      <c r="E38" s="11">
        <f t="shared" si="0"/>
        <v>373</v>
      </c>
      <c r="F38" s="11">
        <f t="shared" si="1"/>
        <v>0</v>
      </c>
      <c r="G38" s="11">
        <f t="shared" si="2"/>
        <v>-9800202</v>
      </c>
    </row>
    <row r="39" spans="1:9">
      <c r="A39" s="11" t="s">
        <v>886</v>
      </c>
      <c r="B39" s="3">
        <v>-10070</v>
      </c>
      <c r="C39" s="11" t="s">
        <v>61</v>
      </c>
      <c r="D39" s="11">
        <v>1</v>
      </c>
      <c r="E39" s="11">
        <f t="shared" si="0"/>
        <v>372</v>
      </c>
      <c r="F39" s="11">
        <f t="shared" si="1"/>
        <v>0</v>
      </c>
      <c r="G39" s="11">
        <f t="shared" si="2"/>
        <v>-3746040</v>
      </c>
    </row>
    <row r="40" spans="1:9">
      <c r="A40" s="11" t="s">
        <v>887</v>
      </c>
      <c r="B40" s="3">
        <v>-30000</v>
      </c>
      <c r="C40" s="11" t="s">
        <v>888</v>
      </c>
      <c r="D40" s="11">
        <v>5</v>
      </c>
      <c r="E40" s="11">
        <f t="shared" si="0"/>
        <v>371</v>
      </c>
      <c r="F40" s="11">
        <f t="shared" si="1"/>
        <v>0</v>
      </c>
      <c r="G40" s="11">
        <f t="shared" si="2"/>
        <v>-11130000</v>
      </c>
    </row>
    <row r="41" spans="1:9">
      <c r="A41" s="11" t="s">
        <v>870</v>
      </c>
      <c r="B41" s="3">
        <v>7481</v>
      </c>
      <c r="C41" s="11" t="s">
        <v>889</v>
      </c>
      <c r="D41" s="11">
        <v>1</v>
      </c>
      <c r="E41" s="11">
        <f t="shared" si="0"/>
        <v>366</v>
      </c>
      <c r="F41" s="11">
        <f t="shared" si="1"/>
        <v>1</v>
      </c>
      <c r="G41" s="11">
        <f t="shared" si="2"/>
        <v>2730565</v>
      </c>
    </row>
    <row r="42" spans="1:9">
      <c r="A42" s="11" t="s">
        <v>873</v>
      </c>
      <c r="B42" s="3">
        <v>1000000</v>
      </c>
      <c r="C42" s="11" t="s">
        <v>874</v>
      </c>
      <c r="D42" s="11">
        <v>2</v>
      </c>
      <c r="E42" s="11">
        <f t="shared" si="0"/>
        <v>365</v>
      </c>
      <c r="F42" s="11">
        <f t="shared" si="1"/>
        <v>1</v>
      </c>
      <c r="G42" s="11">
        <f t="shared" si="2"/>
        <v>364000000</v>
      </c>
    </row>
    <row r="43" spans="1:9">
      <c r="A43" s="11" t="s">
        <v>890</v>
      </c>
      <c r="B43" s="3">
        <v>-39330</v>
      </c>
      <c r="C43" s="11" t="s">
        <v>876</v>
      </c>
      <c r="D43" s="11">
        <v>3</v>
      </c>
      <c r="E43" s="11">
        <f t="shared" si="0"/>
        <v>363</v>
      </c>
      <c r="F43" s="11">
        <f t="shared" si="1"/>
        <v>0</v>
      </c>
      <c r="G43" s="11">
        <f t="shared" si="2"/>
        <v>-14276790</v>
      </c>
    </row>
    <row r="44" spans="1:9">
      <c r="A44" s="11" t="s">
        <v>891</v>
      </c>
      <c r="B44" s="3">
        <v>-35080</v>
      </c>
      <c r="C44" s="11" t="s">
        <v>61</v>
      </c>
      <c r="D44" s="11">
        <v>3</v>
      </c>
      <c r="E44" s="11">
        <f t="shared" si="0"/>
        <v>360</v>
      </c>
      <c r="F44" s="11">
        <f t="shared" si="1"/>
        <v>0</v>
      </c>
      <c r="G44" s="11">
        <f t="shared" si="2"/>
        <v>-12628800</v>
      </c>
    </row>
    <row r="45" spans="1:9">
      <c r="A45" s="11" t="s">
        <v>875</v>
      </c>
      <c r="B45" s="3">
        <v>-200000</v>
      </c>
      <c r="C45" s="11" t="s">
        <v>499</v>
      </c>
      <c r="D45" s="11">
        <v>1</v>
      </c>
      <c r="E45" s="11">
        <f t="shared" si="0"/>
        <v>357</v>
      </c>
      <c r="F45" s="11">
        <f t="shared" si="1"/>
        <v>0</v>
      </c>
      <c r="G45" s="11">
        <f t="shared" si="2"/>
        <v>-71400000</v>
      </c>
    </row>
    <row r="46" spans="1:9">
      <c r="A46" s="11" t="s">
        <v>877</v>
      </c>
      <c r="B46" s="3">
        <v>-42370</v>
      </c>
      <c r="C46" s="11" t="s">
        <v>61</v>
      </c>
      <c r="D46" s="11">
        <v>1</v>
      </c>
      <c r="E46" s="11">
        <f>E47+D46</f>
        <v>356</v>
      </c>
      <c r="F46" s="11">
        <f t="shared" si="1"/>
        <v>0</v>
      </c>
      <c r="G46" s="11">
        <f t="shared" si="2"/>
        <v>-15083720</v>
      </c>
    </row>
    <row r="47" spans="1:9">
      <c r="A47" s="11" t="s">
        <v>892</v>
      </c>
      <c r="B47" s="3">
        <v>-42914</v>
      </c>
      <c r="C47" s="11" t="s">
        <v>61</v>
      </c>
      <c r="D47" s="11">
        <v>3</v>
      </c>
      <c r="E47" s="11">
        <f t="shared" ref="E47:E84" si="3">E48+D47</f>
        <v>355</v>
      </c>
      <c r="F47" s="11">
        <f t="shared" si="1"/>
        <v>0</v>
      </c>
      <c r="G47" s="11">
        <f t="shared" si="2"/>
        <v>-15234470</v>
      </c>
    </row>
    <row r="48" spans="1:9">
      <c r="A48" s="11" t="s">
        <v>893</v>
      </c>
      <c r="B48" s="3">
        <v>-83000</v>
      </c>
      <c r="C48" s="11" t="s">
        <v>894</v>
      </c>
      <c r="D48" s="11">
        <v>1</v>
      </c>
      <c r="E48" s="11">
        <f t="shared" si="3"/>
        <v>352</v>
      </c>
      <c r="F48" s="11">
        <f t="shared" si="1"/>
        <v>0</v>
      </c>
      <c r="G48" s="11">
        <f t="shared" si="2"/>
        <v>-29216000</v>
      </c>
      <c r="I48" t="s">
        <v>25</v>
      </c>
    </row>
    <row r="49" spans="1:7">
      <c r="A49" s="11" t="s">
        <v>895</v>
      </c>
      <c r="B49" s="3">
        <v>-95000</v>
      </c>
      <c r="C49" s="11" t="s">
        <v>499</v>
      </c>
      <c r="D49" s="11">
        <v>2</v>
      </c>
      <c r="E49" s="11">
        <f t="shared" si="3"/>
        <v>351</v>
      </c>
      <c r="F49" s="11">
        <f t="shared" si="1"/>
        <v>0</v>
      </c>
      <c r="G49" s="11">
        <f t="shared" si="2"/>
        <v>-33345000</v>
      </c>
    </row>
    <row r="50" spans="1:7">
      <c r="A50" s="11" t="s">
        <v>896</v>
      </c>
      <c r="B50" s="3">
        <v>-180000</v>
      </c>
      <c r="C50" s="11" t="s">
        <v>897</v>
      </c>
      <c r="D50" s="11">
        <v>0</v>
      </c>
      <c r="E50" s="11">
        <f t="shared" si="3"/>
        <v>349</v>
      </c>
      <c r="F50" s="11">
        <f t="shared" si="1"/>
        <v>0</v>
      </c>
      <c r="G50" s="11">
        <f t="shared" si="2"/>
        <v>-62820000</v>
      </c>
    </row>
    <row r="51" spans="1:7">
      <c r="A51" s="11" t="s">
        <v>898</v>
      </c>
      <c r="B51" s="3">
        <v>-95000</v>
      </c>
      <c r="C51" s="11" t="s">
        <v>499</v>
      </c>
      <c r="D51" s="11">
        <v>2</v>
      </c>
      <c r="E51" s="11">
        <f t="shared" si="3"/>
        <v>349</v>
      </c>
      <c r="F51" s="11">
        <f t="shared" si="1"/>
        <v>0</v>
      </c>
      <c r="G51" s="11">
        <f t="shared" si="2"/>
        <v>-33155000</v>
      </c>
    </row>
    <row r="52" spans="1:7">
      <c r="A52" s="11" t="s">
        <v>899</v>
      </c>
      <c r="B52" s="3">
        <v>-12780</v>
      </c>
      <c r="C52" s="11" t="s">
        <v>61</v>
      </c>
      <c r="D52" s="11">
        <v>1</v>
      </c>
      <c r="E52" s="11">
        <f t="shared" si="3"/>
        <v>347</v>
      </c>
      <c r="F52" s="11">
        <f t="shared" si="1"/>
        <v>0</v>
      </c>
      <c r="G52" s="11">
        <f t="shared" si="2"/>
        <v>-4434660</v>
      </c>
    </row>
    <row r="53" spans="1:7">
      <c r="A53" s="11" t="s">
        <v>909</v>
      </c>
      <c r="B53" s="3">
        <v>-22000</v>
      </c>
      <c r="C53" s="11" t="s">
        <v>910</v>
      </c>
      <c r="D53" s="11">
        <v>1</v>
      </c>
      <c r="E53" s="11">
        <f t="shared" si="3"/>
        <v>346</v>
      </c>
      <c r="F53" s="11">
        <f t="shared" si="1"/>
        <v>0</v>
      </c>
      <c r="G53" s="11">
        <f t="shared" si="2"/>
        <v>-7612000</v>
      </c>
    </row>
    <row r="54" spans="1:7">
      <c r="A54" s="11" t="s">
        <v>903</v>
      </c>
      <c r="B54" s="3">
        <v>999000</v>
      </c>
      <c r="C54" s="11" t="s">
        <v>907</v>
      </c>
      <c r="D54" s="11">
        <v>0</v>
      </c>
      <c r="E54" s="11">
        <f t="shared" si="3"/>
        <v>345</v>
      </c>
      <c r="F54" s="11">
        <f t="shared" si="1"/>
        <v>1</v>
      </c>
      <c r="G54" s="11">
        <f t="shared" si="2"/>
        <v>343656000</v>
      </c>
    </row>
    <row r="55" spans="1:7">
      <c r="A55" s="11" t="s">
        <v>903</v>
      </c>
      <c r="B55" s="3">
        <v>106900</v>
      </c>
      <c r="C55" s="11" t="s">
        <v>908</v>
      </c>
      <c r="D55" s="11">
        <v>0</v>
      </c>
      <c r="E55" s="11">
        <f t="shared" si="3"/>
        <v>345</v>
      </c>
      <c r="F55" s="11">
        <f t="shared" si="1"/>
        <v>1</v>
      </c>
      <c r="G55" s="11">
        <f t="shared" si="2"/>
        <v>36773600</v>
      </c>
    </row>
    <row r="56" spans="1:7">
      <c r="A56" s="11" t="s">
        <v>903</v>
      </c>
      <c r="B56" s="3">
        <v>-163000</v>
      </c>
      <c r="C56" s="11" t="s">
        <v>462</v>
      </c>
      <c r="D56" s="11">
        <v>1</v>
      </c>
      <c r="E56" s="11">
        <f t="shared" si="3"/>
        <v>345</v>
      </c>
      <c r="F56" s="11">
        <f t="shared" si="1"/>
        <v>0</v>
      </c>
      <c r="G56" s="11">
        <f t="shared" si="2"/>
        <v>-56235000</v>
      </c>
    </row>
    <row r="57" spans="1:7">
      <c r="A57" s="11" t="s">
        <v>912</v>
      </c>
      <c r="B57" s="3">
        <v>-18400</v>
      </c>
      <c r="C57" s="11" t="s">
        <v>855</v>
      </c>
      <c r="D57" s="11">
        <v>1</v>
      </c>
      <c r="E57" s="11">
        <f t="shared" si="3"/>
        <v>344</v>
      </c>
      <c r="F57" s="11">
        <f t="shared" si="1"/>
        <v>0</v>
      </c>
      <c r="G57" s="11">
        <f t="shared" si="2"/>
        <v>-6329600</v>
      </c>
    </row>
    <row r="58" spans="1:7">
      <c r="A58" s="11" t="s">
        <v>918</v>
      </c>
      <c r="B58" s="3">
        <v>-457777</v>
      </c>
      <c r="C58" s="11" t="s">
        <v>913</v>
      </c>
      <c r="D58" s="11">
        <v>1</v>
      </c>
      <c r="E58" s="11">
        <f t="shared" si="3"/>
        <v>343</v>
      </c>
      <c r="F58" s="11">
        <f t="shared" si="1"/>
        <v>0</v>
      </c>
      <c r="G58" s="11">
        <f t="shared" si="2"/>
        <v>-157017511</v>
      </c>
    </row>
    <row r="59" spans="1:7">
      <c r="A59" s="11" t="s">
        <v>1021</v>
      </c>
      <c r="B59" s="3">
        <v>-200000</v>
      </c>
      <c r="C59" s="11" t="s">
        <v>499</v>
      </c>
      <c r="D59" s="11">
        <v>3</v>
      </c>
      <c r="E59" s="11">
        <f t="shared" si="3"/>
        <v>342</v>
      </c>
      <c r="F59" s="11">
        <f t="shared" si="1"/>
        <v>0</v>
      </c>
      <c r="G59" s="11">
        <f t="shared" si="2"/>
        <v>-68400000</v>
      </c>
    </row>
    <row r="60" spans="1:7">
      <c r="A60" s="11" t="s">
        <v>1000</v>
      </c>
      <c r="B60" s="3">
        <v>-23809</v>
      </c>
      <c r="C60" s="11" t="s">
        <v>61</v>
      </c>
      <c r="D60" s="11">
        <v>2</v>
      </c>
      <c r="E60" s="11">
        <f t="shared" si="3"/>
        <v>339</v>
      </c>
      <c r="F60" s="11">
        <f t="shared" si="1"/>
        <v>0</v>
      </c>
      <c r="G60" s="11">
        <f t="shared" si="2"/>
        <v>-8071251</v>
      </c>
    </row>
    <row r="61" spans="1:7">
      <c r="A61" s="11" t="s">
        <v>1017</v>
      </c>
      <c r="B61" s="3">
        <v>4172</v>
      </c>
      <c r="C61" s="11" t="s">
        <v>1019</v>
      </c>
      <c r="D61" s="11">
        <v>1</v>
      </c>
      <c r="E61" s="11">
        <f t="shared" si="3"/>
        <v>337</v>
      </c>
      <c r="F61" s="11">
        <f t="shared" si="1"/>
        <v>1</v>
      </c>
      <c r="G61" s="11">
        <f t="shared" si="2"/>
        <v>1401792</v>
      </c>
    </row>
    <row r="62" spans="1:7">
      <c r="A62" s="11" t="s">
        <v>1023</v>
      </c>
      <c r="B62" s="3">
        <v>-161000</v>
      </c>
      <c r="C62" s="11" t="s">
        <v>1031</v>
      </c>
      <c r="D62" s="11">
        <v>1</v>
      </c>
      <c r="E62" s="11">
        <f t="shared" si="3"/>
        <v>336</v>
      </c>
      <c r="F62" s="11">
        <f t="shared" si="1"/>
        <v>0</v>
      </c>
      <c r="G62" s="11">
        <f t="shared" si="2"/>
        <v>-54096000</v>
      </c>
    </row>
    <row r="63" spans="1:7">
      <c r="A63" s="11" t="s">
        <v>1036</v>
      </c>
      <c r="B63" s="3">
        <v>-149505</v>
      </c>
      <c r="C63" s="11" t="s">
        <v>1037</v>
      </c>
      <c r="D63" s="11">
        <v>4</v>
      </c>
      <c r="E63" s="11">
        <f t="shared" si="3"/>
        <v>335</v>
      </c>
      <c r="F63" s="11">
        <f t="shared" si="1"/>
        <v>0</v>
      </c>
      <c r="G63" s="11">
        <f t="shared" si="2"/>
        <v>-50084175</v>
      </c>
    </row>
    <row r="64" spans="1:7">
      <c r="A64" s="11" t="s">
        <v>1049</v>
      </c>
      <c r="B64" s="3">
        <v>-4940</v>
      </c>
      <c r="C64" s="11" t="s">
        <v>1053</v>
      </c>
      <c r="D64" s="11">
        <v>25</v>
      </c>
      <c r="E64" s="11">
        <f t="shared" si="3"/>
        <v>331</v>
      </c>
      <c r="F64" s="11">
        <f t="shared" si="1"/>
        <v>0</v>
      </c>
      <c r="G64" s="11">
        <f t="shared" si="2"/>
        <v>-1635140</v>
      </c>
    </row>
    <row r="65" spans="1:9">
      <c r="A65" s="11" t="s">
        <v>1127</v>
      </c>
      <c r="B65" s="3">
        <v>1009</v>
      </c>
      <c r="C65" s="11" t="s">
        <v>507</v>
      </c>
      <c r="D65" s="11">
        <v>2</v>
      </c>
      <c r="E65" s="11">
        <f t="shared" si="3"/>
        <v>306</v>
      </c>
      <c r="F65" s="11">
        <f t="shared" si="1"/>
        <v>1</v>
      </c>
      <c r="G65" s="11">
        <f t="shared" si="2"/>
        <v>307745</v>
      </c>
    </row>
    <row r="66" spans="1:9">
      <c r="A66" s="11" t="s">
        <v>1130</v>
      </c>
      <c r="B66" s="3">
        <v>-64538</v>
      </c>
      <c r="C66" s="11" t="s">
        <v>855</v>
      </c>
      <c r="D66" s="11">
        <v>9</v>
      </c>
      <c r="E66" s="11">
        <f t="shared" si="3"/>
        <v>304</v>
      </c>
      <c r="F66" s="11">
        <f t="shared" si="1"/>
        <v>0</v>
      </c>
      <c r="G66" s="11">
        <f t="shared" si="2"/>
        <v>-19619552</v>
      </c>
    </row>
    <row r="67" spans="1:9">
      <c r="A67" s="11" t="s">
        <v>1179</v>
      </c>
      <c r="B67" s="3">
        <v>1000000</v>
      </c>
      <c r="C67" s="11" t="s">
        <v>1184</v>
      </c>
      <c r="D67" s="11">
        <v>5</v>
      </c>
      <c r="E67" s="11">
        <f t="shared" si="3"/>
        <v>295</v>
      </c>
      <c r="F67" s="11">
        <f t="shared" si="1"/>
        <v>1</v>
      </c>
      <c r="G67" s="11">
        <f t="shared" si="2"/>
        <v>294000000</v>
      </c>
    </row>
    <row r="68" spans="1:9">
      <c r="A68" s="11" t="s">
        <v>1195</v>
      </c>
      <c r="B68" s="3">
        <v>-910500</v>
      </c>
      <c r="C68" s="11" t="s">
        <v>1196</v>
      </c>
      <c r="D68" s="11">
        <v>2</v>
      </c>
      <c r="E68" s="97">
        <f t="shared" si="3"/>
        <v>290</v>
      </c>
      <c r="F68" s="97">
        <f t="shared" si="1"/>
        <v>0</v>
      </c>
      <c r="G68" s="97">
        <f t="shared" si="2"/>
        <v>-264045000</v>
      </c>
    </row>
    <row r="69" spans="1:9">
      <c r="A69" s="97" t="s">
        <v>1204</v>
      </c>
      <c r="B69" s="111">
        <v>-24550</v>
      </c>
      <c r="C69" s="97" t="s">
        <v>855</v>
      </c>
      <c r="D69" s="97">
        <v>1</v>
      </c>
      <c r="E69" s="97">
        <f t="shared" si="3"/>
        <v>288</v>
      </c>
      <c r="F69" s="97">
        <f t="shared" si="1"/>
        <v>0</v>
      </c>
      <c r="G69" s="97">
        <f t="shared" si="2"/>
        <v>-7070400</v>
      </c>
    </row>
    <row r="70" spans="1:9">
      <c r="A70" s="97" t="s">
        <v>1205</v>
      </c>
      <c r="B70" s="111">
        <v>-75000</v>
      </c>
      <c r="C70" s="97" t="s">
        <v>1207</v>
      </c>
      <c r="D70" s="97">
        <v>12</v>
      </c>
      <c r="E70" s="97">
        <f t="shared" si="3"/>
        <v>287</v>
      </c>
      <c r="F70" s="97">
        <f t="shared" si="1"/>
        <v>0</v>
      </c>
      <c r="G70" s="97">
        <f t="shared" si="2"/>
        <v>-21525000</v>
      </c>
    </row>
    <row r="71" spans="1:9">
      <c r="A71" s="97" t="s">
        <v>3654</v>
      </c>
      <c r="B71" s="111">
        <v>1471</v>
      </c>
      <c r="C71" s="97" t="s">
        <v>3657</v>
      </c>
      <c r="D71" s="97">
        <v>139</v>
      </c>
      <c r="E71" s="97">
        <f t="shared" si="3"/>
        <v>275</v>
      </c>
      <c r="F71" s="97">
        <f t="shared" si="1"/>
        <v>1</v>
      </c>
      <c r="G71" s="97">
        <f t="shared" si="2"/>
        <v>403054</v>
      </c>
    </row>
    <row r="72" spans="1:9">
      <c r="A72" s="97" t="s">
        <v>4220</v>
      </c>
      <c r="B72" s="111">
        <v>-5000</v>
      </c>
      <c r="C72" s="97" t="s">
        <v>4221</v>
      </c>
      <c r="D72" s="97">
        <v>84</v>
      </c>
      <c r="E72" s="97">
        <f t="shared" si="3"/>
        <v>136</v>
      </c>
      <c r="F72" s="97">
        <f t="shared" si="1"/>
        <v>0</v>
      </c>
      <c r="G72" s="97">
        <f t="shared" si="2"/>
        <v>-680000</v>
      </c>
    </row>
    <row r="73" spans="1:9">
      <c r="A73" s="97" t="s">
        <v>4511</v>
      </c>
      <c r="B73" s="111">
        <v>100000</v>
      </c>
      <c r="C73" s="97" t="s">
        <v>3873</v>
      </c>
      <c r="D73" s="97">
        <v>50</v>
      </c>
      <c r="E73" s="97">
        <f t="shared" si="3"/>
        <v>52</v>
      </c>
      <c r="F73" s="97">
        <f t="shared" si="1"/>
        <v>1</v>
      </c>
      <c r="G73" s="97">
        <f t="shared" si="2"/>
        <v>5100000</v>
      </c>
    </row>
    <row r="74" spans="1:9">
      <c r="A74" s="97" t="s">
        <v>4639</v>
      </c>
      <c r="B74" s="111">
        <v>-38130</v>
      </c>
      <c r="C74" s="97" t="s">
        <v>1022</v>
      </c>
      <c r="D74" s="97">
        <v>1</v>
      </c>
      <c r="E74" s="97">
        <f t="shared" si="3"/>
        <v>2</v>
      </c>
      <c r="F74" s="97">
        <f t="shared" si="1"/>
        <v>0</v>
      </c>
      <c r="G74" s="97">
        <f t="shared" si="2"/>
        <v>-76260</v>
      </c>
      <c r="I74" t="s">
        <v>25</v>
      </c>
    </row>
    <row r="75" spans="1:9">
      <c r="A75" s="97" t="s">
        <v>4642</v>
      </c>
      <c r="B75" s="111">
        <v>-20000</v>
      </c>
      <c r="C75" s="97" t="s">
        <v>4646</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5287</v>
      </c>
      <c r="B1">
        <v>0.24</v>
      </c>
    </row>
    <row r="4" spans="1:21">
      <c r="A4" s="97" t="s">
        <v>3623</v>
      </c>
      <c r="B4" s="97" t="s">
        <v>180</v>
      </c>
      <c r="C4" s="97" t="s">
        <v>5291</v>
      </c>
      <c r="D4" s="97" t="s">
        <v>5292</v>
      </c>
      <c r="E4" s="97" t="s">
        <v>5299</v>
      </c>
      <c r="F4" s="97" t="s">
        <v>5293</v>
      </c>
      <c r="G4" s="97" t="s">
        <v>5294</v>
      </c>
      <c r="H4" s="97" t="s">
        <v>5295</v>
      </c>
      <c r="I4" s="97" t="s">
        <v>5296</v>
      </c>
      <c r="J4" s="97" t="s">
        <v>5297</v>
      </c>
      <c r="K4" s="97" t="s">
        <v>5298</v>
      </c>
      <c r="L4" s="97" t="s">
        <v>5286</v>
      </c>
      <c r="M4" s="97" t="s">
        <v>5288</v>
      </c>
      <c r="N4" s="97" t="s">
        <v>5289</v>
      </c>
      <c r="O4" s="97"/>
    </row>
    <row r="5" spans="1:21">
      <c r="A5" s="97">
        <v>0</v>
      </c>
      <c r="B5" s="97" t="s">
        <v>5285</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5290</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5313</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5312</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5316</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2" t="s">
        <v>4479</v>
      </c>
      <c r="B52" s="262" t="s">
        <v>5300</v>
      </c>
      <c r="C52" s="262" t="s">
        <v>5301</v>
      </c>
      <c r="D52" s="262" t="s">
        <v>5302</v>
      </c>
      <c r="E52" s="262" t="s">
        <v>4245</v>
      </c>
      <c r="F52" s="262" t="s">
        <v>5303</v>
      </c>
      <c r="G52" s="262" t="s">
        <v>5304</v>
      </c>
      <c r="H52" s="262" t="s">
        <v>5305</v>
      </c>
      <c r="I52" s="262" t="s">
        <v>5306</v>
      </c>
      <c r="J52" s="262" t="s">
        <v>5307</v>
      </c>
      <c r="K52" s="262" t="s">
        <v>5308</v>
      </c>
      <c r="L52" s="262" t="s">
        <v>5309</v>
      </c>
      <c r="M52" s="262" t="s">
        <v>5310</v>
      </c>
      <c r="N52" s="262" t="s">
        <v>5311</v>
      </c>
    </row>
    <row r="53" spans="1:14" ht="15.75" thickBot="1">
      <c r="A53" s="263" t="s">
        <v>4216</v>
      </c>
      <c r="B53" s="264">
        <v>2806332</v>
      </c>
      <c r="C53" s="264">
        <v>5993639424</v>
      </c>
      <c r="D53" s="264">
        <v>2136</v>
      </c>
      <c r="E53" s="264">
        <v>5184</v>
      </c>
      <c r="F53" s="264">
        <v>14406181843</v>
      </c>
      <c r="G53" s="264">
        <v>2157</v>
      </c>
      <c r="H53" s="264">
        <v>1296909440</v>
      </c>
      <c r="I53" s="264">
        <v>314122000</v>
      </c>
      <c r="J53" s="264">
        <v>8412542419</v>
      </c>
      <c r="K53" s="265">
        <v>1.4036</v>
      </c>
      <c r="L53" s="264">
        <v>10023573859</v>
      </c>
      <c r="M53" s="265">
        <v>1.1309</v>
      </c>
      <c r="N53" s="265">
        <v>0.83099999999999996</v>
      </c>
    </row>
    <row r="54" spans="1:14" ht="15.75" thickBot="1">
      <c r="A54" s="263" t="s">
        <v>4358</v>
      </c>
      <c r="B54" s="264">
        <v>27101</v>
      </c>
      <c r="C54" s="264">
        <v>2027973760</v>
      </c>
      <c r="D54" s="264">
        <v>74830</v>
      </c>
      <c r="E54" s="264">
        <v>75601</v>
      </c>
      <c r="F54" s="264">
        <v>2028886290</v>
      </c>
      <c r="G54" s="264">
        <v>75567</v>
      </c>
      <c r="H54" s="264">
        <v>3434430</v>
      </c>
      <c r="I54" s="263">
        <v>0</v>
      </c>
      <c r="J54" s="264">
        <v>912530</v>
      </c>
      <c r="K54" s="265">
        <v>4.0000000000000002E-4</v>
      </c>
      <c r="L54" s="264">
        <v>4346960</v>
      </c>
      <c r="M54" s="265">
        <v>2E-3</v>
      </c>
      <c r="N54" s="265">
        <v>0.11700000000000001</v>
      </c>
    </row>
    <row r="55" spans="1:14" ht="15.75" thickBot="1">
      <c r="A55" s="263" t="s">
        <v>4371</v>
      </c>
      <c r="B55" s="264">
        <v>54523</v>
      </c>
      <c r="C55" s="264">
        <v>397795200</v>
      </c>
      <c r="D55" s="264">
        <v>7296</v>
      </c>
      <c r="E55" s="264">
        <v>12992</v>
      </c>
      <c r="F55" s="264">
        <v>701456279</v>
      </c>
      <c r="G55" s="264">
        <v>7368</v>
      </c>
      <c r="H55" s="264">
        <v>455670432</v>
      </c>
      <c r="I55" s="264">
        <v>162660000</v>
      </c>
      <c r="J55" s="264">
        <v>303661079</v>
      </c>
      <c r="K55" s="265">
        <v>0.76339999999999997</v>
      </c>
      <c r="L55" s="264">
        <v>921991511</v>
      </c>
      <c r="M55" s="265">
        <v>0.53590000000000004</v>
      </c>
      <c r="N55" s="265">
        <v>4.0500000000000001E-2</v>
      </c>
    </row>
    <row r="56" spans="1:14" ht="15.75" thickBot="1">
      <c r="A56" s="263" t="s">
        <v>5273</v>
      </c>
      <c r="B56" s="264">
        <v>45598</v>
      </c>
      <c r="C56" s="264">
        <v>182155728</v>
      </c>
      <c r="D56" s="264">
        <v>3995</v>
      </c>
      <c r="E56" s="264">
        <v>3918</v>
      </c>
      <c r="F56" s="264">
        <v>176911098</v>
      </c>
      <c r="G56" s="264">
        <v>4034</v>
      </c>
      <c r="H56" s="264">
        <v>3904</v>
      </c>
      <c r="I56" s="263">
        <v>0</v>
      </c>
      <c r="J56" s="264">
        <v>-5244630</v>
      </c>
      <c r="K56" s="265">
        <v>-2.8799999999999999E-2</v>
      </c>
      <c r="L56" s="264">
        <v>-5240726</v>
      </c>
      <c r="M56" s="265">
        <v>-2.86E-2</v>
      </c>
      <c r="N56" s="265">
        <v>1.0200000000000001E-2</v>
      </c>
    </row>
    <row r="57" spans="1:14" ht="15.75" thickBot="1">
      <c r="A57" s="263" t="s">
        <v>5268</v>
      </c>
      <c r="B57" s="264">
        <v>3073</v>
      </c>
      <c r="C57" s="264">
        <v>14075376</v>
      </c>
      <c r="D57" s="264">
        <v>4580</v>
      </c>
      <c r="E57" s="264">
        <v>4903</v>
      </c>
      <c r="F57" s="264">
        <v>14920017</v>
      </c>
      <c r="G57" s="264">
        <v>4625</v>
      </c>
      <c r="H57" s="264">
        <v>1818148</v>
      </c>
      <c r="I57" s="263">
        <v>0</v>
      </c>
      <c r="J57" s="264">
        <v>844641</v>
      </c>
      <c r="K57" s="266">
        <v>0.06</v>
      </c>
      <c r="L57" s="264">
        <v>2662789</v>
      </c>
      <c r="M57" s="265">
        <v>5.2499999999999998E-2</v>
      </c>
      <c r="N57" s="265">
        <v>8.9999999999999998E-4</v>
      </c>
    </row>
    <row r="58" spans="1:14" ht="15.75" thickBot="1">
      <c r="A58" s="263" t="s">
        <v>5259</v>
      </c>
      <c r="B58" s="263">
        <v>369</v>
      </c>
      <c r="C58" s="264">
        <v>2085047</v>
      </c>
      <c r="D58" s="264">
        <v>5651</v>
      </c>
      <c r="E58" s="264">
        <v>7535</v>
      </c>
      <c r="F58" s="264">
        <v>2753306</v>
      </c>
      <c r="G58" s="264">
        <v>5707</v>
      </c>
      <c r="H58" s="263">
        <v>0</v>
      </c>
      <c r="I58" s="263">
        <v>0</v>
      </c>
      <c r="J58" s="264">
        <v>668259</v>
      </c>
      <c r="K58" s="265">
        <v>0.32050000000000001</v>
      </c>
      <c r="L58" s="264">
        <v>668259</v>
      </c>
      <c r="M58" s="265">
        <v>0.32050000000000001</v>
      </c>
      <c r="N58" s="265">
        <v>2.0000000000000001E-4</v>
      </c>
    </row>
    <row r="59" spans="1:14" ht="15.75" thickBot="1">
      <c r="A59" s="263" t="s">
        <v>4827</v>
      </c>
      <c r="B59" s="263">
        <v>100</v>
      </c>
      <c r="C59" s="264">
        <v>2844133</v>
      </c>
      <c r="D59" s="264">
        <v>28441</v>
      </c>
      <c r="E59" s="264">
        <v>28361</v>
      </c>
      <c r="F59" s="264">
        <v>2808448</v>
      </c>
      <c r="G59" s="264">
        <v>28721</v>
      </c>
      <c r="H59" s="263">
        <v>0</v>
      </c>
      <c r="I59" s="263">
        <v>0</v>
      </c>
      <c r="J59" s="264">
        <v>-35685</v>
      </c>
      <c r="K59" s="265">
        <v>-1.2500000000000001E-2</v>
      </c>
      <c r="L59" s="264">
        <v>-35685</v>
      </c>
      <c r="M59" s="265">
        <v>-1.2500000000000001E-2</v>
      </c>
      <c r="N59" s="265">
        <v>2.0000000000000001E-4</v>
      </c>
    </row>
    <row r="60" spans="1:14" ht="15.75" thickBot="1">
      <c r="A60" s="263" t="s">
        <v>5250</v>
      </c>
      <c r="B60" s="263">
        <v>38</v>
      </c>
      <c r="C60" s="264">
        <v>1126087</v>
      </c>
      <c r="D60" s="264">
        <v>29634</v>
      </c>
      <c r="E60" s="264">
        <v>45760</v>
      </c>
      <c r="F60" s="264">
        <v>1721926</v>
      </c>
      <c r="G60" s="264">
        <v>29926</v>
      </c>
      <c r="H60" s="263">
        <v>0</v>
      </c>
      <c r="I60" s="263">
        <v>0</v>
      </c>
      <c r="J60" s="264">
        <v>595839</v>
      </c>
      <c r="K60" s="265">
        <v>0.52910000000000001</v>
      </c>
      <c r="L60" s="264">
        <v>595839</v>
      </c>
      <c r="M60" s="265">
        <v>0.52910000000000001</v>
      </c>
      <c r="N60" s="265">
        <v>1E-4</v>
      </c>
    </row>
    <row r="61" spans="1:14" ht="15.75" thickBot="1">
      <c r="A61" s="263" t="s">
        <v>5282</v>
      </c>
      <c r="B61" s="263">
        <v>67</v>
      </c>
      <c r="C61" s="264">
        <v>1144282</v>
      </c>
      <c r="D61" s="264">
        <v>17079</v>
      </c>
      <c r="E61" s="264">
        <v>17000</v>
      </c>
      <c r="F61" s="264">
        <v>1127895</v>
      </c>
      <c r="G61" s="264">
        <v>17247</v>
      </c>
      <c r="H61" s="263">
        <v>0</v>
      </c>
      <c r="I61" s="263">
        <v>0</v>
      </c>
      <c r="J61" s="264">
        <v>-16387</v>
      </c>
      <c r="K61" s="265">
        <v>-1.43E-2</v>
      </c>
      <c r="L61" s="264">
        <v>-16387</v>
      </c>
      <c r="M61" s="265">
        <v>-1.43E-2</v>
      </c>
      <c r="N61" s="265">
        <v>1E-4</v>
      </c>
    </row>
    <row r="63" spans="1:14" ht="15.75" thickBot="1"/>
    <row r="64" spans="1:14" ht="27" thickBot="1">
      <c r="A64" s="262" t="s">
        <v>4479</v>
      </c>
      <c r="B64" s="262" t="s">
        <v>5300</v>
      </c>
      <c r="C64" s="262" t="s">
        <v>5301</v>
      </c>
      <c r="D64" s="262" t="s">
        <v>5302</v>
      </c>
      <c r="E64" s="262" t="s">
        <v>4245</v>
      </c>
      <c r="F64" s="262" t="s">
        <v>5303</v>
      </c>
      <c r="G64" s="262" t="s">
        <v>5304</v>
      </c>
      <c r="H64" s="262" t="s">
        <v>5305</v>
      </c>
      <c r="I64" s="262" t="s">
        <v>5306</v>
      </c>
      <c r="J64" s="262" t="s">
        <v>5307</v>
      </c>
      <c r="K64" s="262" t="s">
        <v>5308</v>
      </c>
      <c r="L64" s="262" t="s">
        <v>5309</v>
      </c>
      <c r="M64" s="262" t="s">
        <v>5310</v>
      </c>
      <c r="N64" s="262" t="s">
        <v>5311</v>
      </c>
    </row>
    <row r="65" spans="1:14" ht="15.75" thickBot="1">
      <c r="A65" s="263" t="s">
        <v>4216</v>
      </c>
      <c r="B65" s="264">
        <v>1574177</v>
      </c>
      <c r="C65" s="264">
        <v>3344449792</v>
      </c>
      <c r="D65" s="264">
        <v>2125</v>
      </c>
      <c r="E65" s="264">
        <v>5184</v>
      </c>
      <c r="F65" s="264">
        <v>8080968366</v>
      </c>
      <c r="G65" s="264">
        <v>2146</v>
      </c>
      <c r="H65" s="264">
        <v>309993152</v>
      </c>
      <c r="I65" s="264">
        <v>20607250</v>
      </c>
      <c r="J65" s="264">
        <v>4736518574</v>
      </c>
      <c r="K65" s="265">
        <v>1.4161999999999999</v>
      </c>
      <c r="L65" s="264">
        <v>5067118976</v>
      </c>
      <c r="M65" s="265">
        <v>1.2862</v>
      </c>
      <c r="N65" s="265">
        <v>0.78559999999999997</v>
      </c>
    </row>
    <row r="66" spans="1:14" ht="15.75" thickBot="1">
      <c r="A66" s="263" t="s">
        <v>4371</v>
      </c>
      <c r="B66" s="264">
        <v>146408</v>
      </c>
      <c r="C66" s="264">
        <v>824376640</v>
      </c>
      <c r="D66" s="264">
        <v>5631</v>
      </c>
      <c r="E66" s="264">
        <v>12992</v>
      </c>
      <c r="F66" s="264">
        <v>1883586942</v>
      </c>
      <c r="G66" s="264">
        <v>5686</v>
      </c>
      <c r="H66" s="264">
        <v>132503776</v>
      </c>
      <c r="I66" s="264">
        <v>241591500</v>
      </c>
      <c r="J66" s="264">
        <v>1059210302</v>
      </c>
      <c r="K66" s="265">
        <v>1.2848999999999999</v>
      </c>
      <c r="L66" s="264">
        <v>1433305578</v>
      </c>
      <c r="M66" s="265">
        <v>1.4287000000000001</v>
      </c>
      <c r="N66" s="265">
        <v>0.18310000000000001</v>
      </c>
    </row>
    <row r="67" spans="1:14" ht="15.75" thickBot="1">
      <c r="A67" s="263" t="s">
        <v>4358</v>
      </c>
      <c r="B67" s="264">
        <v>3975</v>
      </c>
      <c r="C67" s="264">
        <v>284494112</v>
      </c>
      <c r="D67" s="264">
        <v>71571</v>
      </c>
      <c r="E67" s="264">
        <v>75601</v>
      </c>
      <c r="F67" s="264">
        <v>297583964</v>
      </c>
      <c r="G67" s="264">
        <v>72276</v>
      </c>
      <c r="H67" s="264">
        <v>2696941</v>
      </c>
      <c r="I67" s="263">
        <v>0</v>
      </c>
      <c r="J67" s="264">
        <v>13089852</v>
      </c>
      <c r="K67" s="265">
        <v>4.5999999999999999E-2</v>
      </c>
      <c r="L67" s="264">
        <v>15786793</v>
      </c>
      <c r="M67" s="265">
        <v>4.36E-2</v>
      </c>
      <c r="N67" s="265">
        <v>2.8899999999999999E-2</v>
      </c>
    </row>
    <row r="68" spans="1:14" ht="15.75" thickBot="1">
      <c r="A68" s="263" t="s">
        <v>5273</v>
      </c>
      <c r="B68" s="264">
        <v>4687</v>
      </c>
      <c r="C68" s="264">
        <v>18756876</v>
      </c>
      <c r="D68" s="264">
        <v>4002</v>
      </c>
      <c r="E68" s="264">
        <v>3918</v>
      </c>
      <c r="F68" s="264">
        <v>18184620</v>
      </c>
      <c r="G68" s="264">
        <v>4041</v>
      </c>
      <c r="H68" s="263">
        <v>0</v>
      </c>
      <c r="I68" s="263">
        <v>0</v>
      </c>
      <c r="J68" s="264">
        <v>-572256</v>
      </c>
      <c r="K68" s="265">
        <v>-3.0499999999999999E-2</v>
      </c>
      <c r="L68" s="264">
        <v>-572256</v>
      </c>
      <c r="M68" s="265">
        <v>-3.0499999999999999E-2</v>
      </c>
      <c r="N68" s="265">
        <v>1.8E-3</v>
      </c>
    </row>
    <row r="69" spans="1:14" ht="15.75" thickBot="1">
      <c r="A69" s="263" t="s">
        <v>5259</v>
      </c>
      <c r="B69" s="263">
        <v>369</v>
      </c>
      <c r="C69" s="264">
        <v>2085047</v>
      </c>
      <c r="D69" s="264">
        <v>5651</v>
      </c>
      <c r="E69" s="264">
        <v>7535</v>
      </c>
      <c r="F69" s="264">
        <v>2753306</v>
      </c>
      <c r="G69" s="264">
        <v>5707</v>
      </c>
      <c r="H69" s="263">
        <v>0</v>
      </c>
      <c r="I69" s="263">
        <v>0</v>
      </c>
      <c r="J69" s="264">
        <v>668259</v>
      </c>
      <c r="K69" s="265">
        <v>0.32050000000000001</v>
      </c>
      <c r="L69" s="264">
        <v>668259</v>
      </c>
      <c r="M69" s="265">
        <v>0.32050000000000001</v>
      </c>
      <c r="N69" s="265">
        <v>2.9999999999999997E-4</v>
      </c>
    </row>
    <row r="70" spans="1:14" ht="15.75" thickBot="1">
      <c r="A70" s="263" t="s">
        <v>5250</v>
      </c>
      <c r="B70" s="263">
        <v>38</v>
      </c>
      <c r="C70" s="264">
        <v>1126087</v>
      </c>
      <c r="D70" s="264">
        <v>29634</v>
      </c>
      <c r="E70" s="264">
        <v>45760</v>
      </c>
      <c r="F70" s="264">
        <v>1721926</v>
      </c>
      <c r="G70" s="264">
        <v>29926</v>
      </c>
      <c r="H70" s="263">
        <v>0</v>
      </c>
      <c r="I70" s="263">
        <v>0</v>
      </c>
      <c r="J70" s="264">
        <v>595839</v>
      </c>
      <c r="K70" s="265">
        <v>0.52910000000000001</v>
      </c>
      <c r="L70" s="264">
        <v>595839</v>
      </c>
      <c r="M70" s="265">
        <v>0.52910000000000001</v>
      </c>
      <c r="N70" s="265">
        <v>2.0000000000000001E-4</v>
      </c>
    </row>
    <row r="71" spans="1:14" ht="15.75" thickBot="1">
      <c r="A71" s="263" t="s">
        <v>5282</v>
      </c>
      <c r="B71" s="263">
        <v>67</v>
      </c>
      <c r="C71" s="264">
        <v>1144282</v>
      </c>
      <c r="D71" s="264">
        <v>17079</v>
      </c>
      <c r="E71" s="264">
        <v>17000</v>
      </c>
      <c r="F71" s="264">
        <v>1127895</v>
      </c>
      <c r="G71" s="264">
        <v>17247</v>
      </c>
      <c r="H71" s="263">
        <v>0</v>
      </c>
      <c r="I71" s="263">
        <v>0</v>
      </c>
      <c r="J71" s="264">
        <v>-16387</v>
      </c>
      <c r="K71" s="265">
        <v>-1.43E-2</v>
      </c>
      <c r="L71" s="264">
        <v>-16387</v>
      </c>
      <c r="M71" s="265">
        <v>-1.43E-2</v>
      </c>
      <c r="N71" s="265">
        <v>1E-4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H35"/>
  <sheetViews>
    <sheetView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3623</v>
      </c>
      <c r="B1" s="97" t="s">
        <v>180</v>
      </c>
      <c r="C1" s="97" t="s">
        <v>4245</v>
      </c>
      <c r="D1" s="97" t="s">
        <v>4246</v>
      </c>
      <c r="E1" s="97" t="s">
        <v>4247</v>
      </c>
      <c r="F1" s="97" t="s">
        <v>4248</v>
      </c>
      <c r="G1" s="72" t="s">
        <v>4249</v>
      </c>
      <c r="H1" s="72" t="s">
        <v>4391</v>
      </c>
      <c r="I1" s="72" t="s">
        <v>4271</v>
      </c>
      <c r="N1" s="97" t="s">
        <v>932</v>
      </c>
      <c r="O1" s="97">
        <v>6.3E-3</v>
      </c>
    </row>
    <row r="2" spans="1:34">
      <c r="A2" s="97">
        <v>1</v>
      </c>
      <c r="B2" s="97" t="s">
        <v>4149</v>
      </c>
      <c r="C2" s="167">
        <v>192</v>
      </c>
      <c r="D2" s="97">
        <v>0</v>
      </c>
      <c r="E2" s="97">
        <v>1000000</v>
      </c>
      <c r="F2" s="167">
        <v>0</v>
      </c>
      <c r="G2" s="72">
        <v>0</v>
      </c>
      <c r="H2" s="72">
        <v>191</v>
      </c>
      <c r="I2" s="72">
        <v>198</v>
      </c>
      <c r="N2" s="97" t="s">
        <v>61</v>
      </c>
      <c r="O2" s="97">
        <v>4.8999999999999998E-3</v>
      </c>
      <c r="Y2" s="97" t="s">
        <v>4479</v>
      </c>
      <c r="Z2" s="97" t="s">
        <v>4531</v>
      </c>
      <c r="AA2" s="97" t="s">
        <v>4529</v>
      </c>
      <c r="AB2" s="97" t="s">
        <v>4530</v>
      </c>
      <c r="AC2" s="97" t="s">
        <v>4533</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4216</v>
      </c>
      <c r="Z3" s="97">
        <v>2740</v>
      </c>
      <c r="AA3" s="97">
        <v>1790</v>
      </c>
      <c r="AB3" s="97">
        <f>AA3/Z3</f>
        <v>0.65328467153284675</v>
      </c>
      <c r="AC3" s="97" t="s">
        <v>4535</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4532</v>
      </c>
      <c r="Z4" s="97">
        <v>1</v>
      </c>
      <c r="AA4" s="97">
        <v>1</v>
      </c>
      <c r="AB4" s="97">
        <f>AA4/Z4</f>
        <v>1</v>
      </c>
      <c r="AC4" s="97" t="s">
        <v>4534</v>
      </c>
      <c r="AD4" s="97"/>
      <c r="AE4" s="97"/>
      <c r="AF4" s="97"/>
      <c r="AG4" s="97"/>
      <c r="AH4" s="97"/>
    </row>
    <row r="5" spans="1:34">
      <c r="A5" s="97">
        <v>4</v>
      </c>
      <c r="B5" s="97"/>
      <c r="C5" s="167">
        <v>102</v>
      </c>
      <c r="D5" s="97">
        <v>20000</v>
      </c>
      <c r="E5" s="97">
        <f t="shared" si="0"/>
        <v>980000</v>
      </c>
      <c r="F5" s="167">
        <f t="shared" si="1"/>
        <v>-2030004</v>
      </c>
      <c r="G5" s="167">
        <f t="shared" si="2"/>
        <v>9996</v>
      </c>
      <c r="Y5" s="97" t="s">
        <v>4519</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4250</v>
      </c>
      <c r="G27" s="97" t="s">
        <v>4251</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787</v>
      </c>
      <c r="B9" s="111">
        <v>-80000</v>
      </c>
      <c r="C9" s="97" t="s">
        <v>794</v>
      </c>
      <c r="D9" s="97">
        <v>65</v>
      </c>
      <c r="E9" s="97">
        <f t="shared" si="1"/>
        <v>461</v>
      </c>
      <c r="F9" s="97">
        <f t="shared" si="0"/>
        <v>0</v>
      </c>
      <c r="G9" s="97">
        <f>B9*(E9-F9)</f>
        <v>-36880000</v>
      </c>
    </row>
    <row r="10" spans="1:7">
      <c r="A10" s="97" t="s">
        <v>873</v>
      </c>
      <c r="B10" s="111">
        <v>850000</v>
      </c>
      <c r="C10" s="97" t="s">
        <v>879</v>
      </c>
      <c r="D10" s="97">
        <v>14</v>
      </c>
      <c r="E10" s="97">
        <f t="shared" si="1"/>
        <v>396</v>
      </c>
      <c r="F10" s="97">
        <f t="shared" si="0"/>
        <v>1</v>
      </c>
      <c r="G10" s="97">
        <f t="shared" si="2"/>
        <v>335750000</v>
      </c>
    </row>
    <row r="11" spans="1:7">
      <c r="A11" s="97" t="s">
        <v>895</v>
      </c>
      <c r="B11" s="111">
        <v>-700000</v>
      </c>
      <c r="C11" s="97" t="s">
        <v>905</v>
      </c>
      <c r="D11" s="97">
        <v>6</v>
      </c>
      <c r="E11" s="97">
        <f t="shared" si="1"/>
        <v>382</v>
      </c>
      <c r="F11" s="97">
        <f t="shared" si="0"/>
        <v>0</v>
      </c>
      <c r="G11" s="97">
        <f t="shared" si="2"/>
        <v>-267400000</v>
      </c>
    </row>
    <row r="12" spans="1:7">
      <c r="A12" s="97" t="s">
        <v>903</v>
      </c>
      <c r="B12" s="111">
        <v>1000000</v>
      </c>
      <c r="C12" s="97" t="s">
        <v>906</v>
      </c>
      <c r="D12" s="97">
        <v>8</v>
      </c>
      <c r="E12" s="97">
        <f t="shared" si="1"/>
        <v>376</v>
      </c>
      <c r="F12" s="97">
        <f t="shared" si="0"/>
        <v>1</v>
      </c>
      <c r="G12" s="97">
        <f t="shared" si="2"/>
        <v>375000000</v>
      </c>
    </row>
    <row r="13" spans="1:7">
      <c r="A13" s="97" t="s">
        <v>1017</v>
      </c>
      <c r="B13" s="111">
        <v>4857</v>
      </c>
      <c r="C13" s="97" t="s">
        <v>474</v>
      </c>
      <c r="D13" s="97">
        <v>1</v>
      </c>
      <c r="E13" s="97">
        <f t="shared" si="1"/>
        <v>368</v>
      </c>
      <c r="F13" s="97">
        <f t="shared" si="0"/>
        <v>1</v>
      </c>
      <c r="G13" s="97">
        <f t="shared" si="2"/>
        <v>1782519</v>
      </c>
    </row>
    <row r="14" spans="1:7">
      <c r="A14" s="97" t="s">
        <v>1023</v>
      </c>
      <c r="B14" s="111">
        <v>-191000</v>
      </c>
      <c r="C14" s="97" t="s">
        <v>905</v>
      </c>
      <c r="D14" s="97">
        <v>15</v>
      </c>
      <c r="E14" s="97">
        <f t="shared" si="1"/>
        <v>367</v>
      </c>
      <c r="F14" s="97">
        <f t="shared" si="0"/>
        <v>0</v>
      </c>
      <c r="G14" s="97">
        <f t="shared" si="2"/>
        <v>-70097000</v>
      </c>
    </row>
    <row r="15" spans="1:7">
      <c r="A15" s="97" t="s">
        <v>1061</v>
      </c>
      <c r="B15" s="111">
        <v>-200000</v>
      </c>
      <c r="C15" s="97" t="s">
        <v>794</v>
      </c>
      <c r="D15" s="97">
        <v>16</v>
      </c>
      <c r="E15" s="97">
        <f t="shared" si="1"/>
        <v>352</v>
      </c>
      <c r="F15" s="97">
        <f t="shared" si="0"/>
        <v>0</v>
      </c>
      <c r="G15" s="97">
        <f t="shared" si="2"/>
        <v>-70400000</v>
      </c>
    </row>
    <row r="16" spans="1:7">
      <c r="A16" s="97" t="s">
        <v>1145</v>
      </c>
      <c r="B16" s="111">
        <v>-694356</v>
      </c>
      <c r="C16" s="97" t="s">
        <v>1146</v>
      </c>
      <c r="D16" s="97">
        <v>7</v>
      </c>
      <c r="E16" s="97">
        <f t="shared" si="1"/>
        <v>336</v>
      </c>
      <c r="F16" s="97">
        <f t="shared" si="0"/>
        <v>0</v>
      </c>
      <c r="G16" s="97">
        <f t="shared" si="2"/>
        <v>-233303616</v>
      </c>
    </row>
    <row r="17" spans="1:7">
      <c r="A17" s="97" t="s">
        <v>1157</v>
      </c>
      <c r="B17" s="111">
        <v>50000</v>
      </c>
      <c r="C17" s="97" t="s">
        <v>1171</v>
      </c>
      <c r="D17" s="97">
        <v>23</v>
      </c>
      <c r="E17" s="97">
        <f t="shared" si="1"/>
        <v>329</v>
      </c>
      <c r="F17" s="97">
        <f t="shared" si="0"/>
        <v>1</v>
      </c>
      <c r="G17" s="97">
        <f t="shared" si="2"/>
        <v>16400000</v>
      </c>
    </row>
    <row r="18" spans="1:7">
      <c r="A18" s="97" t="s">
        <v>3654</v>
      </c>
      <c r="B18" s="111">
        <v>1047</v>
      </c>
      <c r="C18" s="97" t="s">
        <v>3657</v>
      </c>
      <c r="D18" s="97">
        <v>8</v>
      </c>
      <c r="E18" s="97">
        <f>E19+D18</f>
        <v>306</v>
      </c>
      <c r="F18" s="97">
        <f t="shared" si="0"/>
        <v>1</v>
      </c>
      <c r="G18" s="97">
        <f t="shared" si="2"/>
        <v>319335</v>
      </c>
    </row>
    <row r="19" spans="1:7">
      <c r="A19" s="97" t="s">
        <v>3690</v>
      </c>
      <c r="B19" s="111">
        <v>785500</v>
      </c>
      <c r="C19" s="97" t="s">
        <v>3694</v>
      </c>
      <c r="D19" s="97">
        <v>1</v>
      </c>
      <c r="E19" s="97">
        <f t="shared" si="1"/>
        <v>298</v>
      </c>
      <c r="F19" s="97">
        <f t="shared" si="0"/>
        <v>1</v>
      </c>
      <c r="G19" s="97">
        <f t="shared" si="2"/>
        <v>233293500</v>
      </c>
    </row>
    <row r="20" spans="1:7">
      <c r="A20" s="97" t="s">
        <v>3786</v>
      </c>
      <c r="B20" s="111">
        <v>-57500</v>
      </c>
      <c r="C20" s="97" t="s">
        <v>1002</v>
      </c>
      <c r="D20" s="97">
        <v>0</v>
      </c>
      <c r="E20" s="97">
        <f>E21+D20</f>
        <v>297</v>
      </c>
      <c r="F20" s="97">
        <f t="shared" si="0"/>
        <v>0</v>
      </c>
      <c r="G20" s="97">
        <f t="shared" si="2"/>
        <v>-17077500</v>
      </c>
    </row>
    <row r="21" spans="1:7">
      <c r="A21" s="97" t="s">
        <v>3786</v>
      </c>
      <c r="B21" s="111">
        <v>6099</v>
      </c>
      <c r="C21" s="97" t="s">
        <v>579</v>
      </c>
      <c r="D21" s="97">
        <v>10</v>
      </c>
      <c r="E21" s="97">
        <f t="shared" ref="E21:E31" si="3">E22+D21</f>
        <v>297</v>
      </c>
      <c r="F21" s="97">
        <f t="shared" si="0"/>
        <v>1</v>
      </c>
      <c r="G21" s="97">
        <f t="shared" si="2"/>
        <v>1805304</v>
      </c>
    </row>
    <row r="22" spans="1:7">
      <c r="A22" s="97" t="s">
        <v>3898</v>
      </c>
      <c r="B22" s="111">
        <v>-85000</v>
      </c>
      <c r="C22" s="97" t="s">
        <v>3909</v>
      </c>
      <c r="D22" s="97">
        <v>4</v>
      </c>
      <c r="E22" s="97">
        <f t="shared" si="3"/>
        <v>287</v>
      </c>
      <c r="F22" s="97">
        <f t="shared" si="0"/>
        <v>0</v>
      </c>
      <c r="G22" s="97">
        <f t="shared" si="2"/>
        <v>-24395000</v>
      </c>
    </row>
    <row r="23" spans="1:7">
      <c r="A23" s="67" t="s">
        <v>3877</v>
      </c>
      <c r="B23" s="111">
        <v>-180000</v>
      </c>
      <c r="C23" s="97" t="s">
        <v>3909</v>
      </c>
      <c r="D23" s="97">
        <v>0</v>
      </c>
      <c r="E23" s="97">
        <f t="shared" si="3"/>
        <v>283</v>
      </c>
      <c r="F23" s="97">
        <f t="shared" si="0"/>
        <v>0</v>
      </c>
      <c r="G23" s="97">
        <f t="shared" si="2"/>
        <v>-50940000</v>
      </c>
    </row>
    <row r="24" spans="1:7">
      <c r="A24" s="67" t="s">
        <v>3877</v>
      </c>
      <c r="B24" s="111">
        <v>-69000</v>
      </c>
      <c r="C24" s="97" t="s">
        <v>3909</v>
      </c>
      <c r="D24" s="97">
        <v>6</v>
      </c>
      <c r="E24" s="97">
        <f t="shared" si="3"/>
        <v>283</v>
      </c>
      <c r="F24" s="97">
        <f t="shared" si="0"/>
        <v>0</v>
      </c>
      <c r="G24" s="97">
        <f t="shared" si="2"/>
        <v>-19527000</v>
      </c>
    </row>
    <row r="25" spans="1:7">
      <c r="A25" s="67" t="s">
        <v>3894</v>
      </c>
      <c r="B25" s="111">
        <v>-8600</v>
      </c>
      <c r="C25" s="97" t="s">
        <v>3909</v>
      </c>
      <c r="D25" s="97">
        <v>0</v>
      </c>
      <c r="E25" s="97">
        <f t="shared" si="3"/>
        <v>277</v>
      </c>
      <c r="F25" s="97">
        <f t="shared" si="0"/>
        <v>0</v>
      </c>
      <c r="G25" s="97">
        <f t="shared" si="2"/>
        <v>-2382200</v>
      </c>
    </row>
    <row r="26" spans="1:7">
      <c r="A26" s="97" t="s">
        <v>3894</v>
      </c>
      <c r="B26" s="111">
        <v>-40000</v>
      </c>
      <c r="C26" s="97" t="s">
        <v>3909</v>
      </c>
      <c r="D26" s="97">
        <v>0</v>
      </c>
      <c r="E26" s="97">
        <f t="shared" si="3"/>
        <v>277</v>
      </c>
      <c r="F26" s="97">
        <f t="shared" si="0"/>
        <v>0</v>
      </c>
      <c r="G26" s="97">
        <f t="shared" si="2"/>
        <v>-11080000</v>
      </c>
    </row>
    <row r="27" spans="1:7">
      <c r="A27" s="97" t="s">
        <v>3894</v>
      </c>
      <c r="B27" s="111">
        <v>-92500</v>
      </c>
      <c r="C27" s="97" t="s">
        <v>3909</v>
      </c>
      <c r="D27" s="97">
        <v>0</v>
      </c>
      <c r="E27" s="97">
        <f t="shared" si="3"/>
        <v>277</v>
      </c>
      <c r="F27" s="97">
        <f t="shared" si="0"/>
        <v>0</v>
      </c>
      <c r="G27" s="97">
        <f t="shared" si="2"/>
        <v>-25622500</v>
      </c>
    </row>
    <row r="28" spans="1:7">
      <c r="A28" s="97" t="s">
        <v>3894</v>
      </c>
      <c r="B28" s="111">
        <v>-47000</v>
      </c>
      <c r="C28" s="97" t="s">
        <v>3909</v>
      </c>
      <c r="D28" s="97">
        <v>1</v>
      </c>
      <c r="E28" s="97">
        <f t="shared" si="3"/>
        <v>277</v>
      </c>
      <c r="F28" s="97">
        <f t="shared" si="0"/>
        <v>0</v>
      </c>
      <c r="G28" s="97">
        <f t="shared" si="2"/>
        <v>-13019000</v>
      </c>
    </row>
    <row r="29" spans="1:7">
      <c r="A29" s="97" t="s">
        <v>3899</v>
      </c>
      <c r="B29" s="111">
        <v>-77500</v>
      </c>
      <c r="C29" s="97" t="s">
        <v>3909</v>
      </c>
      <c r="D29" s="97">
        <v>0</v>
      </c>
      <c r="E29" s="97">
        <f t="shared" si="3"/>
        <v>276</v>
      </c>
      <c r="F29" s="97">
        <f t="shared" si="0"/>
        <v>0</v>
      </c>
      <c r="G29" s="97">
        <f t="shared" si="2"/>
        <v>-21390000</v>
      </c>
    </row>
    <row r="30" spans="1:7">
      <c r="A30" s="97" t="s">
        <v>3899</v>
      </c>
      <c r="B30" s="111">
        <v>-57000</v>
      </c>
      <c r="C30" s="97" t="s">
        <v>3909</v>
      </c>
      <c r="D30" s="97">
        <v>0</v>
      </c>
      <c r="E30" s="97">
        <f t="shared" si="3"/>
        <v>276</v>
      </c>
      <c r="F30" s="97">
        <f t="shared" si="0"/>
        <v>0</v>
      </c>
      <c r="G30" s="97">
        <f t="shared" si="2"/>
        <v>-15732000</v>
      </c>
    </row>
    <row r="31" spans="1:7">
      <c r="A31" s="97" t="s">
        <v>3899</v>
      </c>
      <c r="B31" s="111">
        <v>-45000</v>
      </c>
      <c r="C31" s="97" t="s">
        <v>3909</v>
      </c>
      <c r="D31" s="97">
        <v>0</v>
      </c>
      <c r="E31" s="97">
        <f t="shared" si="3"/>
        <v>276</v>
      </c>
      <c r="F31" s="97">
        <f t="shared" si="0"/>
        <v>0</v>
      </c>
      <c r="G31" s="97">
        <f t="shared" si="2"/>
        <v>-12420000</v>
      </c>
    </row>
    <row r="32" spans="1:7">
      <c r="A32" s="97" t="s">
        <v>3899</v>
      </c>
      <c r="B32" s="111">
        <v>-30000</v>
      </c>
      <c r="C32" s="97" t="s">
        <v>3909</v>
      </c>
      <c r="D32" s="97">
        <v>3</v>
      </c>
      <c r="E32" s="97">
        <f>E33+D32</f>
        <v>276</v>
      </c>
      <c r="F32" s="97">
        <f t="shared" si="0"/>
        <v>0</v>
      </c>
      <c r="G32" s="97">
        <f t="shared" si="2"/>
        <v>-8280000</v>
      </c>
    </row>
    <row r="33" spans="1:14">
      <c r="A33" s="97" t="s">
        <v>3908</v>
      </c>
      <c r="B33" s="111">
        <v>1000000</v>
      </c>
      <c r="C33" s="97" t="s">
        <v>3873</v>
      </c>
      <c r="D33" s="97">
        <v>1</v>
      </c>
      <c r="E33" s="97">
        <f>E34+D33</f>
        <v>273</v>
      </c>
      <c r="F33" s="97">
        <f t="shared" si="0"/>
        <v>1</v>
      </c>
      <c r="G33" s="97">
        <f t="shared" si="2"/>
        <v>272000000</v>
      </c>
    </row>
    <row r="34" spans="1:14">
      <c r="A34" s="97" t="s">
        <v>3913</v>
      </c>
      <c r="B34" s="111">
        <v>-79700</v>
      </c>
      <c r="C34" s="97" t="s">
        <v>3909</v>
      </c>
      <c r="D34" s="97">
        <v>7</v>
      </c>
      <c r="E34" s="97">
        <f t="shared" ref="E34:E39" si="4">E35+D34</f>
        <v>272</v>
      </c>
      <c r="F34" s="97">
        <f t="shared" si="0"/>
        <v>0</v>
      </c>
      <c r="G34" s="97">
        <f t="shared" si="2"/>
        <v>-21678400</v>
      </c>
    </row>
    <row r="35" spans="1:14">
      <c r="A35" s="97" t="s">
        <v>4006</v>
      </c>
      <c r="B35" s="111">
        <v>-1187</v>
      </c>
      <c r="C35" s="97" t="s">
        <v>3909</v>
      </c>
      <c r="D35" s="97">
        <v>5</v>
      </c>
      <c r="E35" s="97">
        <f t="shared" si="4"/>
        <v>265</v>
      </c>
      <c r="F35" s="97">
        <f t="shared" si="0"/>
        <v>0</v>
      </c>
      <c r="G35" s="97">
        <f t="shared" si="2"/>
        <v>-314555</v>
      </c>
    </row>
    <row r="36" spans="1:14">
      <c r="A36" s="97" t="s">
        <v>3949</v>
      </c>
      <c r="B36" s="111">
        <v>-55262</v>
      </c>
      <c r="C36" s="97" t="s">
        <v>3909</v>
      </c>
      <c r="D36" s="97">
        <v>1</v>
      </c>
      <c r="E36" s="97">
        <f t="shared" si="4"/>
        <v>260</v>
      </c>
      <c r="F36" s="97">
        <f t="shared" si="0"/>
        <v>0</v>
      </c>
      <c r="G36" s="97">
        <f t="shared" si="2"/>
        <v>-14368120</v>
      </c>
    </row>
    <row r="37" spans="1:14">
      <c r="A37" s="97" t="s">
        <v>3951</v>
      </c>
      <c r="B37" s="111">
        <v>-15700</v>
      </c>
      <c r="C37" s="97" t="s">
        <v>3909</v>
      </c>
      <c r="D37" s="97">
        <v>7</v>
      </c>
      <c r="E37" s="97">
        <f t="shared" si="4"/>
        <v>259</v>
      </c>
      <c r="F37" s="97">
        <f t="shared" si="0"/>
        <v>0</v>
      </c>
      <c r="G37" s="97">
        <f t="shared" si="2"/>
        <v>-4066300</v>
      </c>
    </row>
    <row r="38" spans="1:14">
      <c r="A38" s="97" t="s">
        <v>4007</v>
      </c>
      <c r="B38" s="111">
        <v>-176000</v>
      </c>
      <c r="C38" s="97" t="s">
        <v>3909</v>
      </c>
      <c r="D38" s="97">
        <v>1</v>
      </c>
      <c r="E38" s="97">
        <f>E39+D38</f>
        <v>252</v>
      </c>
      <c r="F38" s="97">
        <f t="shared" si="0"/>
        <v>0</v>
      </c>
      <c r="G38" s="97">
        <f t="shared" si="2"/>
        <v>-44352000</v>
      </c>
    </row>
    <row r="39" spans="1:14">
      <c r="A39" s="97" t="s">
        <v>3973</v>
      </c>
      <c r="B39" s="111">
        <v>-68600</v>
      </c>
      <c r="C39" s="97" t="s">
        <v>3909</v>
      </c>
      <c r="D39" s="97">
        <v>7</v>
      </c>
      <c r="E39" s="97">
        <f t="shared" si="4"/>
        <v>251</v>
      </c>
      <c r="F39" s="97">
        <f t="shared" si="0"/>
        <v>0</v>
      </c>
      <c r="G39" s="97">
        <f t="shared" si="2"/>
        <v>-17218600</v>
      </c>
    </row>
    <row r="40" spans="1:14">
      <c r="A40" s="97" t="s">
        <v>4005</v>
      </c>
      <c r="B40" s="111">
        <v>-3540</v>
      </c>
      <c r="C40" s="97" t="s">
        <v>3909</v>
      </c>
      <c r="D40" s="97">
        <v>4</v>
      </c>
      <c r="E40" s="97">
        <f>E41+D40</f>
        <v>244</v>
      </c>
      <c r="F40" s="97">
        <f t="shared" si="0"/>
        <v>0</v>
      </c>
      <c r="G40" s="97">
        <f t="shared" si="2"/>
        <v>-863760</v>
      </c>
      <c r="J40" t="s">
        <v>25</v>
      </c>
    </row>
    <row r="41" spans="1:14">
      <c r="A41" s="97" t="s">
        <v>4003</v>
      </c>
      <c r="B41" s="111">
        <v>-315101</v>
      </c>
      <c r="C41" s="97" t="s">
        <v>4004</v>
      </c>
      <c r="D41" s="97">
        <v>2</v>
      </c>
      <c r="E41" s="97">
        <f>E42+D41</f>
        <v>240</v>
      </c>
      <c r="F41" s="97">
        <f t="shared" si="0"/>
        <v>0</v>
      </c>
      <c r="G41" s="97">
        <f t="shared" si="2"/>
        <v>-75624240</v>
      </c>
    </row>
    <row r="42" spans="1:14">
      <c r="A42" s="97" t="s">
        <v>3669</v>
      </c>
      <c r="B42" s="111">
        <v>-416000</v>
      </c>
      <c r="C42" s="97" t="s">
        <v>4013</v>
      </c>
      <c r="D42" s="97">
        <v>133</v>
      </c>
      <c r="E42" s="97">
        <f>E43+D42</f>
        <v>238</v>
      </c>
      <c r="F42" s="97">
        <f t="shared" si="0"/>
        <v>0</v>
      </c>
      <c r="G42" s="97">
        <f t="shared" si="2"/>
        <v>-99008000</v>
      </c>
      <c r="N42" t="s">
        <v>25</v>
      </c>
    </row>
    <row r="43" spans="1:14">
      <c r="A43" s="97" t="s">
        <v>4511</v>
      </c>
      <c r="B43" s="111">
        <v>100000</v>
      </c>
      <c r="C43" s="97" t="s">
        <v>3873</v>
      </c>
      <c r="D43" s="97">
        <v>58</v>
      </c>
      <c r="E43" s="97">
        <f>E44+D43</f>
        <v>105</v>
      </c>
      <c r="F43" s="97">
        <f t="shared" si="0"/>
        <v>1</v>
      </c>
      <c r="G43" s="97">
        <f t="shared" si="2"/>
        <v>10400000</v>
      </c>
    </row>
    <row r="44" spans="1:14">
      <c r="A44" s="97" t="s">
        <v>4667</v>
      </c>
      <c r="B44" s="111">
        <v>-31000</v>
      </c>
      <c r="C44" s="97" t="s">
        <v>4674</v>
      </c>
      <c r="D44" s="97">
        <v>19</v>
      </c>
      <c r="E44" s="97">
        <f t="shared" ref="E44:E50" si="5">E45+D44</f>
        <v>47</v>
      </c>
      <c r="F44" s="97">
        <f t="shared" ref="F44:F50" si="6">IF(B44&gt;0,1,0)</f>
        <v>0</v>
      </c>
      <c r="G44" s="97">
        <f t="shared" ref="G44:G50" si="7">B44*(E44-F44)</f>
        <v>-1457000</v>
      </c>
    </row>
    <row r="45" spans="1:14">
      <c r="A45" s="97" t="s">
        <v>4737</v>
      </c>
      <c r="B45" s="111">
        <v>2060725</v>
      </c>
      <c r="C45" s="97" t="s">
        <v>4740</v>
      </c>
      <c r="D45" s="97">
        <v>6</v>
      </c>
      <c r="E45" s="97">
        <f t="shared" si="5"/>
        <v>28</v>
      </c>
      <c r="F45" s="97">
        <f t="shared" si="6"/>
        <v>1</v>
      </c>
      <c r="G45" s="97">
        <f t="shared" si="7"/>
        <v>55639575</v>
      </c>
    </row>
    <row r="46" spans="1:14">
      <c r="A46" s="97" t="s">
        <v>4760</v>
      </c>
      <c r="B46" s="111">
        <v>-1073169</v>
      </c>
      <c r="C46" s="97" t="s">
        <v>4761</v>
      </c>
      <c r="D46" s="97">
        <v>4</v>
      </c>
      <c r="E46" s="97">
        <f t="shared" si="5"/>
        <v>22</v>
      </c>
      <c r="F46" s="97">
        <f t="shared" si="6"/>
        <v>0</v>
      </c>
      <c r="G46" s="97">
        <f t="shared" si="7"/>
        <v>-23609718</v>
      </c>
    </row>
    <row r="47" spans="1:14">
      <c r="A47" s="97" t="s">
        <v>4752</v>
      </c>
      <c r="B47" s="111">
        <v>-178820</v>
      </c>
      <c r="C47" s="97" t="s">
        <v>3996</v>
      </c>
      <c r="D47" s="97">
        <v>0</v>
      </c>
      <c r="E47" s="97">
        <f t="shared" si="5"/>
        <v>18</v>
      </c>
      <c r="F47" s="97">
        <f t="shared" si="6"/>
        <v>0</v>
      </c>
      <c r="G47" s="97">
        <f t="shared" si="7"/>
        <v>-3218760</v>
      </c>
      <c r="L47" t="s">
        <v>25</v>
      </c>
    </row>
    <row r="48" spans="1:14">
      <c r="A48" s="97" t="s">
        <v>4752</v>
      </c>
      <c r="B48" s="111">
        <v>-25000</v>
      </c>
      <c r="C48" s="97" t="s">
        <v>743</v>
      </c>
      <c r="D48" s="97">
        <v>4</v>
      </c>
      <c r="E48" s="97">
        <f t="shared" si="5"/>
        <v>18</v>
      </c>
      <c r="F48" s="97">
        <f t="shared" si="6"/>
        <v>0</v>
      </c>
      <c r="G48" s="97">
        <f t="shared" si="7"/>
        <v>-450000</v>
      </c>
      <c r="L48" t="s">
        <v>25</v>
      </c>
    </row>
    <row r="49" spans="1:13">
      <c r="A49" s="97" t="s">
        <v>4765</v>
      </c>
      <c r="B49" s="111">
        <v>-49500</v>
      </c>
      <c r="C49" s="97" t="s">
        <v>452</v>
      </c>
      <c r="D49" s="97">
        <v>2</v>
      </c>
      <c r="E49" s="97">
        <f t="shared" si="5"/>
        <v>14</v>
      </c>
      <c r="F49" s="97">
        <f t="shared" si="6"/>
        <v>0</v>
      </c>
      <c r="G49" s="97">
        <f t="shared" si="7"/>
        <v>-693000</v>
      </c>
    </row>
    <row r="50" spans="1:13">
      <c r="A50" s="97" t="s">
        <v>4768</v>
      </c>
      <c r="B50" s="111">
        <v>-4500</v>
      </c>
      <c r="C50" s="97" t="s">
        <v>452</v>
      </c>
      <c r="D50" s="97">
        <v>1</v>
      </c>
      <c r="E50" s="97">
        <f t="shared" si="5"/>
        <v>12</v>
      </c>
      <c r="F50" s="97">
        <f t="shared" si="6"/>
        <v>0</v>
      </c>
      <c r="G50" s="97">
        <f t="shared" si="7"/>
        <v>-54000</v>
      </c>
    </row>
    <row r="51" spans="1:13">
      <c r="A51" s="97" t="s">
        <v>4769</v>
      </c>
      <c r="B51" s="111">
        <v>-328000</v>
      </c>
      <c r="C51" s="97" t="s">
        <v>452</v>
      </c>
      <c r="D51" s="97">
        <v>4</v>
      </c>
      <c r="E51" s="97">
        <f t="shared" ref="E51:E61" si="8">E52+D51</f>
        <v>11</v>
      </c>
      <c r="F51" s="97">
        <f t="shared" ref="F51:F61" si="9">IF(B51&gt;0,1,0)</f>
        <v>0</v>
      </c>
      <c r="G51" s="97">
        <f t="shared" ref="G51:G61" si="10">B51*(E51-F51)</f>
        <v>-3608000</v>
      </c>
    </row>
    <row r="52" spans="1:13">
      <c r="A52" s="97" t="s">
        <v>4773</v>
      </c>
      <c r="B52" s="111">
        <v>-195330</v>
      </c>
      <c r="C52" s="97" t="s">
        <v>4778</v>
      </c>
      <c r="D52" s="97">
        <v>1</v>
      </c>
      <c r="E52" s="97">
        <f t="shared" si="8"/>
        <v>7</v>
      </c>
      <c r="F52" s="97">
        <f t="shared" si="9"/>
        <v>0</v>
      </c>
      <c r="G52" s="97">
        <f t="shared" si="10"/>
        <v>-1367310</v>
      </c>
    </row>
    <row r="53" spans="1:13">
      <c r="A53" s="97" t="s">
        <v>4780</v>
      </c>
      <c r="B53" s="111">
        <v>-140730</v>
      </c>
      <c r="C53" s="97" t="s">
        <v>4783</v>
      </c>
      <c r="D53" s="97">
        <v>1</v>
      </c>
      <c r="E53" s="97">
        <f t="shared" si="8"/>
        <v>6</v>
      </c>
      <c r="F53" s="97">
        <f t="shared" si="9"/>
        <v>0</v>
      </c>
      <c r="G53" s="97">
        <f t="shared" si="10"/>
        <v>-844380</v>
      </c>
    </row>
    <row r="54" spans="1:13">
      <c r="A54" s="97" t="s">
        <v>4781</v>
      </c>
      <c r="B54" s="111">
        <v>-4200</v>
      </c>
      <c r="C54" s="97" t="s">
        <v>1053</v>
      </c>
      <c r="D54" s="97">
        <v>0</v>
      </c>
      <c r="E54" s="97">
        <f t="shared" si="8"/>
        <v>5</v>
      </c>
      <c r="F54" s="97">
        <f t="shared" si="9"/>
        <v>0</v>
      </c>
      <c r="G54" s="97">
        <f t="shared" si="10"/>
        <v>-21000</v>
      </c>
    </row>
    <row r="55" spans="1:13">
      <c r="A55" s="97" t="s">
        <v>4781</v>
      </c>
      <c r="B55" s="111">
        <v>-66567</v>
      </c>
      <c r="C55" s="97" t="s">
        <v>3996</v>
      </c>
      <c r="D55" s="97">
        <v>4</v>
      </c>
      <c r="E55" s="97">
        <f t="shared" si="8"/>
        <v>5</v>
      </c>
      <c r="F55" s="97">
        <f t="shared" si="9"/>
        <v>0</v>
      </c>
      <c r="G55" s="97">
        <f t="shared" si="10"/>
        <v>-332835</v>
      </c>
    </row>
    <row r="56" spans="1:13">
      <c r="A56" s="97" t="s">
        <v>4785</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4479</v>
      </c>
      <c r="B1" t="s">
        <v>933</v>
      </c>
      <c r="C1" t="s">
        <v>4531</v>
      </c>
      <c r="D1" t="s">
        <v>4803</v>
      </c>
      <c r="E1" t="s">
        <v>4804</v>
      </c>
      <c r="F1" t="s">
        <v>8</v>
      </c>
    </row>
    <row r="2" spans="1:6">
      <c r="A2" t="s">
        <v>4807</v>
      </c>
      <c r="B2">
        <v>237</v>
      </c>
      <c r="C2">
        <v>281</v>
      </c>
      <c r="D2">
        <f>B2/C2</f>
        <v>0.84341637010676151</v>
      </c>
      <c r="E2" t="s">
        <v>4808</v>
      </c>
      <c r="F2" t="s">
        <v>4809</v>
      </c>
    </row>
    <row r="3" spans="1:6">
      <c r="A3" t="s">
        <v>4477</v>
      </c>
      <c r="B3">
        <v>134</v>
      </c>
      <c r="C3">
        <v>193</v>
      </c>
      <c r="D3" s="94">
        <f t="shared" ref="D3:D21" si="0">B3/C3</f>
        <v>0.69430051813471505</v>
      </c>
      <c r="E3" t="s">
        <v>4808</v>
      </c>
      <c r="F3" s="94" t="s">
        <v>4809</v>
      </c>
    </row>
    <row r="4" spans="1:6">
      <c r="A4" t="s">
        <v>4810</v>
      </c>
      <c r="B4">
        <v>195</v>
      </c>
      <c r="C4">
        <v>73</v>
      </c>
      <c r="D4" s="94">
        <f t="shared" si="0"/>
        <v>2.6712328767123288</v>
      </c>
      <c r="E4" t="s">
        <v>4811</v>
      </c>
      <c r="F4" t="s">
        <v>4812</v>
      </c>
    </row>
    <row r="5" spans="1:6">
      <c r="A5" t="s">
        <v>4813</v>
      </c>
      <c r="B5">
        <v>1</v>
      </c>
      <c r="C5">
        <v>1</v>
      </c>
      <c r="D5" s="94">
        <f t="shared" si="0"/>
        <v>1</v>
      </c>
      <c r="E5" t="s">
        <v>4811</v>
      </c>
      <c r="F5" t="s">
        <v>4814</v>
      </c>
    </row>
    <row r="6" spans="1:6">
      <c r="A6" t="s">
        <v>4516</v>
      </c>
      <c r="B6">
        <v>163</v>
      </c>
      <c r="C6">
        <v>232</v>
      </c>
      <c r="D6" s="94">
        <f t="shared" si="0"/>
        <v>0.70258620689655171</v>
      </c>
      <c r="F6" s="94" t="s">
        <v>4809</v>
      </c>
    </row>
    <row r="7" spans="1:6">
      <c r="A7" t="s">
        <v>4815</v>
      </c>
      <c r="B7">
        <v>247</v>
      </c>
      <c r="C7">
        <v>250</v>
      </c>
      <c r="D7" s="94">
        <f t="shared" si="0"/>
        <v>0.98799999999999999</v>
      </c>
    </row>
    <row r="8" spans="1:6">
      <c r="A8" t="s">
        <v>4816</v>
      </c>
      <c r="B8">
        <v>335</v>
      </c>
      <c r="C8">
        <v>141</v>
      </c>
      <c r="D8" s="94">
        <f t="shared" si="0"/>
        <v>2.375886524822695</v>
      </c>
      <c r="F8" s="94" t="s">
        <v>4814</v>
      </c>
    </row>
    <row r="9" spans="1:6">
      <c r="A9" t="s">
        <v>4708</v>
      </c>
      <c r="B9">
        <v>150</v>
      </c>
      <c r="C9">
        <v>240</v>
      </c>
      <c r="D9" s="94">
        <f t="shared" si="0"/>
        <v>0.625</v>
      </c>
      <c r="F9" t="s">
        <v>4817</v>
      </c>
    </row>
    <row r="10" spans="1:6">
      <c r="A10" t="s">
        <v>4818</v>
      </c>
      <c r="B10">
        <v>187</v>
      </c>
      <c r="C10">
        <v>208</v>
      </c>
      <c r="D10" s="94">
        <f t="shared" si="0"/>
        <v>0.89903846153846156</v>
      </c>
      <c r="F10" t="s">
        <v>4808</v>
      </c>
    </row>
    <row r="11" spans="1:6">
      <c r="A11" t="s">
        <v>4819</v>
      </c>
      <c r="B11">
        <v>412</v>
      </c>
      <c r="C11">
        <v>183</v>
      </c>
      <c r="D11" s="94">
        <f t="shared" si="0"/>
        <v>2.2513661202185791</v>
      </c>
      <c r="F11" s="94" t="s">
        <v>4814</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4802</v>
      </c>
      <c r="B21">
        <v>113</v>
      </c>
      <c r="C21">
        <v>215</v>
      </c>
      <c r="D21" s="94">
        <f t="shared" si="0"/>
        <v>0.52558139534883719</v>
      </c>
      <c r="E21" t="s">
        <v>4805</v>
      </c>
      <c r="F21" t="s">
        <v>4806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2"/>
  <sheetViews>
    <sheetView workbookViewId="0">
      <selection activeCell="D25" sqref="D25"/>
    </sheetView>
  </sheetViews>
  <sheetFormatPr defaultRowHeight="15"/>
  <cols>
    <col min="1" max="1" width="29.42578125" customWidth="1"/>
    <col min="2" max="2" width="18.28515625" bestFit="1" customWidth="1"/>
    <col min="3" max="3" width="23.85546875" bestFit="1" customWidth="1"/>
    <col min="4" max="4" width="18.5703125" bestFit="1" customWidth="1"/>
    <col min="5" max="5" width="18.5703125" style="481" customWidth="1"/>
    <col min="6" max="6" width="13.28515625" bestFit="1" customWidth="1"/>
    <col min="7" max="7" width="27.5703125" bestFit="1" customWidth="1"/>
    <col min="8" max="8" width="42.28515625" bestFit="1" customWidth="1"/>
    <col min="9" max="10" width="22.85546875" bestFit="1" customWidth="1"/>
    <col min="11" max="11" width="12" bestFit="1" customWidth="1"/>
    <col min="12" max="12" width="9" bestFit="1" customWidth="1"/>
    <col min="13" max="13" width="13.7109375" bestFit="1" customWidth="1"/>
    <col min="14" max="14" width="14.42578125" bestFit="1" customWidth="1"/>
    <col min="15" max="15" width="23" bestFit="1" customWidth="1"/>
  </cols>
  <sheetData>
    <row r="1" spans="1:9">
      <c r="A1" s="32"/>
      <c r="B1" s="32" t="s">
        <v>6870</v>
      </c>
      <c r="C1" s="32" t="s">
        <v>6871</v>
      </c>
      <c r="D1" s="32" t="s">
        <v>6872</v>
      </c>
      <c r="E1" s="482" t="s">
        <v>6981</v>
      </c>
      <c r="F1" s="420" t="s">
        <v>4245</v>
      </c>
    </row>
    <row r="2" spans="1:9">
      <c r="A2" s="32" t="s">
        <v>4823</v>
      </c>
      <c r="B2" s="319">
        <v>25.67</v>
      </c>
      <c r="C2" s="319">
        <v>25.2</v>
      </c>
      <c r="D2" s="319">
        <v>37.799999999999997</v>
      </c>
      <c r="E2" s="319"/>
      <c r="F2" s="319">
        <v>280</v>
      </c>
      <c r="H2">
        <f>F2/D2</f>
        <v>7.4074074074074083</v>
      </c>
      <c r="I2">
        <f>(F2-D2)/50</f>
        <v>4.8439999999999994</v>
      </c>
    </row>
    <row r="3" spans="1:9">
      <c r="A3" s="32" t="s">
        <v>4827</v>
      </c>
      <c r="B3" s="319">
        <v>2100</v>
      </c>
      <c r="C3" s="319">
        <v>1350</v>
      </c>
      <c r="D3" s="319">
        <v>3600</v>
      </c>
      <c r="E3" s="319"/>
      <c r="F3" s="319">
        <v>16501</v>
      </c>
    </row>
    <row r="4" spans="1:9">
      <c r="A4" s="32" t="s">
        <v>4828</v>
      </c>
      <c r="B4" s="319">
        <v>608.1</v>
      </c>
      <c r="C4" s="319">
        <v>122</v>
      </c>
      <c r="D4" s="319">
        <v>750</v>
      </c>
      <c r="E4" s="319"/>
      <c r="F4" s="319">
        <v>6934</v>
      </c>
    </row>
    <row r="5" spans="1:9">
      <c r="A5" s="32" t="s">
        <v>5480</v>
      </c>
      <c r="B5" s="319">
        <v>352</v>
      </c>
      <c r="C5" s="319">
        <v>110</v>
      </c>
      <c r="D5" s="319">
        <v>1113</v>
      </c>
      <c r="E5" s="319"/>
      <c r="F5" s="319">
        <v>6480</v>
      </c>
    </row>
    <row r="6" spans="1:9">
      <c r="A6" s="32" t="s">
        <v>4358</v>
      </c>
      <c r="B6" s="319">
        <v>2412</v>
      </c>
      <c r="C6" s="319">
        <v>2300</v>
      </c>
      <c r="D6" s="319">
        <v>1267</v>
      </c>
      <c r="E6" s="319"/>
      <c r="F6" s="319">
        <v>19935</v>
      </c>
    </row>
    <row r="7" spans="1:9">
      <c r="A7" s="32" t="s">
        <v>4829</v>
      </c>
      <c r="B7" s="319">
        <v>803</v>
      </c>
      <c r="C7" s="319">
        <v>590</v>
      </c>
      <c r="D7" s="319">
        <v>2000</v>
      </c>
      <c r="E7" s="319"/>
      <c r="F7" s="319">
        <v>11830</v>
      </c>
    </row>
    <row r="8" spans="1:9">
      <c r="A8" s="32" t="s">
        <v>4371</v>
      </c>
      <c r="B8" s="319">
        <v>424</v>
      </c>
      <c r="C8" s="319">
        <v>370</v>
      </c>
      <c r="D8" s="319">
        <v>800</v>
      </c>
      <c r="E8" s="319"/>
      <c r="F8" s="319">
        <v>4545</v>
      </c>
    </row>
    <row r="9" spans="1:9">
      <c r="A9" s="32" t="s">
        <v>6710</v>
      </c>
      <c r="B9" s="319">
        <v>1019</v>
      </c>
      <c r="C9" s="319">
        <v>1000</v>
      </c>
      <c r="D9" s="319">
        <v>1400</v>
      </c>
      <c r="E9" s="319">
        <v>1360</v>
      </c>
      <c r="F9" s="319">
        <v>8400</v>
      </c>
    </row>
    <row r="10" spans="1:9">
      <c r="A10" s="32"/>
      <c r="B10" s="319"/>
      <c r="C10" s="319"/>
      <c r="D10" s="319"/>
      <c r="E10" s="319"/>
      <c r="F10" s="319"/>
    </row>
    <row r="11" spans="1:9">
      <c r="A11" s="32"/>
      <c r="B11" s="319"/>
      <c r="C11" s="319"/>
      <c r="D11" s="319"/>
      <c r="E11" s="319"/>
      <c r="F11" s="319"/>
    </row>
    <row r="12" spans="1:9">
      <c r="A12" s="32"/>
      <c r="B12" s="319"/>
      <c r="C12" s="319"/>
      <c r="D12" s="319"/>
      <c r="E12" s="319"/>
      <c r="F12" s="319"/>
    </row>
    <row r="13" spans="1:9">
      <c r="A13" s="32" t="s">
        <v>6360</v>
      </c>
      <c r="B13" s="319">
        <v>100</v>
      </c>
      <c r="C13" s="319">
        <v>82</v>
      </c>
      <c r="D13" s="319">
        <v>140</v>
      </c>
      <c r="E13" s="319"/>
      <c r="F13" s="319">
        <v>823</v>
      </c>
    </row>
    <row r="14" spans="1:9">
      <c r="A14" s="32" t="s">
        <v>6362</v>
      </c>
      <c r="B14" s="319">
        <v>556</v>
      </c>
      <c r="C14" s="319">
        <v>417.5</v>
      </c>
      <c r="D14" s="319">
        <v>600</v>
      </c>
      <c r="E14" s="319"/>
      <c r="F14" s="319">
        <v>4245</v>
      </c>
    </row>
    <row r="15" spans="1:9">
      <c r="A15" s="32" t="s">
        <v>6361</v>
      </c>
      <c r="B15" s="319">
        <v>2017</v>
      </c>
      <c r="C15" s="319">
        <v>1413</v>
      </c>
      <c r="D15" s="319">
        <v>2243</v>
      </c>
      <c r="E15" s="319"/>
      <c r="F15" s="319">
        <v>14455</v>
      </c>
    </row>
    <row r="16" spans="1:9">
      <c r="A16" s="32"/>
      <c r="B16" s="319"/>
      <c r="C16" s="319"/>
      <c r="D16" s="319"/>
      <c r="E16" s="319"/>
      <c r="F16" s="319"/>
    </row>
    <row r="17" spans="1:8">
      <c r="A17" s="32"/>
      <c r="B17" s="319"/>
      <c r="C17" s="319"/>
      <c r="D17" s="319"/>
      <c r="E17" s="319"/>
      <c r="F17" s="319"/>
    </row>
    <row r="18" spans="1:8">
      <c r="A18" s="32" t="s">
        <v>5786</v>
      </c>
      <c r="B18" s="319">
        <v>173</v>
      </c>
      <c r="C18" s="319">
        <v>170</v>
      </c>
      <c r="D18" s="319">
        <v>440</v>
      </c>
      <c r="E18" s="319">
        <v>400</v>
      </c>
      <c r="F18" s="319">
        <v>4850</v>
      </c>
    </row>
    <row r="19" spans="1:8">
      <c r="A19" s="32" t="s">
        <v>6257</v>
      </c>
      <c r="B19" s="319">
        <v>95</v>
      </c>
      <c r="C19" s="319">
        <v>65</v>
      </c>
      <c r="D19" s="319">
        <v>175</v>
      </c>
      <c r="E19" s="319"/>
      <c r="F19" s="319">
        <v>1298</v>
      </c>
    </row>
    <row r="20" spans="1:8">
      <c r="A20" s="32" t="s">
        <v>5785</v>
      </c>
      <c r="B20" s="319">
        <v>144</v>
      </c>
      <c r="C20" s="319">
        <v>100</v>
      </c>
      <c r="D20" s="319">
        <v>210</v>
      </c>
      <c r="E20" s="319"/>
      <c r="F20" s="319">
        <v>1569</v>
      </c>
    </row>
    <row r="21" spans="1:8">
      <c r="A21" s="32" t="s">
        <v>4508</v>
      </c>
      <c r="B21" s="319">
        <v>65</v>
      </c>
      <c r="C21" s="319">
        <v>14</v>
      </c>
      <c r="D21" s="319">
        <v>140</v>
      </c>
      <c r="E21" s="319"/>
      <c r="F21" s="319">
        <v>712</v>
      </c>
    </row>
    <row r="22" spans="1:8">
      <c r="A22" s="32" t="s">
        <v>6737</v>
      </c>
      <c r="B22" s="319">
        <v>130.6</v>
      </c>
      <c r="C22" s="319">
        <v>40</v>
      </c>
      <c r="D22" s="319">
        <v>280</v>
      </c>
      <c r="E22" s="319"/>
      <c r="F22" s="319">
        <v>1142</v>
      </c>
      <c r="H22" t="s">
        <v>25</v>
      </c>
    </row>
    <row r="23" spans="1:8">
      <c r="A23" s="32" t="s">
        <v>5792</v>
      </c>
      <c r="B23" s="319">
        <v>223</v>
      </c>
      <c r="C23" s="319">
        <v>80</v>
      </c>
      <c r="D23" s="319">
        <v>300</v>
      </c>
      <c r="E23" s="319"/>
      <c r="F23" s="319"/>
    </row>
    <row r="24" spans="1:8">
      <c r="A24" s="32" t="s">
        <v>6874</v>
      </c>
      <c r="B24" s="319">
        <v>109</v>
      </c>
      <c r="C24" s="319">
        <v>47</v>
      </c>
      <c r="D24" s="319">
        <v>104.7</v>
      </c>
      <c r="E24" s="319"/>
      <c r="F24" s="319">
        <v>839</v>
      </c>
    </row>
    <row r="25" spans="1:8">
      <c r="A25" s="32" t="s">
        <v>6879</v>
      </c>
      <c r="B25" s="319">
        <v>39.299999999999997</v>
      </c>
      <c r="C25" s="319">
        <v>35.700000000000003</v>
      </c>
      <c r="D25" s="319">
        <v>47</v>
      </c>
      <c r="E25" s="319"/>
      <c r="F25" s="319">
        <v>370</v>
      </c>
      <c r="H25" t="s">
        <v>25</v>
      </c>
    </row>
    <row r="26" spans="1:8">
      <c r="A26" s="32" t="s">
        <v>6211</v>
      </c>
      <c r="B26" s="319">
        <v>2959</v>
      </c>
      <c r="C26" s="319">
        <v>2400</v>
      </c>
      <c r="D26" s="319">
        <v>3500</v>
      </c>
      <c r="E26" s="319"/>
      <c r="F26" s="319">
        <v>25000</v>
      </c>
    </row>
    <row r="27" spans="1:8">
      <c r="A27" s="32" t="s">
        <v>6972</v>
      </c>
      <c r="B27" s="319">
        <v>125</v>
      </c>
      <c r="C27" s="319">
        <v>100</v>
      </c>
      <c r="D27" s="319">
        <v>217.5</v>
      </c>
      <c r="E27" s="319">
        <v>170</v>
      </c>
      <c r="F27" s="319">
        <v>2086</v>
      </c>
    </row>
    <row r="28" spans="1:8">
      <c r="A28" s="32" t="s">
        <v>5834</v>
      </c>
      <c r="B28" s="319">
        <v>391</v>
      </c>
      <c r="C28" s="319">
        <v>353</v>
      </c>
      <c r="D28" s="319">
        <v>600</v>
      </c>
      <c r="E28" s="319"/>
      <c r="F28" s="319">
        <v>3000</v>
      </c>
    </row>
    <row r="29" spans="1:8">
      <c r="A29" s="32" t="s">
        <v>6876</v>
      </c>
      <c r="B29" s="319">
        <v>178</v>
      </c>
      <c r="C29" s="319">
        <v>146</v>
      </c>
      <c r="D29" s="319">
        <v>370</v>
      </c>
      <c r="E29" s="319"/>
      <c r="F29" s="319">
        <v>2300</v>
      </c>
    </row>
    <row r="30" spans="1:8">
      <c r="A30" s="32" t="s">
        <v>4216</v>
      </c>
      <c r="B30" s="319">
        <v>224</v>
      </c>
      <c r="C30" s="319">
        <v>193</v>
      </c>
      <c r="D30" s="319">
        <v>340</v>
      </c>
      <c r="E30" s="319"/>
      <c r="F30" s="319">
        <v>1328</v>
      </c>
    </row>
    <row r="31" spans="1:8">
      <c r="A31" s="32" t="s">
        <v>6888</v>
      </c>
      <c r="B31" s="319">
        <v>79.5</v>
      </c>
      <c r="C31" s="319">
        <v>55.7</v>
      </c>
      <c r="D31" s="319">
        <v>140</v>
      </c>
      <c r="E31" s="319"/>
      <c r="F31" s="319">
        <v>1435</v>
      </c>
      <c r="H31" t="s">
        <v>25</v>
      </c>
    </row>
    <row r="32" spans="1:8">
      <c r="A32" s="32" t="s">
        <v>4519</v>
      </c>
      <c r="B32" s="319">
        <v>50</v>
      </c>
      <c r="C32" s="319">
        <v>50</v>
      </c>
      <c r="D32" s="319">
        <v>140</v>
      </c>
      <c r="E32" s="319"/>
      <c r="F32" s="319"/>
      <c r="H32" t="s">
        <v>25</v>
      </c>
    </row>
    <row r="33" spans="1:8">
      <c r="A33" s="32" t="s">
        <v>5936</v>
      </c>
      <c r="B33" s="319">
        <v>578</v>
      </c>
      <c r="C33" s="319">
        <v>300</v>
      </c>
      <c r="D33" s="319">
        <v>800</v>
      </c>
      <c r="E33" s="319"/>
      <c r="F33" s="319"/>
      <c r="H33" t="s">
        <v>25</v>
      </c>
    </row>
    <row r="34" spans="1:8">
      <c r="A34" s="32"/>
      <c r="B34" s="319"/>
      <c r="C34" s="319"/>
      <c r="D34" s="319"/>
      <c r="E34" s="319"/>
      <c r="F34" s="319"/>
    </row>
    <row r="35" spans="1:8">
      <c r="A35" s="32" t="s">
        <v>6259</v>
      </c>
      <c r="B35" s="319">
        <v>66</v>
      </c>
      <c r="C35" s="319">
        <v>6.6</v>
      </c>
      <c r="D35" s="319">
        <v>80</v>
      </c>
      <c r="E35" s="319"/>
      <c r="F35" s="319"/>
    </row>
    <row r="36" spans="1:8">
      <c r="A36" s="32" t="s">
        <v>6258</v>
      </c>
      <c r="B36" s="319">
        <v>58</v>
      </c>
      <c r="C36" s="319">
        <v>15</v>
      </c>
      <c r="D36" s="319">
        <v>60</v>
      </c>
      <c r="E36" s="319"/>
      <c r="F36" s="319"/>
    </row>
    <row r="37" spans="1:8">
      <c r="A37" s="32"/>
      <c r="B37" s="319"/>
      <c r="C37" s="319"/>
      <c r="D37" s="319"/>
      <c r="E37" s="319"/>
      <c r="F37" s="319"/>
    </row>
    <row r="38" spans="1:8">
      <c r="A38" s="32" t="s">
        <v>6216</v>
      </c>
      <c r="B38" s="319">
        <v>110</v>
      </c>
      <c r="C38" s="319"/>
      <c r="D38" s="319"/>
      <c r="E38" s="319"/>
      <c r="F38" s="319"/>
    </row>
    <row r="39" spans="1:8">
      <c r="A39" s="32" t="s">
        <v>6219</v>
      </c>
      <c r="B39" s="319">
        <v>30</v>
      </c>
      <c r="C39" s="319"/>
      <c r="D39" s="319"/>
      <c r="E39" s="319"/>
      <c r="F39" s="319"/>
    </row>
    <row r="40" spans="1:8">
      <c r="A40" s="32" t="s">
        <v>6220</v>
      </c>
      <c r="B40" s="319">
        <v>100</v>
      </c>
      <c r="C40" s="319"/>
      <c r="D40" s="319"/>
      <c r="E40" s="319"/>
      <c r="F40" s="319"/>
    </row>
    <row r="41" spans="1:8">
      <c r="A41" s="32" t="s">
        <v>6221</v>
      </c>
      <c r="B41" s="319">
        <v>180</v>
      </c>
      <c r="C41" s="319"/>
      <c r="D41" s="319"/>
      <c r="E41" s="319"/>
      <c r="F41" s="319"/>
    </row>
    <row r="42" spans="1:8">
      <c r="A42" s="32" t="s">
        <v>6222</v>
      </c>
      <c r="B42" s="319">
        <v>100</v>
      </c>
      <c r="C42" s="319"/>
      <c r="D42" s="319"/>
      <c r="E42" s="319"/>
      <c r="F42" s="319"/>
    </row>
    <row r="43" spans="1:8">
      <c r="A43" s="32" t="s">
        <v>6223</v>
      </c>
      <c r="B43" s="319">
        <v>347</v>
      </c>
      <c r="C43" s="319"/>
      <c r="D43" s="319"/>
      <c r="E43" s="319"/>
      <c r="F43" s="319"/>
    </row>
    <row r="44" spans="1:8">
      <c r="A44" s="32" t="s">
        <v>6260</v>
      </c>
      <c r="B44" s="319">
        <v>219.8</v>
      </c>
      <c r="C44" s="319">
        <v>237</v>
      </c>
      <c r="D44" s="319">
        <v>280</v>
      </c>
      <c r="E44" s="319"/>
      <c r="F44" s="319"/>
    </row>
    <row r="45" spans="1:8">
      <c r="A45" s="32"/>
      <c r="B45" s="319"/>
      <c r="C45" s="319"/>
      <c r="D45" s="319"/>
      <c r="E45" s="319"/>
      <c r="F45" s="319"/>
    </row>
    <row r="46" spans="1:8">
      <c r="A46" s="32" t="s">
        <v>6225</v>
      </c>
      <c r="B46" s="319">
        <v>141</v>
      </c>
      <c r="C46" s="319">
        <v>125</v>
      </c>
      <c r="D46" s="319">
        <v>160</v>
      </c>
      <c r="E46" s="319"/>
      <c r="F46" s="319">
        <v>1244</v>
      </c>
    </row>
    <row r="47" spans="1:8">
      <c r="A47" s="32"/>
      <c r="B47" s="319"/>
      <c r="C47" s="319"/>
      <c r="D47" s="319"/>
      <c r="E47" s="319"/>
      <c r="F47" s="319"/>
    </row>
    <row r="48" spans="1:8">
      <c r="A48" s="32" t="s">
        <v>6226</v>
      </c>
      <c r="B48" s="319">
        <v>80000000000</v>
      </c>
      <c r="C48" s="319">
        <v>70000000000</v>
      </c>
      <c r="D48" s="319">
        <v>100000000000</v>
      </c>
      <c r="E48" s="319"/>
      <c r="F48" s="319"/>
    </row>
    <row r="49" spans="1:6">
      <c r="A49" s="32"/>
      <c r="B49" s="319"/>
      <c r="C49" s="319"/>
      <c r="D49" s="319"/>
      <c r="E49" s="319"/>
      <c r="F49" s="319"/>
    </row>
    <row r="50" spans="1:6">
      <c r="A50" s="32"/>
      <c r="B50" s="319"/>
      <c r="C50" s="319"/>
      <c r="D50" s="319"/>
      <c r="E50" s="319"/>
      <c r="F50" s="319"/>
    </row>
    <row r="51" spans="1:6">
      <c r="A51" s="32"/>
      <c r="B51" s="319"/>
      <c r="C51" s="319"/>
      <c r="D51" s="319"/>
      <c r="E51" s="319"/>
      <c r="F51" s="319"/>
    </row>
    <row r="52" spans="1:6">
      <c r="A52" s="32"/>
      <c r="B52" s="319"/>
      <c r="C52" s="319"/>
      <c r="D52" s="319"/>
      <c r="E52" s="319"/>
      <c r="F52" s="31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5"/>
  <sheetViews>
    <sheetView workbookViewId="0">
      <selection activeCell="H23" sqref="H23"/>
    </sheetView>
  </sheetViews>
  <sheetFormatPr defaultRowHeight="15"/>
  <cols>
    <col min="1" max="1" width="24.7109375" bestFit="1" customWidth="1"/>
    <col min="2" max="2" width="14.28515625" bestFit="1" customWidth="1"/>
    <col min="3" max="3" width="24.7109375" bestFit="1" customWidth="1"/>
    <col min="4" max="4" width="15" bestFit="1" customWidth="1"/>
    <col min="5" max="5" width="24.7109375" bestFit="1" customWidth="1"/>
    <col min="6" max="6" width="15.5703125" bestFit="1" customWidth="1"/>
    <col min="7" max="7" width="16.5703125" bestFit="1" customWidth="1"/>
    <col min="8" max="8" width="25" bestFit="1" customWidth="1"/>
    <col min="9" max="9" width="9.5703125" bestFit="1" customWidth="1"/>
    <col min="10" max="10" width="18.85546875" bestFit="1" customWidth="1"/>
    <col min="11" max="11" width="15.42578125" bestFit="1" customWidth="1"/>
  </cols>
  <sheetData>
    <row r="1" spans="1:11" ht="15.75">
      <c r="A1" s="176" t="s">
        <v>4821</v>
      </c>
      <c r="B1" s="176" t="s">
        <v>4822</v>
      </c>
      <c r="C1" s="367" t="s">
        <v>6706</v>
      </c>
      <c r="D1" s="176" t="s">
        <v>6705</v>
      </c>
      <c r="E1" s="367" t="s">
        <v>6707</v>
      </c>
      <c r="F1" s="176" t="s">
        <v>6708</v>
      </c>
      <c r="G1" s="176" t="s">
        <v>6228</v>
      </c>
      <c r="H1" s="176" t="s">
        <v>6864</v>
      </c>
      <c r="I1" s="176" t="s">
        <v>4245</v>
      </c>
      <c r="J1" s="176" t="s">
        <v>4905</v>
      </c>
      <c r="K1" s="356" t="s">
        <v>4651</v>
      </c>
    </row>
    <row r="2" spans="1:11" ht="15.75">
      <c r="A2" s="358" t="s">
        <v>6742</v>
      </c>
      <c r="B2" s="359">
        <v>66006193</v>
      </c>
      <c r="C2" s="359">
        <v>800</v>
      </c>
      <c r="D2" s="359">
        <f t="shared" ref="D2:D21" si="0">B2*C2/$K$2</f>
        <v>4.4004128666666666</v>
      </c>
      <c r="E2" s="358">
        <v>700</v>
      </c>
      <c r="F2" s="358">
        <f t="shared" ref="F2:F21" si="1">B2*E2/$K$2</f>
        <v>3.8503612583333333</v>
      </c>
      <c r="G2" s="358">
        <v>650</v>
      </c>
      <c r="H2" s="358">
        <f t="shared" ref="H2:H21" si="2">B2*G2/$K$2</f>
        <v>3.5753354541666669</v>
      </c>
      <c r="I2" s="358">
        <v>2386</v>
      </c>
      <c r="J2" s="358">
        <f t="shared" ref="J2:J21" si="3">B2*I2/$K$2</f>
        <v>13.124231374833334</v>
      </c>
      <c r="K2" s="359">
        <v>12000000000</v>
      </c>
    </row>
    <row r="3" spans="1:11" ht="15.75">
      <c r="A3" s="360" t="s">
        <v>5785</v>
      </c>
      <c r="B3" s="359">
        <v>2755813481</v>
      </c>
      <c r="C3" s="361">
        <f>'سهام بنیادی'!D20</f>
        <v>210</v>
      </c>
      <c r="D3" s="359">
        <f>B3*C3/$K$2</f>
        <v>48.226735917500001</v>
      </c>
      <c r="E3" s="364">
        <f>'سهام بنیادی'!B20</f>
        <v>144</v>
      </c>
      <c r="F3" s="358">
        <f t="shared" si="1"/>
        <v>33.069761772</v>
      </c>
      <c r="G3" s="360">
        <f>'سهام بنیادی'!C20</f>
        <v>100</v>
      </c>
      <c r="H3" s="358">
        <f t="shared" si="2"/>
        <v>22.965112341666668</v>
      </c>
      <c r="I3" s="360">
        <f>'سهام بنیادی'!F20</f>
        <v>1569</v>
      </c>
      <c r="J3" s="358">
        <f t="shared" si="3"/>
        <v>360.32261264074998</v>
      </c>
      <c r="K3" s="373"/>
    </row>
    <row r="4" spans="1:11" ht="15.75">
      <c r="A4" s="358" t="s">
        <v>6737</v>
      </c>
      <c r="B4" s="359">
        <v>1016599277</v>
      </c>
      <c r="C4" s="359">
        <f>'سهام بنیادی'!D22</f>
        <v>280</v>
      </c>
      <c r="D4" s="359">
        <f t="shared" si="0"/>
        <v>23.720649796666667</v>
      </c>
      <c r="E4" s="366">
        <f>'سهام بنیادی'!B22</f>
        <v>130.6</v>
      </c>
      <c r="F4" s="358">
        <f t="shared" si="1"/>
        <v>11.063988798016666</v>
      </c>
      <c r="G4" s="358">
        <f>'سهام بنیادی'!C22</f>
        <v>40</v>
      </c>
      <c r="H4" s="358">
        <f t="shared" si="2"/>
        <v>3.3886642566666665</v>
      </c>
      <c r="I4" s="358">
        <f>'سهام بنیادی'!F22</f>
        <v>1142</v>
      </c>
      <c r="J4" s="358">
        <f t="shared" si="3"/>
        <v>96.746364527833336</v>
      </c>
      <c r="K4" s="373"/>
    </row>
    <row r="5" spans="1:11" ht="15.75">
      <c r="A5" s="360" t="s">
        <v>6738</v>
      </c>
      <c r="B5" s="361">
        <v>602710539</v>
      </c>
      <c r="C5" s="361">
        <f>'سهام بنیادی'!D31</f>
        <v>140</v>
      </c>
      <c r="D5" s="359">
        <f t="shared" si="0"/>
        <v>7.0316229549999996</v>
      </c>
      <c r="E5" s="364">
        <f>'سهام بنیادی'!B31</f>
        <v>79.5</v>
      </c>
      <c r="F5" s="358">
        <f t="shared" si="1"/>
        <v>3.992957320875</v>
      </c>
      <c r="G5" s="360">
        <f>'سهام بنیادی'!C31</f>
        <v>55.7</v>
      </c>
      <c r="H5" s="358">
        <f t="shared" si="2"/>
        <v>2.7975814185250001</v>
      </c>
      <c r="I5" s="360">
        <f>'سهام بنیادی'!F31</f>
        <v>1435</v>
      </c>
      <c r="J5" s="358">
        <f t="shared" si="3"/>
        <v>72.07413528875</v>
      </c>
      <c r="K5" s="373"/>
    </row>
    <row r="6" spans="1:11" ht="15.75">
      <c r="A6" s="358" t="s">
        <v>6739</v>
      </c>
      <c r="B6" s="359">
        <v>213196988</v>
      </c>
      <c r="C6" s="359">
        <v>200</v>
      </c>
      <c r="D6" s="359">
        <f t="shared" si="0"/>
        <v>3.5532831333333332</v>
      </c>
      <c r="E6" s="366">
        <v>167</v>
      </c>
      <c r="F6" s="358">
        <f t="shared" si="1"/>
        <v>2.9669914163333333</v>
      </c>
      <c r="G6" s="358">
        <v>85</v>
      </c>
      <c r="H6" s="358">
        <f t="shared" si="2"/>
        <v>1.5101453316666666</v>
      </c>
      <c r="I6" s="358">
        <v>1650</v>
      </c>
      <c r="J6" s="358">
        <f t="shared" si="3"/>
        <v>29.31458585</v>
      </c>
      <c r="K6" s="373"/>
    </row>
    <row r="7" spans="1:11" ht="15.75">
      <c r="A7" s="360" t="s">
        <v>4216</v>
      </c>
      <c r="B7" s="361">
        <v>113533718</v>
      </c>
      <c r="C7" s="361">
        <v>300</v>
      </c>
      <c r="D7" s="359">
        <f t="shared" si="0"/>
        <v>2.8383429499999999</v>
      </c>
      <c r="E7" s="364">
        <v>230</v>
      </c>
      <c r="F7" s="358">
        <f t="shared" si="1"/>
        <v>2.1760629283333333</v>
      </c>
      <c r="G7" s="360">
        <v>200</v>
      </c>
      <c r="H7" s="358">
        <f t="shared" si="2"/>
        <v>1.8922286333333334</v>
      </c>
      <c r="I7" s="360">
        <v>1530</v>
      </c>
      <c r="J7" s="358">
        <f t="shared" si="3"/>
        <v>14.475549044999999</v>
      </c>
      <c r="K7" s="373"/>
    </row>
    <row r="8" spans="1:11" ht="15.75">
      <c r="A8" s="358" t="s">
        <v>6257</v>
      </c>
      <c r="B8" s="359">
        <v>3714526987</v>
      </c>
      <c r="C8" s="359">
        <f>'سهام بنیادی'!D19</f>
        <v>175</v>
      </c>
      <c r="D8" s="359">
        <f t="shared" si="0"/>
        <v>54.17018522708333</v>
      </c>
      <c r="E8" s="366">
        <f>'سهام بنیادی'!B19</f>
        <v>95</v>
      </c>
      <c r="F8" s="358">
        <f t="shared" si="1"/>
        <v>29.406671980416668</v>
      </c>
      <c r="G8" s="358">
        <f>'سهام بنیادی'!C19</f>
        <v>65</v>
      </c>
      <c r="H8" s="358">
        <f t="shared" si="2"/>
        <v>20.120354512916666</v>
      </c>
      <c r="I8" s="358">
        <f>'سهام بنیادی'!F19</f>
        <v>1298</v>
      </c>
      <c r="J8" s="358">
        <f t="shared" si="3"/>
        <v>401.78800242716665</v>
      </c>
      <c r="K8" s="373"/>
    </row>
    <row r="9" spans="1:11" ht="15.75">
      <c r="A9" s="360" t="s">
        <v>4508</v>
      </c>
      <c r="B9" s="361">
        <v>2665187541</v>
      </c>
      <c r="C9" s="361">
        <f>'سهام بنیادی'!D21</f>
        <v>140</v>
      </c>
      <c r="D9" s="359">
        <f t="shared" si="0"/>
        <v>31.093854645</v>
      </c>
      <c r="E9" s="364">
        <f>'سهام بنیادی'!B21</f>
        <v>65</v>
      </c>
      <c r="F9" s="358">
        <f t="shared" si="1"/>
        <v>14.436432513750001</v>
      </c>
      <c r="G9" s="360">
        <f>'سهام بنیادی'!C21</f>
        <v>14</v>
      </c>
      <c r="H9" s="358">
        <f t="shared" si="2"/>
        <v>3.1093854644999999</v>
      </c>
      <c r="I9" s="360">
        <f>'سهام بنیادی'!F21</f>
        <v>712</v>
      </c>
      <c r="J9" s="358">
        <f t="shared" si="3"/>
        <v>158.13446076599999</v>
      </c>
      <c r="K9" s="373"/>
    </row>
    <row r="10" spans="1:11" ht="15.75">
      <c r="A10" s="358" t="s">
        <v>5792</v>
      </c>
      <c r="B10" s="359">
        <v>111005114</v>
      </c>
      <c r="C10" s="359">
        <v>250</v>
      </c>
      <c r="D10" s="359">
        <f t="shared" si="0"/>
        <v>2.3126065416666668</v>
      </c>
      <c r="E10" s="366">
        <v>223</v>
      </c>
      <c r="F10" s="358">
        <f t="shared" si="1"/>
        <v>2.0628450351666667</v>
      </c>
      <c r="G10" s="358">
        <v>80</v>
      </c>
      <c r="H10" s="358">
        <f t="shared" si="2"/>
        <v>0.74003409333333336</v>
      </c>
      <c r="I10" s="358">
        <v>1600</v>
      </c>
      <c r="J10" s="358">
        <f t="shared" si="3"/>
        <v>14.800681866666666</v>
      </c>
      <c r="K10" s="373"/>
    </row>
    <row r="11" spans="1:11" ht="15.75">
      <c r="A11" s="360" t="s">
        <v>4475</v>
      </c>
      <c r="B11" s="361">
        <v>7385687</v>
      </c>
      <c r="C11" s="361">
        <v>2000</v>
      </c>
      <c r="D11" s="359">
        <f t="shared" si="0"/>
        <v>1.2309478333333332</v>
      </c>
      <c r="E11" s="364">
        <v>5800</v>
      </c>
      <c r="F11" s="358">
        <f t="shared" si="1"/>
        <v>3.5697487166666666</v>
      </c>
      <c r="G11" s="360">
        <v>5800</v>
      </c>
      <c r="H11" s="358">
        <f t="shared" si="2"/>
        <v>3.5697487166666666</v>
      </c>
      <c r="I11" s="360">
        <v>40260</v>
      </c>
      <c r="J11" s="358">
        <f t="shared" si="3"/>
        <v>24.778979884999998</v>
      </c>
      <c r="K11" s="373"/>
    </row>
    <row r="12" spans="1:11" ht="18.75">
      <c r="A12" s="360" t="s">
        <v>4827</v>
      </c>
      <c r="B12" s="361">
        <v>86946858</v>
      </c>
      <c r="C12" s="361">
        <v>2134</v>
      </c>
      <c r="D12" s="359">
        <f t="shared" si="0"/>
        <v>15.462049581</v>
      </c>
      <c r="E12" s="364">
        <v>930</v>
      </c>
      <c r="F12" s="358">
        <f t="shared" si="1"/>
        <v>6.7383814949999996</v>
      </c>
      <c r="G12" s="376">
        <v>650</v>
      </c>
      <c r="H12" s="358">
        <f t="shared" si="2"/>
        <v>4.7096214749999996</v>
      </c>
      <c r="I12" s="360">
        <f>'سهام بنیادی'!F3</f>
        <v>16501</v>
      </c>
      <c r="J12" s="358">
        <f t="shared" si="3"/>
        <v>119.55917532150001</v>
      </c>
      <c r="K12" s="373"/>
    </row>
    <row r="13" spans="1:11" ht="15.75">
      <c r="A13" s="358" t="s">
        <v>4358</v>
      </c>
      <c r="B13" s="359">
        <v>6727696</v>
      </c>
      <c r="C13" s="359">
        <f>'سهام بنیادی'!D6</f>
        <v>1267</v>
      </c>
      <c r="D13" s="359">
        <f t="shared" si="0"/>
        <v>0.71033256933333333</v>
      </c>
      <c r="E13" s="366">
        <f>'سهام بنیادی'!B6</f>
        <v>2412</v>
      </c>
      <c r="F13" s="358">
        <f t="shared" si="1"/>
        <v>1.3522668959999999</v>
      </c>
      <c r="G13" s="358">
        <f>'سهام بنیادی'!C6</f>
        <v>2300</v>
      </c>
      <c r="H13" s="358">
        <f t="shared" si="2"/>
        <v>1.2894750666666666</v>
      </c>
      <c r="I13" s="358">
        <f>'سهام بنیادی'!F6</f>
        <v>19935</v>
      </c>
      <c r="J13" s="358">
        <f t="shared" si="3"/>
        <v>11.17638498</v>
      </c>
      <c r="K13" s="373"/>
    </row>
    <row r="14" spans="1:11" ht="15.75">
      <c r="A14" s="360" t="s">
        <v>5834</v>
      </c>
      <c r="B14" s="361">
        <v>299554087</v>
      </c>
      <c r="C14" s="361">
        <f>'سهام بنیادی'!D28</f>
        <v>600</v>
      </c>
      <c r="D14" s="359">
        <f t="shared" si="0"/>
        <v>14.97770435</v>
      </c>
      <c r="E14" s="364">
        <f>'سهام بنیادی'!B28</f>
        <v>391</v>
      </c>
      <c r="F14" s="358">
        <f t="shared" si="1"/>
        <v>9.7604706680833342</v>
      </c>
      <c r="G14" s="360">
        <f>'سهام بنیادی'!C28</f>
        <v>353</v>
      </c>
      <c r="H14" s="358">
        <f t="shared" si="2"/>
        <v>8.8118827259166661</v>
      </c>
      <c r="I14" s="360">
        <f>'سهام بنیادی'!F28</f>
        <v>3000</v>
      </c>
      <c r="J14" s="358">
        <f t="shared" si="3"/>
        <v>74.888521749999995</v>
      </c>
      <c r="K14" s="373"/>
    </row>
    <row r="15" spans="1:11" ht="15.75">
      <c r="A15" s="358" t="s">
        <v>5791</v>
      </c>
      <c r="B15" s="359">
        <v>103608037</v>
      </c>
      <c r="C15" s="359">
        <v>160</v>
      </c>
      <c r="D15" s="359">
        <f t="shared" si="0"/>
        <v>1.3814404933333333</v>
      </c>
      <c r="E15" s="358">
        <v>134</v>
      </c>
      <c r="F15" s="358">
        <f t="shared" si="1"/>
        <v>1.1569564131666668</v>
      </c>
      <c r="G15" s="358">
        <v>60</v>
      </c>
      <c r="H15" s="358">
        <f t="shared" si="2"/>
        <v>0.51804018500000004</v>
      </c>
      <c r="I15" s="358">
        <v>1235</v>
      </c>
      <c r="J15" s="358">
        <f t="shared" si="3"/>
        <v>10.662993807916667</v>
      </c>
      <c r="K15" s="373" t="s">
        <v>25</v>
      </c>
    </row>
    <row r="16" spans="1:11" ht="15.75">
      <c r="A16" s="360" t="s">
        <v>5759</v>
      </c>
      <c r="B16" s="361">
        <v>38247354</v>
      </c>
      <c r="C16" s="361">
        <v>1000</v>
      </c>
      <c r="D16" s="359">
        <f t="shared" si="0"/>
        <v>3.1872794999999998</v>
      </c>
      <c r="E16" s="360">
        <v>727</v>
      </c>
      <c r="F16" s="358">
        <f t="shared" si="1"/>
        <v>2.3171521964999999</v>
      </c>
      <c r="G16" s="360">
        <v>650</v>
      </c>
      <c r="H16" s="358">
        <f t="shared" si="2"/>
        <v>2.0717316750000001</v>
      </c>
      <c r="I16" s="360">
        <v>4805</v>
      </c>
      <c r="J16" s="358">
        <f t="shared" si="3"/>
        <v>15.3148779975</v>
      </c>
      <c r="K16" s="373" t="s">
        <v>25</v>
      </c>
    </row>
    <row r="17" spans="1:11" ht="15.75">
      <c r="A17" s="358" t="s">
        <v>6740</v>
      </c>
      <c r="B17" s="359">
        <v>79825258</v>
      </c>
      <c r="C17" s="359">
        <v>250</v>
      </c>
      <c r="D17" s="359">
        <f t="shared" si="0"/>
        <v>1.6630262083333334</v>
      </c>
      <c r="E17" s="358">
        <v>197</v>
      </c>
      <c r="F17" s="358">
        <f t="shared" si="1"/>
        <v>1.3104646521666667</v>
      </c>
      <c r="G17" s="358">
        <v>180</v>
      </c>
      <c r="H17" s="358">
        <f t="shared" si="2"/>
        <v>1.1973788700000001</v>
      </c>
      <c r="I17" s="358">
        <v>2370</v>
      </c>
      <c r="J17" s="358">
        <f t="shared" si="3"/>
        <v>15.765488455</v>
      </c>
      <c r="K17" s="373"/>
    </row>
    <row r="18" spans="1:11" ht="15.75">
      <c r="A18" s="360" t="s">
        <v>4354</v>
      </c>
      <c r="B18" s="361">
        <v>6427897</v>
      </c>
      <c r="C18" s="361">
        <v>3000</v>
      </c>
      <c r="D18" s="359">
        <f t="shared" si="0"/>
        <v>1.6069742499999999</v>
      </c>
      <c r="E18" s="360">
        <v>2037</v>
      </c>
      <c r="F18" s="358">
        <f t="shared" si="1"/>
        <v>1.09113551575</v>
      </c>
      <c r="G18" s="360">
        <v>2000</v>
      </c>
      <c r="H18" s="358">
        <f t="shared" si="2"/>
        <v>1.0713161666666666</v>
      </c>
      <c r="I18" s="360">
        <v>18724</v>
      </c>
      <c r="J18" s="358">
        <f t="shared" si="3"/>
        <v>10.029661952333333</v>
      </c>
      <c r="K18" s="373"/>
    </row>
    <row r="19" spans="1:11" ht="15.75">
      <c r="A19" s="358" t="s">
        <v>5786</v>
      </c>
      <c r="B19" s="359">
        <v>125228976</v>
      </c>
      <c r="C19" s="359">
        <f>'سهام بنیادی'!D18</f>
        <v>440</v>
      </c>
      <c r="D19" s="359">
        <f t="shared" si="0"/>
        <v>4.5917291200000001</v>
      </c>
      <c r="E19" s="358">
        <f>'سهام بنیادی'!B18</f>
        <v>173</v>
      </c>
      <c r="F19" s="358">
        <f t="shared" si="1"/>
        <v>1.805384404</v>
      </c>
      <c r="G19" s="358">
        <f>'سهام بنیادی'!C18</f>
        <v>170</v>
      </c>
      <c r="H19" s="358">
        <f t="shared" si="2"/>
        <v>1.77407716</v>
      </c>
      <c r="I19" s="358">
        <v>4454</v>
      </c>
      <c r="J19" s="358">
        <f t="shared" si="3"/>
        <v>46.480821591999998</v>
      </c>
      <c r="K19" s="373"/>
    </row>
    <row r="20" spans="1:11" ht="15.75">
      <c r="A20" s="360" t="s">
        <v>6741</v>
      </c>
      <c r="B20" s="361">
        <v>891943775</v>
      </c>
      <c r="C20" s="361">
        <v>0</v>
      </c>
      <c r="D20" s="359">
        <f t="shared" si="0"/>
        <v>0</v>
      </c>
      <c r="E20" s="361">
        <v>0</v>
      </c>
      <c r="F20" s="358">
        <f t="shared" si="1"/>
        <v>0</v>
      </c>
      <c r="G20" s="361">
        <v>0</v>
      </c>
      <c r="H20" s="358">
        <f t="shared" si="2"/>
        <v>0</v>
      </c>
      <c r="I20" s="360">
        <v>1100</v>
      </c>
      <c r="J20" s="358">
        <f t="shared" si="3"/>
        <v>81.761512708333328</v>
      </c>
      <c r="K20" s="373"/>
    </row>
    <row r="21" spans="1:11" ht="15.75">
      <c r="A21" s="360" t="s">
        <v>6713</v>
      </c>
      <c r="B21" s="361">
        <v>1</v>
      </c>
      <c r="C21" s="361">
        <v>500000000000</v>
      </c>
      <c r="D21" s="359">
        <f t="shared" si="0"/>
        <v>41.666666666666664</v>
      </c>
      <c r="E21" s="361">
        <v>500000000000</v>
      </c>
      <c r="F21" s="358">
        <f t="shared" si="1"/>
        <v>41.666666666666664</v>
      </c>
      <c r="G21" s="361">
        <v>300000000000</v>
      </c>
      <c r="H21" s="358">
        <f t="shared" si="2"/>
        <v>25</v>
      </c>
      <c r="I21" s="360">
        <v>3000000000000</v>
      </c>
      <c r="J21" s="358">
        <f t="shared" si="3"/>
        <v>250</v>
      </c>
      <c r="K21" s="373"/>
    </row>
    <row r="22" spans="1:11" ht="15.75">
      <c r="A22" s="362"/>
      <c r="B22" s="355"/>
      <c r="C22" s="355"/>
      <c r="D22" s="355"/>
      <c r="E22" s="362"/>
      <c r="F22" s="362"/>
      <c r="G22" s="362"/>
      <c r="H22" s="362"/>
      <c r="I22" s="362"/>
      <c r="J22" s="362"/>
      <c r="K22" s="373"/>
    </row>
    <row r="23" spans="1:11" ht="21">
      <c r="A23" s="362"/>
      <c r="B23" s="362"/>
      <c r="C23" s="362"/>
      <c r="D23" s="355">
        <f>SUM(D2:D22)</f>
        <v>263.82584460491665</v>
      </c>
      <c r="E23" s="362"/>
      <c r="F23" s="362">
        <f>SUM(F3:F22)</f>
        <v>169.94433938889168</v>
      </c>
      <c r="G23" s="362"/>
      <c r="H23" s="362">
        <f>SUM(H3:H22)</f>
        <v>106.53677809352499</v>
      </c>
      <c r="I23" s="363" t="s">
        <v>4432</v>
      </c>
      <c r="J23" s="363">
        <f>SUM(J2:J21)</f>
        <v>1821.1990422365834</v>
      </c>
      <c r="K23" s="373"/>
    </row>
    <row r="24" spans="1:11" ht="21">
      <c r="A24" s="362"/>
      <c r="B24" s="362"/>
      <c r="C24" s="362"/>
      <c r="D24" s="362" t="s">
        <v>6</v>
      </c>
      <c r="E24" s="362"/>
      <c r="F24" s="362" t="s">
        <v>6</v>
      </c>
      <c r="G24" s="362"/>
      <c r="H24" s="362" t="s">
        <v>6</v>
      </c>
      <c r="I24" s="363" t="s">
        <v>5007</v>
      </c>
      <c r="J24" s="363">
        <v>805</v>
      </c>
      <c r="K24" s="373"/>
    </row>
    <row r="25" spans="1:11" ht="21">
      <c r="A25" s="362"/>
      <c r="B25" s="362"/>
      <c r="C25" s="362"/>
      <c r="D25" s="362"/>
      <c r="E25" s="362"/>
      <c r="F25" s="362"/>
      <c r="G25" s="362"/>
      <c r="H25" s="362"/>
      <c r="I25" s="363" t="s">
        <v>5008</v>
      </c>
      <c r="J25" s="363">
        <f>J24/J23</f>
        <v>0.44201648547508199</v>
      </c>
      <c r="K25" s="373"/>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749</v>
      </c>
      <c r="B5" s="18">
        <v>-97300</v>
      </c>
      <c r="C5" s="18">
        <v>0</v>
      </c>
      <c r="D5" s="3">
        <f t="shared" si="0"/>
        <v>-97300</v>
      </c>
      <c r="E5" s="20" t="s">
        <v>754</v>
      </c>
      <c r="F5">
        <v>17</v>
      </c>
      <c r="G5">
        <f t="shared" si="1"/>
        <v>-1654100</v>
      </c>
      <c r="H5">
        <f t="shared" si="2"/>
        <v>0</v>
      </c>
      <c r="I5">
        <f t="shared" si="3"/>
        <v>-1654100</v>
      </c>
      <c r="O5">
        <v>2</v>
      </c>
      <c r="P5">
        <v>28</v>
      </c>
      <c r="Q5">
        <v>29</v>
      </c>
    </row>
    <row r="6" spans="1:17">
      <c r="A6" s="17" t="s">
        <v>760</v>
      </c>
      <c r="B6" s="18">
        <v>-1000000</v>
      </c>
      <c r="C6" s="18">
        <v>-1000000</v>
      </c>
      <c r="D6" s="3">
        <f t="shared" si="0"/>
        <v>0</v>
      </c>
      <c r="E6" s="19" t="s">
        <v>761</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764</v>
      </c>
      <c r="H31" s="9" t="s">
        <v>38</v>
      </c>
      <c r="I31" s="9" t="s">
        <v>39</v>
      </c>
      <c r="O31">
        <v>28</v>
      </c>
      <c r="P31">
        <v>2</v>
      </c>
      <c r="Q31">
        <v>3</v>
      </c>
    </row>
    <row r="32" spans="1:17">
      <c r="B32" s="7"/>
      <c r="D32" s="42">
        <v>295200</v>
      </c>
      <c r="E32" s="41" t="s">
        <v>746</v>
      </c>
      <c r="O32">
        <v>29</v>
      </c>
      <c r="P32">
        <v>1</v>
      </c>
      <c r="Q32">
        <v>2</v>
      </c>
    </row>
    <row r="33" spans="4:17">
      <c r="D33" s="42">
        <v>-30000</v>
      </c>
      <c r="E33" s="41" t="s">
        <v>755</v>
      </c>
      <c r="O33">
        <v>30</v>
      </c>
      <c r="P33">
        <v>0</v>
      </c>
      <c r="Q33">
        <v>1</v>
      </c>
    </row>
    <row r="34" spans="4:17">
      <c r="D34" s="42">
        <v>-100000</v>
      </c>
      <c r="E34" s="41" t="s">
        <v>757</v>
      </c>
      <c r="P34" t="s">
        <v>60</v>
      </c>
      <c r="Q34" t="s">
        <v>61</v>
      </c>
    </row>
    <row r="35" spans="4:17">
      <c r="D35" s="42">
        <v>-50000</v>
      </c>
      <c r="E35" s="41" t="s">
        <v>762</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766</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765</v>
      </c>
      <c r="F3">
        <v>29</v>
      </c>
      <c r="G3">
        <f t="shared" ref="G3:G23" si="1">B3*F3</f>
        <v>8436100</v>
      </c>
      <c r="H3">
        <f t="shared" ref="H3:H23" si="2">C3*F3</f>
        <v>2823411</v>
      </c>
      <c r="I3">
        <f t="shared" ref="I3:I23" si="3">D3*F3</f>
        <v>5612689</v>
      </c>
    </row>
    <row r="4" spans="1:17">
      <c r="A4" s="20" t="s">
        <v>780</v>
      </c>
      <c r="B4" s="18">
        <v>-1000500</v>
      </c>
      <c r="C4" s="18">
        <v>-1000500</v>
      </c>
      <c r="D4" s="3">
        <f t="shared" si="0"/>
        <v>0</v>
      </c>
      <c r="E4" s="11" t="s">
        <v>781</v>
      </c>
      <c r="F4">
        <v>13</v>
      </c>
      <c r="G4">
        <f t="shared" si="1"/>
        <v>-13006500</v>
      </c>
      <c r="H4">
        <f t="shared" si="2"/>
        <v>-13006500</v>
      </c>
      <c r="I4">
        <f t="shared" si="3"/>
        <v>0</v>
      </c>
      <c r="O4">
        <v>1</v>
      </c>
      <c r="P4">
        <v>29</v>
      </c>
      <c r="Q4">
        <v>30</v>
      </c>
    </row>
    <row r="5" spans="1:17">
      <c r="A5" s="30" t="s">
        <v>795</v>
      </c>
      <c r="B5" s="39">
        <v>282240</v>
      </c>
      <c r="C5" s="39">
        <v>88807</v>
      </c>
      <c r="D5" s="35">
        <f t="shared" si="0"/>
        <v>193433</v>
      </c>
      <c r="E5" s="23" t="s">
        <v>242</v>
      </c>
      <c r="F5">
        <v>0</v>
      </c>
      <c r="G5">
        <f t="shared" si="1"/>
        <v>0</v>
      </c>
      <c r="H5">
        <f t="shared" si="2"/>
        <v>0</v>
      </c>
      <c r="I5">
        <f t="shared" si="3"/>
        <v>0</v>
      </c>
      <c r="O5">
        <v>2</v>
      </c>
      <c r="P5">
        <v>28</v>
      </c>
      <c r="Q5">
        <v>29</v>
      </c>
    </row>
    <row r="6" spans="1:17">
      <c r="A6" s="17" t="s">
        <v>760</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771</v>
      </c>
      <c r="G31" s="9" t="s">
        <v>240</v>
      </c>
      <c r="H31" s="9" t="s">
        <v>38</v>
      </c>
      <c r="I31" s="9" t="s">
        <v>39</v>
      </c>
      <c r="O31">
        <v>28</v>
      </c>
      <c r="P31">
        <v>2</v>
      </c>
      <c r="Q31">
        <v>3</v>
      </c>
    </row>
    <row r="32" spans="1:17">
      <c r="B32" s="7"/>
      <c r="D32" s="42">
        <v>-150000</v>
      </c>
      <c r="E32" s="41" t="s">
        <v>775</v>
      </c>
      <c r="O32">
        <v>29</v>
      </c>
      <c r="P32">
        <v>1</v>
      </c>
      <c r="Q32">
        <v>2</v>
      </c>
    </row>
    <row r="33" spans="4:17">
      <c r="D33" s="42">
        <v>-8000</v>
      </c>
      <c r="E33" s="41" t="s">
        <v>782</v>
      </c>
      <c r="O33">
        <v>30</v>
      </c>
      <c r="P33">
        <v>0</v>
      </c>
      <c r="Q33">
        <v>1</v>
      </c>
    </row>
    <row r="34" spans="4:17">
      <c r="D34" s="42">
        <v>-100000</v>
      </c>
      <c r="E34" s="41" t="s">
        <v>783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'آذر 96'!B24</f>
        <v>34082410</v>
      </c>
      <c r="C2" s="1">
        <f>'آذر 96'!C24</f>
        <v>10335635</v>
      </c>
      <c r="D2" s="3">
        <f>B2-C2</f>
        <v>23746775</v>
      </c>
      <c r="E2" s="2" t="s">
        <v>59</v>
      </c>
      <c r="F2">
        <v>30</v>
      </c>
      <c r="G2">
        <f>B2*F2</f>
        <v>1022472300</v>
      </c>
      <c r="H2">
        <f>C2*F2</f>
        <v>310069050</v>
      </c>
      <c r="I2">
        <f>D2*F2</f>
        <v>712403250</v>
      </c>
    </row>
    <row r="3" spans="1:17">
      <c r="A3" s="20" t="s">
        <v>800</v>
      </c>
      <c r="B3" s="18">
        <v>1500000</v>
      </c>
      <c r="C3" s="18">
        <v>0</v>
      </c>
      <c r="D3" s="43">
        <f t="shared" ref="D3:D22" si="0">B3-C3</f>
        <v>1500000</v>
      </c>
      <c r="E3" s="20" t="s">
        <v>801</v>
      </c>
      <c r="F3">
        <v>27</v>
      </c>
      <c r="G3">
        <f t="shared" ref="G3:G23" si="1">B3*F3</f>
        <v>40500000</v>
      </c>
      <c r="H3">
        <f t="shared" ref="H3:H23" si="2">C3*F3</f>
        <v>0</v>
      </c>
      <c r="I3">
        <f t="shared" ref="I3:I23" si="3">D3*F3</f>
        <v>40500000</v>
      </c>
    </row>
    <row r="4" spans="1:17">
      <c r="A4" s="20" t="s">
        <v>819</v>
      </c>
      <c r="B4" s="18">
        <v>0</v>
      </c>
      <c r="C4" s="18">
        <v>-1000000</v>
      </c>
      <c r="D4" s="3">
        <f t="shared" si="0"/>
        <v>1000000</v>
      </c>
      <c r="E4" s="11" t="s">
        <v>820</v>
      </c>
      <c r="F4">
        <v>14</v>
      </c>
      <c r="G4">
        <f t="shared" si="1"/>
        <v>0</v>
      </c>
      <c r="H4">
        <f t="shared" si="2"/>
        <v>-14000000</v>
      </c>
      <c r="I4">
        <f t="shared" si="3"/>
        <v>14000000</v>
      </c>
      <c r="O4">
        <v>1</v>
      </c>
      <c r="P4">
        <v>29</v>
      </c>
      <c r="Q4">
        <v>30</v>
      </c>
    </row>
    <row r="5" spans="1:17">
      <c r="A5" s="30" t="s">
        <v>834</v>
      </c>
      <c r="B5" s="39">
        <v>291225</v>
      </c>
      <c r="C5" s="39">
        <v>81022</v>
      </c>
      <c r="D5" s="35">
        <f t="shared" si="0"/>
        <v>210203</v>
      </c>
      <c r="E5" s="23" t="s">
        <v>264</v>
      </c>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808</v>
      </c>
      <c r="G31" s="9" t="s">
        <v>872</v>
      </c>
      <c r="H31" s="9" t="s">
        <v>38</v>
      </c>
      <c r="I31" s="9" t="s">
        <v>39</v>
      </c>
      <c r="O31">
        <v>28</v>
      </c>
      <c r="P31">
        <v>2</v>
      </c>
      <c r="Q31">
        <v>3</v>
      </c>
    </row>
    <row r="32" spans="1:17">
      <c r="B32" s="7"/>
      <c r="D32" s="42">
        <v>-4000</v>
      </c>
      <c r="E32" s="41" t="s">
        <v>809</v>
      </c>
      <c r="O32">
        <v>29</v>
      </c>
      <c r="P32">
        <v>1</v>
      </c>
      <c r="Q32">
        <v>2</v>
      </c>
    </row>
    <row r="33" spans="4:17">
      <c r="D33" s="42">
        <v>-112000</v>
      </c>
      <c r="E33" s="41" t="s">
        <v>815</v>
      </c>
      <c r="O33">
        <v>30</v>
      </c>
      <c r="P33">
        <v>0</v>
      </c>
      <c r="Q33">
        <v>1</v>
      </c>
    </row>
    <row r="34" spans="4:17">
      <c r="D34" s="42">
        <v>-9000</v>
      </c>
      <c r="E34" s="41" t="s">
        <v>817</v>
      </c>
      <c r="P34" t="s">
        <v>60</v>
      </c>
      <c r="Q34" t="s">
        <v>61</v>
      </c>
    </row>
    <row r="35" spans="4:17">
      <c r="D35" s="42">
        <v>-80000</v>
      </c>
      <c r="E35" s="41" t="s">
        <v>818</v>
      </c>
    </row>
    <row r="36" spans="4:17">
      <c r="D36" s="42">
        <v>-10000</v>
      </c>
      <c r="E36" s="41" t="s">
        <v>828</v>
      </c>
    </row>
    <row r="37" spans="4:17">
      <c r="D37" s="7">
        <v>-180000</v>
      </c>
      <c r="E37" s="41" t="s">
        <v>833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'دی 96'!B24</f>
        <v>35873635</v>
      </c>
      <c r="C2" s="1">
        <f>'دی 96'!C24</f>
        <v>9416657</v>
      </c>
      <c r="D2" s="3">
        <f>B2-C2</f>
        <v>26456978</v>
      </c>
      <c r="E2" s="2" t="s">
        <v>59</v>
      </c>
      <c r="F2">
        <v>30</v>
      </c>
      <c r="G2">
        <f>B2*F2</f>
        <v>1076209050</v>
      </c>
      <c r="H2">
        <f>C2*F2</f>
        <v>282499710</v>
      </c>
      <c r="I2">
        <f>D2*F2</f>
        <v>793709340</v>
      </c>
    </row>
    <row r="3" spans="1:17">
      <c r="A3" s="20" t="s">
        <v>862</v>
      </c>
      <c r="B3" s="18">
        <v>0</v>
      </c>
      <c r="C3" s="18">
        <v>-1000000</v>
      </c>
      <c r="D3" s="43">
        <f t="shared" ref="D3:D22" si="0">B3-C3</f>
        <v>1000000</v>
      </c>
      <c r="E3" s="20" t="s">
        <v>866</v>
      </c>
      <c r="F3">
        <v>10</v>
      </c>
      <c r="G3">
        <f t="shared" ref="G3:G23" si="1">B3*F3</f>
        <v>0</v>
      </c>
      <c r="H3">
        <f t="shared" ref="H3:H23" si="2">C3*F3</f>
        <v>-10000000</v>
      </c>
      <c r="I3">
        <f t="shared" ref="I3:I23" si="3">D3*F3</f>
        <v>10000000</v>
      </c>
    </row>
    <row r="4" spans="1:17">
      <c r="A4" s="23" t="s">
        <v>870</v>
      </c>
      <c r="B4" s="39">
        <v>294852</v>
      </c>
      <c r="C4" s="39">
        <v>74657</v>
      </c>
      <c r="D4" s="35">
        <f t="shared" si="0"/>
        <v>220195</v>
      </c>
      <c r="E4" s="23" t="s">
        <v>880</v>
      </c>
      <c r="F4">
        <v>0</v>
      </c>
      <c r="G4">
        <f t="shared" si="1"/>
        <v>0</v>
      </c>
      <c r="H4">
        <f t="shared" si="2"/>
        <v>0</v>
      </c>
      <c r="I4">
        <f t="shared" si="3"/>
        <v>0</v>
      </c>
      <c r="O4">
        <v>1</v>
      </c>
      <c r="P4">
        <v>29</v>
      </c>
      <c r="Q4">
        <v>30</v>
      </c>
    </row>
    <row r="5" spans="1:17">
      <c r="A5" s="30" t="s">
        <v>749</v>
      </c>
      <c r="B5" s="18">
        <v>0</v>
      </c>
      <c r="C5" s="18">
        <v>0</v>
      </c>
      <c r="D5" s="3">
        <f t="shared" si="0"/>
        <v>0</v>
      </c>
      <c r="E5" s="20"/>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864</v>
      </c>
      <c r="G31" s="9" t="s">
        <v>405</v>
      </c>
      <c r="H31" s="9" t="s">
        <v>38</v>
      </c>
      <c r="I31" s="9" t="s">
        <v>39</v>
      </c>
      <c r="O31">
        <v>28</v>
      </c>
      <c r="P31">
        <v>2</v>
      </c>
      <c r="Q31">
        <v>3</v>
      </c>
    </row>
    <row r="32" spans="1:17">
      <c r="B32" s="7"/>
      <c r="D32" s="42">
        <v>-10000</v>
      </c>
      <c r="E32" s="41" t="s">
        <v>865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870</v>
      </c>
      <c r="B2" s="3">
        <f>'بهمن 96'!B24</f>
        <v>36168487</v>
      </c>
      <c r="C2" s="1">
        <f>'بهمن 96'!C24</f>
        <v>8491314</v>
      </c>
      <c r="D2" s="3">
        <f>B2-C2</f>
        <v>27677173</v>
      </c>
      <c r="E2" s="2" t="s">
        <v>59</v>
      </c>
      <c r="F2">
        <v>30</v>
      </c>
      <c r="G2">
        <f>B2*F2</f>
        <v>1085054610</v>
      </c>
      <c r="H2">
        <f>C2*F2</f>
        <v>254739420</v>
      </c>
      <c r="I2">
        <f>D2*F2</f>
        <v>830315190</v>
      </c>
    </row>
    <row r="3" spans="1:17">
      <c r="A3" s="20" t="s">
        <v>881</v>
      </c>
      <c r="B3" s="18">
        <v>-1000500</v>
      </c>
      <c r="C3" s="18">
        <v>-1000500</v>
      </c>
      <c r="D3" s="43">
        <f t="shared" ref="D3:D22" si="0">B3-C3</f>
        <v>0</v>
      </c>
      <c r="E3" s="20" t="s">
        <v>882</v>
      </c>
      <c r="F3">
        <v>11</v>
      </c>
      <c r="G3">
        <f t="shared" ref="G3:G23" si="1">B3*F3</f>
        <v>-11005500</v>
      </c>
      <c r="H3">
        <f t="shared" ref="H3:H23" si="2">C3*F3</f>
        <v>-11005500</v>
      </c>
      <c r="I3">
        <f t="shared" ref="I3:I23" si="3">D3*F3</f>
        <v>0</v>
      </c>
    </row>
    <row r="4" spans="1:17">
      <c r="A4" s="20" t="s">
        <v>895</v>
      </c>
      <c r="B4" s="18">
        <v>-10000</v>
      </c>
      <c r="C4" s="18">
        <v>-5000</v>
      </c>
      <c r="D4" s="3">
        <f t="shared" si="0"/>
        <v>-5000</v>
      </c>
      <c r="E4" s="11" t="s">
        <v>901</v>
      </c>
      <c r="F4">
        <v>16</v>
      </c>
      <c r="G4">
        <f t="shared" si="1"/>
        <v>-160000</v>
      </c>
      <c r="H4">
        <f t="shared" si="2"/>
        <v>-80000</v>
      </c>
      <c r="I4">
        <f t="shared" si="3"/>
        <v>-80000</v>
      </c>
      <c r="O4">
        <v>1</v>
      </c>
      <c r="P4">
        <v>29</v>
      </c>
      <c r="Q4">
        <v>30</v>
      </c>
    </row>
    <row r="5" spans="1:17">
      <c r="A5" s="30" t="s">
        <v>917</v>
      </c>
      <c r="B5" s="18">
        <v>-27000000</v>
      </c>
      <c r="C5" s="18">
        <v>0</v>
      </c>
      <c r="D5" s="3">
        <f t="shared" si="0"/>
        <v>-27000000</v>
      </c>
      <c r="E5" s="20" t="s">
        <v>993</v>
      </c>
      <c r="F5">
        <v>5</v>
      </c>
      <c r="G5">
        <f t="shared" si="1"/>
        <v>-135000000</v>
      </c>
      <c r="H5">
        <f t="shared" si="2"/>
        <v>0</v>
      </c>
      <c r="I5">
        <f t="shared" si="3"/>
        <v>-135000000</v>
      </c>
      <c r="O5">
        <v>2</v>
      </c>
      <c r="P5">
        <v>28</v>
      </c>
      <c r="Q5">
        <v>29</v>
      </c>
    </row>
    <row r="6" spans="1:17">
      <c r="A6" s="17" t="s">
        <v>1017</v>
      </c>
      <c r="B6" s="18">
        <v>252436</v>
      </c>
      <c r="C6" s="18">
        <v>65510</v>
      </c>
      <c r="D6" s="3">
        <f t="shared" si="0"/>
        <v>186926</v>
      </c>
      <c r="E6" s="19" t="s">
        <v>1019</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883</v>
      </c>
      <c r="O32">
        <v>29</v>
      </c>
      <c r="P32">
        <v>1</v>
      </c>
      <c r="Q32">
        <v>2</v>
      </c>
    </row>
    <row r="33" spans="4:17">
      <c r="D33" s="42">
        <v>-163000</v>
      </c>
      <c r="E33" s="41" t="s">
        <v>911</v>
      </c>
      <c r="O33">
        <v>30</v>
      </c>
      <c r="P33">
        <v>0</v>
      </c>
      <c r="Q33">
        <v>1</v>
      </c>
    </row>
    <row r="34" spans="4:17">
      <c r="D34" s="42">
        <v>-150000</v>
      </c>
      <c r="E34" s="41" t="s">
        <v>991</v>
      </c>
      <c r="P34" t="s">
        <v>60</v>
      </c>
      <c r="Q34" t="s">
        <v>61</v>
      </c>
    </row>
    <row r="35" spans="4:17">
      <c r="D35" s="42">
        <v>200000</v>
      </c>
      <c r="E35" s="41" t="s">
        <v>1009</v>
      </c>
    </row>
    <row r="36" spans="4:17">
      <c r="D36" s="42">
        <v>245000</v>
      </c>
      <c r="E36" s="41" t="s">
        <v>1009</v>
      </c>
    </row>
    <row r="37" spans="4:17">
      <c r="D37" s="7">
        <v>-25000</v>
      </c>
      <c r="E37" s="41" t="s">
        <v>1013</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1017</v>
      </c>
      <c r="B2" s="3">
        <f>'اسفند 96'!B24</f>
        <v>8410423</v>
      </c>
      <c r="C2" s="1">
        <f>'اسفند 96'!C24</f>
        <v>7551324</v>
      </c>
      <c r="D2" s="3">
        <f>B2-C2</f>
        <v>859099</v>
      </c>
      <c r="E2" s="2" t="s">
        <v>59</v>
      </c>
      <c r="F2">
        <v>30</v>
      </c>
      <c r="G2">
        <f>B2*F2</f>
        <v>252312690</v>
      </c>
      <c r="H2">
        <f>C2*F2</f>
        <v>226539720</v>
      </c>
      <c r="I2">
        <f>D2*F2</f>
        <v>25772970</v>
      </c>
    </row>
    <row r="3" spans="1:17">
      <c r="A3" s="20" t="s">
        <v>1056</v>
      </c>
      <c r="B3" s="18">
        <v>52400000</v>
      </c>
      <c r="C3" s="18">
        <v>0</v>
      </c>
      <c r="D3" s="43">
        <f t="shared" ref="D3:D22" si="0">B3-C3</f>
        <v>52400000</v>
      </c>
      <c r="E3" s="20" t="s">
        <v>1057</v>
      </c>
      <c r="F3">
        <v>23</v>
      </c>
      <c r="G3">
        <f t="shared" ref="G3:G23" si="1">B3*F3</f>
        <v>1205200000</v>
      </c>
      <c r="H3">
        <f t="shared" ref="H3:H23" si="2">C3*F3</f>
        <v>0</v>
      </c>
      <c r="I3">
        <f t="shared" ref="I3:I23" si="3">D3*F3</f>
        <v>1205200000</v>
      </c>
    </row>
    <row r="4" spans="1:17">
      <c r="A4" s="20" t="s">
        <v>1060</v>
      </c>
      <c r="B4" s="18">
        <v>-52000000</v>
      </c>
      <c r="C4" s="18">
        <v>0</v>
      </c>
      <c r="D4" s="3">
        <f t="shared" si="0"/>
        <v>-52000000</v>
      </c>
      <c r="E4" s="11" t="s">
        <v>1063</v>
      </c>
      <c r="F4">
        <v>17</v>
      </c>
      <c r="G4">
        <f t="shared" si="1"/>
        <v>-884000000</v>
      </c>
      <c r="H4">
        <f t="shared" si="2"/>
        <v>0</v>
      </c>
      <c r="I4">
        <f t="shared" si="3"/>
        <v>-884000000</v>
      </c>
      <c r="O4">
        <v>1</v>
      </c>
      <c r="P4">
        <v>30</v>
      </c>
      <c r="Q4">
        <v>31</v>
      </c>
    </row>
    <row r="5" spans="1:17">
      <c r="A5" s="30" t="s">
        <v>1101</v>
      </c>
      <c r="B5" s="18">
        <v>-8000000</v>
      </c>
      <c r="C5" s="18">
        <v>-6772131</v>
      </c>
      <c r="D5" s="3">
        <f t="shared" si="0"/>
        <v>-1227869</v>
      </c>
      <c r="E5" s="20" t="s">
        <v>993</v>
      </c>
      <c r="F5">
        <v>12</v>
      </c>
      <c r="G5">
        <f t="shared" si="1"/>
        <v>-96000000</v>
      </c>
      <c r="H5">
        <f t="shared" si="2"/>
        <v>-81265572</v>
      </c>
      <c r="I5">
        <f t="shared" si="3"/>
        <v>-14734428</v>
      </c>
      <c r="O5">
        <v>2</v>
      </c>
      <c r="P5">
        <v>29</v>
      </c>
      <c r="Q5">
        <v>30</v>
      </c>
    </row>
    <row r="6" spans="1:17">
      <c r="A6" s="17" t="s">
        <v>1101</v>
      </c>
      <c r="B6" s="18">
        <v>-31230</v>
      </c>
      <c r="C6" s="18">
        <v>0</v>
      </c>
      <c r="D6" s="3">
        <f t="shared" si="0"/>
        <v>-31230</v>
      </c>
      <c r="E6" s="19" t="s">
        <v>1102</v>
      </c>
      <c r="F6">
        <v>12</v>
      </c>
      <c r="G6">
        <f t="shared" si="1"/>
        <v>-374760</v>
      </c>
      <c r="H6">
        <f t="shared" si="2"/>
        <v>0</v>
      </c>
      <c r="I6">
        <f t="shared" si="3"/>
        <v>-374760</v>
      </c>
      <c r="O6">
        <v>3</v>
      </c>
      <c r="P6">
        <v>28</v>
      </c>
      <c r="Q6">
        <v>29</v>
      </c>
    </row>
    <row r="7" spans="1:17">
      <c r="A7" s="127" t="s">
        <v>1127</v>
      </c>
      <c r="B7" s="39">
        <v>135087</v>
      </c>
      <c r="C7" s="39">
        <v>41130</v>
      </c>
      <c r="D7" s="35">
        <f t="shared" si="0"/>
        <v>93957</v>
      </c>
      <c r="E7" s="5" t="s">
        <v>1136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1059</v>
      </c>
      <c r="G31" s="9" t="s">
        <v>1020</v>
      </c>
      <c r="H31" s="9" t="s">
        <v>38</v>
      </c>
      <c r="I31" s="9" t="s">
        <v>39</v>
      </c>
      <c r="O31">
        <v>28</v>
      </c>
      <c r="P31">
        <v>3</v>
      </c>
      <c r="Q31">
        <v>4</v>
      </c>
    </row>
    <row r="32" spans="1:17">
      <c r="B32" s="7"/>
      <c r="D32" s="42">
        <v>-25500</v>
      </c>
      <c r="E32" s="41" t="s">
        <v>1035</v>
      </c>
      <c r="O32">
        <v>29</v>
      </c>
      <c r="P32">
        <v>2</v>
      </c>
      <c r="Q32">
        <v>3</v>
      </c>
    </row>
    <row r="33" spans="4:17">
      <c r="D33" s="42">
        <v>-200000</v>
      </c>
      <c r="E33" s="41" t="s">
        <v>1058</v>
      </c>
      <c r="O33">
        <v>30</v>
      </c>
      <c r="P33">
        <v>1</v>
      </c>
      <c r="Q33">
        <v>2</v>
      </c>
    </row>
    <row r="34" spans="4:17">
      <c r="D34" s="42">
        <v>100000</v>
      </c>
      <c r="E34" s="41" t="s">
        <v>1082</v>
      </c>
      <c r="O34">
        <v>31</v>
      </c>
      <c r="P34">
        <v>0</v>
      </c>
      <c r="Q34">
        <v>1</v>
      </c>
    </row>
    <row r="35" spans="4:17">
      <c r="D35" s="42">
        <v>500000</v>
      </c>
      <c r="E35" s="41" t="s">
        <v>1109</v>
      </c>
      <c r="P35" t="s">
        <v>60</v>
      </c>
      <c r="Q35" t="s">
        <v>61</v>
      </c>
    </row>
    <row r="36" spans="4:17">
      <c r="D36" s="42">
        <v>79552</v>
      </c>
      <c r="E36" s="41" t="s">
        <v>1110</v>
      </c>
    </row>
    <row r="37" spans="4:17">
      <c r="D37" s="7">
        <v>-65500</v>
      </c>
      <c r="E37" s="41" t="s">
        <v>1112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1127</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1138</v>
      </c>
      <c r="B3" s="18">
        <v>6824082</v>
      </c>
      <c r="C3" s="18">
        <v>6824082</v>
      </c>
      <c r="D3" s="115">
        <f t="shared" ref="D3:D22" si="0">B3-C3</f>
        <v>0</v>
      </c>
      <c r="E3" s="20" t="s">
        <v>1057</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1157</v>
      </c>
      <c r="B4" s="18">
        <v>-200000</v>
      </c>
      <c r="C4" s="18">
        <v>0</v>
      </c>
      <c r="D4" s="111">
        <f t="shared" si="0"/>
        <v>-200000</v>
      </c>
      <c r="E4" s="97" t="s">
        <v>750</v>
      </c>
      <c r="F4" s="94">
        <v>24</v>
      </c>
      <c r="G4" s="94">
        <f t="shared" si="1"/>
        <v>-4800000</v>
      </c>
      <c r="H4" s="94">
        <f t="shared" si="2"/>
        <v>0</v>
      </c>
      <c r="I4" s="94">
        <f t="shared" si="3"/>
        <v>-4800000</v>
      </c>
      <c r="J4" s="94"/>
      <c r="K4" s="94"/>
      <c r="L4" s="94"/>
      <c r="M4" s="94"/>
      <c r="N4" s="94"/>
      <c r="O4" s="94">
        <v>1</v>
      </c>
      <c r="P4" s="94">
        <v>30</v>
      </c>
      <c r="Q4" s="94">
        <v>31</v>
      </c>
      <c r="R4" s="94"/>
    </row>
    <row r="5" spans="1:18">
      <c r="A5" s="30" t="s">
        <v>1157</v>
      </c>
      <c r="B5" s="18">
        <v>-247840</v>
      </c>
      <c r="C5" s="18">
        <v>0</v>
      </c>
      <c r="D5" s="111">
        <f t="shared" si="0"/>
        <v>-247840</v>
      </c>
      <c r="E5" s="20" t="s">
        <v>1160</v>
      </c>
      <c r="F5" s="94">
        <v>24</v>
      </c>
      <c r="G5" s="94">
        <f t="shared" si="1"/>
        <v>-5948160</v>
      </c>
      <c r="H5" s="94">
        <f t="shared" si="2"/>
        <v>0</v>
      </c>
      <c r="I5" s="94">
        <f t="shared" si="3"/>
        <v>-5948160</v>
      </c>
      <c r="J5" s="94"/>
      <c r="K5" s="94"/>
      <c r="L5" s="94"/>
      <c r="M5" s="94"/>
      <c r="N5" s="94"/>
      <c r="O5" s="94">
        <v>2</v>
      </c>
      <c r="P5" s="94">
        <v>29</v>
      </c>
      <c r="Q5" s="94">
        <v>30</v>
      </c>
      <c r="R5" s="94"/>
    </row>
    <row r="6" spans="1:18">
      <c r="A6" s="17" t="s">
        <v>1163</v>
      </c>
      <c r="B6" s="18">
        <v>-162340</v>
      </c>
      <c r="C6" s="18">
        <v>0</v>
      </c>
      <c r="D6" s="111">
        <f t="shared" si="0"/>
        <v>-162340</v>
      </c>
      <c r="E6" s="19" t="s">
        <v>1166</v>
      </c>
      <c r="F6" s="94">
        <v>23</v>
      </c>
      <c r="G6" s="94">
        <f t="shared" si="1"/>
        <v>-3733820</v>
      </c>
      <c r="H6" s="94">
        <f t="shared" si="2"/>
        <v>0</v>
      </c>
      <c r="I6" s="94">
        <f t="shared" si="3"/>
        <v>-3733820</v>
      </c>
      <c r="J6" s="94"/>
      <c r="K6" s="94"/>
      <c r="L6" s="94"/>
      <c r="M6" s="94"/>
      <c r="N6" s="94"/>
      <c r="O6" s="94">
        <v>3</v>
      </c>
      <c r="P6" s="94">
        <v>28</v>
      </c>
      <c r="Q6" s="94">
        <v>29</v>
      </c>
      <c r="R6" s="94"/>
    </row>
    <row r="7" spans="1:18">
      <c r="A7" s="17" t="s">
        <v>1163</v>
      </c>
      <c r="B7" s="18">
        <v>-3000900</v>
      </c>
      <c r="C7" s="18">
        <v>0</v>
      </c>
      <c r="D7" s="111">
        <f t="shared" si="0"/>
        <v>-3000900</v>
      </c>
      <c r="E7" s="19" t="s">
        <v>1167</v>
      </c>
      <c r="F7" s="94">
        <v>23</v>
      </c>
      <c r="G7" s="94">
        <f t="shared" si="1"/>
        <v>-69020700</v>
      </c>
      <c r="H7" s="94">
        <f t="shared" si="2"/>
        <v>0</v>
      </c>
      <c r="I7" s="94">
        <f t="shared" si="3"/>
        <v>-69020700</v>
      </c>
      <c r="J7" s="94"/>
      <c r="K7" s="94"/>
      <c r="L7" s="94"/>
      <c r="M7" s="94"/>
      <c r="N7" s="94"/>
      <c r="O7" s="94">
        <v>4</v>
      </c>
      <c r="P7" s="94">
        <v>27</v>
      </c>
      <c r="Q7" s="94">
        <v>28</v>
      </c>
      <c r="R7" s="94"/>
    </row>
    <row r="8" spans="1:18">
      <c r="A8" s="17" t="s">
        <v>1179</v>
      </c>
      <c r="B8" s="18">
        <v>-1000500</v>
      </c>
      <c r="C8" s="18">
        <v>0</v>
      </c>
      <c r="D8" s="111">
        <f t="shared" si="0"/>
        <v>-1000500</v>
      </c>
      <c r="E8" s="19" t="s">
        <v>1181</v>
      </c>
      <c r="F8" s="94">
        <v>21</v>
      </c>
      <c r="G8" s="94">
        <f t="shared" si="1"/>
        <v>-21010500</v>
      </c>
      <c r="H8" s="94">
        <f t="shared" si="2"/>
        <v>0</v>
      </c>
      <c r="I8" s="94">
        <f t="shared" si="3"/>
        <v>-21010500</v>
      </c>
      <c r="J8" s="94"/>
      <c r="K8" s="94"/>
      <c r="L8" s="94"/>
      <c r="M8" s="94"/>
      <c r="N8" s="94"/>
      <c r="O8" s="94">
        <v>5</v>
      </c>
      <c r="P8" s="94">
        <v>26</v>
      </c>
      <c r="Q8" s="94">
        <v>27</v>
      </c>
      <c r="R8" s="94"/>
    </row>
    <row r="9" spans="1:18">
      <c r="A9" s="17" t="s">
        <v>1191</v>
      </c>
      <c r="B9" s="18">
        <v>-100000</v>
      </c>
      <c r="C9" s="18">
        <v>0</v>
      </c>
      <c r="D9" s="111">
        <f t="shared" si="0"/>
        <v>-100000</v>
      </c>
      <c r="E9" s="21" t="s">
        <v>1192</v>
      </c>
      <c r="F9" s="94">
        <v>17</v>
      </c>
      <c r="G9" s="94">
        <f t="shared" si="1"/>
        <v>-1700000</v>
      </c>
      <c r="H9" s="94">
        <f t="shared" si="2"/>
        <v>0</v>
      </c>
      <c r="I9" s="94">
        <f t="shared" si="3"/>
        <v>-1700000</v>
      </c>
      <c r="J9" s="94"/>
      <c r="K9" s="94"/>
      <c r="L9" s="94"/>
      <c r="M9" s="94"/>
      <c r="N9" s="94"/>
      <c r="O9" s="94">
        <v>6</v>
      </c>
      <c r="P9" s="94">
        <v>25</v>
      </c>
      <c r="Q9" s="94">
        <v>26</v>
      </c>
      <c r="R9" s="94"/>
    </row>
    <row r="10" spans="1:18">
      <c r="A10" s="17" t="s">
        <v>1195</v>
      </c>
      <c r="B10" s="18">
        <v>-2000000</v>
      </c>
      <c r="C10" s="18">
        <v>0</v>
      </c>
      <c r="D10" s="111">
        <f t="shared" si="0"/>
        <v>-2000000</v>
      </c>
      <c r="E10" s="19" t="s">
        <v>1091</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1195</v>
      </c>
      <c r="B11" s="18">
        <v>-1000500</v>
      </c>
      <c r="C11" s="18">
        <v>0</v>
      </c>
      <c r="D11" s="111">
        <f t="shared" si="0"/>
        <v>-1000500</v>
      </c>
      <c r="E11" s="19" t="s">
        <v>1202</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1205</v>
      </c>
      <c r="B12" s="18">
        <v>-5000</v>
      </c>
      <c r="C12" s="18">
        <v>0</v>
      </c>
      <c r="D12" s="111">
        <f t="shared" si="0"/>
        <v>-5000</v>
      </c>
      <c r="E12" s="20" t="s">
        <v>1192</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3648</v>
      </c>
      <c r="B13" s="18">
        <v>3000000</v>
      </c>
      <c r="C13" s="18">
        <v>0</v>
      </c>
      <c r="D13" s="111">
        <f t="shared" si="0"/>
        <v>3000000</v>
      </c>
      <c r="E13" s="20" t="s">
        <v>3651</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3652</v>
      </c>
      <c r="B14" s="18">
        <v>3000000</v>
      </c>
      <c r="C14" s="18">
        <v>0</v>
      </c>
      <c r="D14" s="111">
        <f t="shared" si="0"/>
        <v>3000000</v>
      </c>
      <c r="E14" s="20" t="s">
        <v>3651</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3654</v>
      </c>
      <c r="B15" s="39">
        <v>20314</v>
      </c>
      <c r="C15" s="39">
        <v>59842</v>
      </c>
      <c r="D15" s="35">
        <f t="shared" si="0"/>
        <v>-39528</v>
      </c>
      <c r="E15" s="23" t="s">
        <v>3657</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1132</v>
      </c>
      <c r="F31" s="94"/>
      <c r="G31" s="9" t="s">
        <v>1020</v>
      </c>
      <c r="H31" s="9" t="s">
        <v>38</v>
      </c>
      <c r="I31" s="9" t="s">
        <v>39</v>
      </c>
      <c r="J31" s="94"/>
      <c r="K31" s="94"/>
      <c r="L31" s="94"/>
      <c r="M31" s="94"/>
      <c r="N31" s="94"/>
      <c r="O31" s="94">
        <v>28</v>
      </c>
      <c r="P31" s="94">
        <v>3</v>
      </c>
      <c r="Q31" s="94">
        <v>4</v>
      </c>
      <c r="R31" s="94"/>
    </row>
    <row r="32" spans="1:18">
      <c r="A32" s="94"/>
      <c r="B32" s="112"/>
      <c r="C32" s="94"/>
      <c r="D32" s="42">
        <v>2400000</v>
      </c>
      <c r="E32" s="41" t="s">
        <v>1133</v>
      </c>
      <c r="F32" s="94"/>
      <c r="G32" s="94"/>
      <c r="H32" s="94"/>
      <c r="I32" s="94"/>
      <c r="J32" s="94"/>
      <c r="K32" s="94"/>
      <c r="L32" s="94"/>
      <c r="M32" s="94"/>
      <c r="N32" s="94"/>
      <c r="O32" s="94">
        <v>29</v>
      </c>
      <c r="P32" s="94">
        <v>2</v>
      </c>
      <c r="Q32" s="94">
        <v>3</v>
      </c>
      <c r="R32" s="94"/>
    </row>
    <row r="33" spans="1:20">
      <c r="A33" s="94"/>
      <c r="B33" s="94"/>
      <c r="C33" s="94"/>
      <c r="D33" s="42">
        <v>5559526</v>
      </c>
      <c r="E33" s="41" t="s">
        <v>1141</v>
      </c>
      <c r="F33" s="94"/>
      <c r="G33" s="94"/>
      <c r="H33" s="94"/>
      <c r="I33" s="94"/>
      <c r="J33" s="94"/>
      <c r="K33" s="94"/>
      <c r="L33" s="94"/>
      <c r="M33" s="94"/>
      <c r="N33" s="94"/>
      <c r="O33" s="94">
        <v>30</v>
      </c>
      <c r="P33" s="94">
        <v>1</v>
      </c>
      <c r="Q33" s="94">
        <v>2</v>
      </c>
      <c r="R33" s="94"/>
    </row>
    <row r="34" spans="1:20">
      <c r="A34" s="94"/>
      <c r="B34" s="94"/>
      <c r="C34" s="94"/>
      <c r="D34" s="42">
        <v>-3000000</v>
      </c>
      <c r="E34" s="41" t="s">
        <v>1151</v>
      </c>
      <c r="F34" s="94"/>
      <c r="G34" s="94"/>
      <c r="H34" s="94"/>
      <c r="I34" s="94"/>
      <c r="J34" s="94"/>
      <c r="K34" s="94"/>
      <c r="L34" s="94"/>
      <c r="M34" s="94"/>
      <c r="N34" s="94"/>
      <c r="O34" s="94">
        <v>31</v>
      </c>
      <c r="P34" s="94">
        <v>0</v>
      </c>
      <c r="Q34" s="94">
        <v>1</v>
      </c>
      <c r="R34" s="94"/>
    </row>
    <row r="35" spans="1:20">
      <c r="A35" s="94"/>
      <c r="B35" s="94"/>
      <c r="C35" s="94"/>
      <c r="D35" s="42">
        <v>-4975000</v>
      </c>
      <c r="E35" s="41" t="s">
        <v>1152</v>
      </c>
      <c r="F35" s="94"/>
      <c r="G35" s="94"/>
      <c r="H35" s="94"/>
      <c r="I35" s="94"/>
      <c r="J35" s="94"/>
      <c r="K35" s="94"/>
      <c r="L35" s="94"/>
      <c r="M35" s="94"/>
      <c r="N35" s="94"/>
      <c r="O35" s="94"/>
      <c r="P35" s="94" t="s">
        <v>60</v>
      </c>
      <c r="Q35" s="94" t="s">
        <v>61</v>
      </c>
      <c r="R35" s="94"/>
    </row>
    <row r="36" spans="1:20">
      <c r="A36" s="94"/>
      <c r="B36" s="94"/>
      <c r="C36" s="94"/>
      <c r="D36" s="42">
        <v>-241000</v>
      </c>
      <c r="E36" s="41" t="s">
        <v>1156</v>
      </c>
      <c r="F36" s="94"/>
      <c r="G36" s="94"/>
      <c r="H36" s="94"/>
      <c r="I36" s="94"/>
      <c r="J36" s="94"/>
      <c r="K36" s="94"/>
      <c r="L36" s="94"/>
      <c r="M36" s="94"/>
      <c r="N36" s="94"/>
      <c r="O36" s="94"/>
      <c r="P36" s="94"/>
      <c r="Q36" s="94"/>
      <c r="R36" s="94"/>
    </row>
    <row r="37" spans="1:20">
      <c r="A37" s="94"/>
      <c r="B37" s="94"/>
      <c r="C37" s="94"/>
      <c r="D37" s="112">
        <v>200000</v>
      </c>
      <c r="E37" s="41" t="s">
        <v>1158</v>
      </c>
      <c r="F37" s="94"/>
      <c r="G37" s="94"/>
      <c r="H37" s="94"/>
      <c r="I37" s="94"/>
      <c r="J37" s="94"/>
      <c r="K37" s="94"/>
      <c r="L37" s="94"/>
      <c r="M37" s="94"/>
      <c r="N37" s="94"/>
      <c r="O37" s="94"/>
      <c r="P37" s="94"/>
      <c r="Q37" s="94"/>
      <c r="R37" s="94"/>
    </row>
    <row r="38" spans="1:20">
      <c r="A38" s="94"/>
      <c r="B38" s="94"/>
      <c r="C38" s="94"/>
      <c r="D38" s="112">
        <v>247840</v>
      </c>
      <c r="E38" s="41" t="s">
        <v>1161</v>
      </c>
      <c r="F38" s="94"/>
      <c r="G38" s="94"/>
      <c r="H38" s="94"/>
      <c r="I38" s="94"/>
      <c r="J38" s="94"/>
      <c r="K38" s="94"/>
      <c r="L38" s="94"/>
      <c r="M38" s="94"/>
      <c r="N38" s="94"/>
      <c r="O38" s="94"/>
      <c r="P38" s="94"/>
      <c r="Q38" s="94"/>
      <c r="R38" s="94"/>
    </row>
    <row r="39" spans="1:20">
      <c r="A39" s="94"/>
      <c r="B39" s="94"/>
      <c r="C39" s="94"/>
      <c r="D39" s="112">
        <v>162340</v>
      </c>
      <c r="E39" s="41" t="s">
        <v>1168</v>
      </c>
      <c r="F39" s="94"/>
      <c r="G39" s="94"/>
      <c r="H39" s="94"/>
      <c r="I39" s="94"/>
      <c r="J39" s="94"/>
      <c r="K39" s="94"/>
      <c r="L39" s="94"/>
      <c r="M39" s="94"/>
      <c r="N39" s="94"/>
      <c r="O39" s="94"/>
      <c r="P39" s="94"/>
      <c r="Q39" s="94"/>
      <c r="R39" s="94"/>
    </row>
    <row r="40" spans="1:20">
      <c r="A40" s="94"/>
      <c r="B40" s="94"/>
      <c r="C40" s="94"/>
      <c r="D40" s="112">
        <v>-2500000</v>
      </c>
      <c r="E40" s="41" t="s">
        <v>1173</v>
      </c>
      <c r="F40" s="94"/>
      <c r="G40" s="94"/>
      <c r="H40" s="94"/>
      <c r="I40" s="94"/>
      <c r="J40" s="94"/>
      <c r="K40" s="94"/>
      <c r="L40" s="94"/>
      <c r="M40" s="94"/>
      <c r="N40" s="94"/>
      <c r="O40" s="94"/>
      <c r="P40" s="94"/>
      <c r="Q40" s="94"/>
      <c r="R40" s="94"/>
    </row>
    <row r="41" spans="1:20">
      <c r="A41" s="94"/>
      <c r="B41" s="94"/>
      <c r="C41" s="94"/>
      <c r="D41" s="112">
        <v>500000</v>
      </c>
      <c r="E41" s="41" t="s">
        <v>1176</v>
      </c>
      <c r="F41" s="94"/>
      <c r="G41" s="94"/>
      <c r="H41" s="94"/>
      <c r="I41" s="94"/>
      <c r="J41" s="94"/>
      <c r="K41" s="94"/>
      <c r="L41" s="94"/>
      <c r="M41" s="94"/>
      <c r="N41" s="94"/>
      <c r="O41" s="94"/>
      <c r="P41" s="94"/>
      <c r="Q41" s="94"/>
      <c r="R41" s="94"/>
    </row>
    <row r="42" spans="1:20">
      <c r="A42" s="94"/>
      <c r="B42" s="94"/>
      <c r="C42" s="94"/>
      <c r="D42" s="112">
        <v>-10000</v>
      </c>
      <c r="E42" s="41" t="s">
        <v>1177</v>
      </c>
      <c r="F42" s="94"/>
      <c r="G42" s="94"/>
      <c r="H42" s="94"/>
      <c r="I42" s="94"/>
      <c r="J42" s="94"/>
      <c r="K42" s="94"/>
      <c r="L42" s="94"/>
      <c r="M42" s="94"/>
      <c r="N42" s="94"/>
      <c r="O42" s="94"/>
      <c r="P42" s="94"/>
      <c r="Q42" s="94"/>
      <c r="R42" s="94"/>
    </row>
    <row r="43" spans="1:20">
      <c r="A43" s="94"/>
      <c r="B43" s="94"/>
      <c r="C43" s="94"/>
      <c r="D43" s="112">
        <v>-13000</v>
      </c>
      <c r="E43" s="41" t="s">
        <v>1178</v>
      </c>
      <c r="F43" s="94"/>
      <c r="G43" s="94"/>
      <c r="H43" s="94"/>
      <c r="I43" s="94"/>
      <c r="J43" s="94"/>
      <c r="K43" s="94"/>
      <c r="L43" s="94"/>
      <c r="M43" s="94"/>
      <c r="N43" s="94"/>
      <c r="O43" s="94"/>
      <c r="P43" s="94"/>
      <c r="Q43" s="94"/>
      <c r="R43" s="94"/>
    </row>
    <row r="44" spans="1:20">
      <c r="A44" s="94"/>
      <c r="B44" s="94"/>
      <c r="C44" s="94"/>
      <c r="D44" s="112">
        <v>1000000</v>
      </c>
      <c r="E44" s="41" t="s">
        <v>1182</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1183</v>
      </c>
      <c r="F45" s="112"/>
      <c r="G45" s="41"/>
      <c r="H45" s="94"/>
      <c r="I45" s="94"/>
      <c r="J45" s="94"/>
      <c r="K45" s="94"/>
      <c r="L45" s="94"/>
      <c r="M45" s="94"/>
      <c r="N45" s="94"/>
      <c r="O45" s="94"/>
      <c r="P45" s="94"/>
      <c r="Q45" s="94"/>
      <c r="R45" s="94"/>
      <c r="S45" s="94"/>
      <c r="T45" s="94"/>
    </row>
    <row r="46" spans="1:20">
      <c r="A46" s="94"/>
      <c r="B46" s="94"/>
      <c r="C46" s="94"/>
      <c r="D46" s="112">
        <v>1000000</v>
      </c>
      <c r="E46" s="41" t="s">
        <v>1183</v>
      </c>
      <c r="F46" s="112"/>
      <c r="G46" s="41"/>
      <c r="H46" s="94"/>
      <c r="I46" s="94"/>
      <c r="J46" s="94"/>
      <c r="K46" s="94"/>
      <c r="L46" s="94"/>
      <c r="M46" s="94"/>
      <c r="N46" s="94"/>
      <c r="O46" s="94"/>
      <c r="P46" s="94"/>
      <c r="Q46" s="94"/>
      <c r="R46" s="94"/>
      <c r="S46" s="94"/>
      <c r="T46" s="94"/>
    </row>
    <row r="47" spans="1:20">
      <c r="A47" s="94"/>
      <c r="B47" s="94"/>
      <c r="C47" s="94"/>
      <c r="D47" s="112">
        <v>560000</v>
      </c>
      <c r="E47" s="41" t="s">
        <v>1190</v>
      </c>
      <c r="F47" s="112"/>
      <c r="G47" s="41"/>
      <c r="H47" s="94"/>
      <c r="I47" s="94"/>
      <c r="J47" s="94"/>
      <c r="K47" s="94"/>
      <c r="L47" s="94"/>
      <c r="M47" s="94"/>
      <c r="N47" s="94"/>
      <c r="O47" s="94"/>
      <c r="P47" s="94"/>
      <c r="Q47" s="94"/>
      <c r="R47" s="94"/>
      <c r="S47" s="94"/>
      <c r="T47" s="94"/>
    </row>
    <row r="48" spans="1:20">
      <c r="A48" s="94"/>
      <c r="B48" s="94"/>
      <c r="C48" s="94"/>
      <c r="D48" s="112">
        <v>300000</v>
      </c>
      <c r="E48" s="41" t="s">
        <v>1193</v>
      </c>
      <c r="F48" s="94"/>
      <c r="G48" s="94"/>
      <c r="H48" s="94"/>
      <c r="I48" s="94"/>
      <c r="J48" s="94"/>
      <c r="K48" s="94"/>
      <c r="L48" s="94"/>
      <c r="M48" s="94"/>
      <c r="N48" s="94"/>
      <c r="O48" s="94"/>
      <c r="P48" s="94"/>
      <c r="Q48" s="94"/>
      <c r="R48" s="94"/>
    </row>
    <row r="49" spans="1:18">
      <c r="A49" s="94"/>
      <c r="B49" s="94"/>
      <c r="C49" s="94"/>
      <c r="D49" s="112">
        <v>2200000</v>
      </c>
      <c r="E49" s="41" t="s">
        <v>1200</v>
      </c>
      <c r="F49" s="94"/>
      <c r="G49" s="94"/>
      <c r="H49" s="94"/>
      <c r="I49" s="94"/>
      <c r="J49" s="94"/>
      <c r="K49" s="94"/>
      <c r="L49" s="94"/>
      <c r="M49" s="94"/>
      <c r="N49" s="94"/>
      <c r="O49" s="94"/>
      <c r="P49" s="94"/>
      <c r="Q49" s="94"/>
      <c r="R49" s="94"/>
    </row>
    <row r="50" spans="1:18">
      <c r="D50" s="112">
        <v>2000000</v>
      </c>
      <c r="E50" s="41" t="s">
        <v>1201</v>
      </c>
    </row>
    <row r="51" spans="1:18">
      <c r="D51" s="112">
        <v>1000000</v>
      </c>
      <c r="E51" s="41" t="s">
        <v>1203</v>
      </c>
    </row>
    <row r="52" spans="1:18">
      <c r="D52" s="112">
        <v>910500</v>
      </c>
      <c r="E52" s="41" t="s">
        <v>1210</v>
      </c>
    </row>
    <row r="53" spans="1:18">
      <c r="D53" s="112">
        <v>-300000</v>
      </c>
      <c r="E53" s="41" t="s">
        <v>1213</v>
      </c>
    </row>
    <row r="54" spans="1:18">
      <c r="D54" s="112">
        <v>-58500</v>
      </c>
      <c r="E54" s="41" t="s">
        <v>1214</v>
      </c>
    </row>
    <row r="55" spans="1:18">
      <c r="D55" s="112">
        <v>-1500000</v>
      </c>
      <c r="E55" s="41" t="s">
        <v>1217</v>
      </c>
    </row>
    <row r="56" spans="1:18">
      <c r="D56" s="112">
        <v>-61000</v>
      </c>
      <c r="E56" s="41" t="s">
        <v>1221</v>
      </c>
    </row>
    <row r="57" spans="1:18">
      <c r="D57" s="112">
        <v>1000000</v>
      </c>
      <c r="E57" s="41" t="s">
        <v>3640</v>
      </c>
    </row>
    <row r="58" spans="1:18">
      <c r="D58" s="112">
        <v>200000</v>
      </c>
      <c r="E58" s="41" t="s">
        <v>3650</v>
      </c>
    </row>
    <row r="59" spans="1:18">
      <c r="D59" s="112">
        <v>3000000</v>
      </c>
      <c r="E59" s="41" t="s">
        <v>3655</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5"/>
  <sheetViews>
    <sheetView workbookViewId="0">
      <selection activeCell="K15" sqref="K15"/>
    </sheetView>
  </sheetViews>
  <sheetFormatPr defaultRowHeight="15"/>
  <cols>
    <col min="1" max="1" width="19" bestFit="1" customWidth="1"/>
    <col min="2" max="2" width="15.42578125" bestFit="1" customWidth="1"/>
    <col min="3" max="3" width="24.7109375" bestFit="1" customWidth="1"/>
    <col min="4" max="4" width="15" bestFit="1" customWidth="1"/>
    <col min="5" max="5" width="16.5703125" customWidth="1"/>
    <col min="6" max="6" width="15.5703125" bestFit="1" customWidth="1"/>
    <col min="7" max="7" width="24.7109375" bestFit="1" customWidth="1"/>
    <col min="8" max="8" width="25.5703125" bestFit="1" customWidth="1"/>
    <col min="9" max="9" width="16.5703125" bestFit="1" customWidth="1"/>
    <col min="10" max="10" width="18.85546875" bestFit="1" customWidth="1"/>
    <col min="11" max="11" width="15.42578125" bestFit="1" customWidth="1"/>
    <col min="13" max="13" width="15.42578125" bestFit="1" customWidth="1"/>
  </cols>
  <sheetData>
    <row r="1" spans="1:13" ht="15.75">
      <c r="A1" s="176" t="s">
        <v>4821</v>
      </c>
      <c r="B1" s="176" t="s">
        <v>4822</v>
      </c>
      <c r="C1" s="367" t="s">
        <v>6706</v>
      </c>
      <c r="D1" s="176" t="s">
        <v>6705</v>
      </c>
      <c r="E1" s="176" t="s">
        <v>6974</v>
      </c>
      <c r="F1" s="176" t="s">
        <v>6982</v>
      </c>
      <c r="G1" s="367" t="s">
        <v>6707</v>
      </c>
      <c r="H1" s="176" t="s">
        <v>6708</v>
      </c>
      <c r="I1" s="176" t="s">
        <v>6228</v>
      </c>
      <c r="J1" s="176" t="s">
        <v>6718</v>
      </c>
      <c r="K1" s="176" t="s">
        <v>4245</v>
      </c>
      <c r="L1" s="176" t="s">
        <v>4905</v>
      </c>
      <c r="M1" s="356" t="s">
        <v>5788</v>
      </c>
    </row>
    <row r="2" spans="1:13" ht="15.75">
      <c r="A2" s="358" t="s">
        <v>6709</v>
      </c>
      <c r="B2" s="359">
        <v>980726326</v>
      </c>
      <c r="C2" s="359">
        <v>800</v>
      </c>
      <c r="D2" s="359">
        <f t="shared" ref="D2:D21" si="0">B2*C2/$M$2</f>
        <v>9.6267614822085896</v>
      </c>
      <c r="E2" s="359"/>
      <c r="F2" s="359"/>
      <c r="G2" s="366">
        <v>534</v>
      </c>
      <c r="H2" s="358">
        <f t="shared" ref="H2:H21" si="1">B2*G2/$M$2</f>
        <v>6.4258632893742336</v>
      </c>
      <c r="I2" s="358">
        <v>500</v>
      </c>
      <c r="J2" s="358">
        <f t="shared" ref="J2:J21" si="2">B2*I2/$M$2</f>
        <v>6.0167259263803681</v>
      </c>
      <c r="K2" s="358">
        <v>4383</v>
      </c>
      <c r="L2" s="358">
        <f t="shared" ref="L2:L21" si="3">B2*K2/$M$2</f>
        <v>52.742619470650304</v>
      </c>
      <c r="M2" s="359">
        <v>81500000000</v>
      </c>
    </row>
    <row r="3" spans="1:13" ht="15.75">
      <c r="A3" s="360" t="s">
        <v>4475</v>
      </c>
      <c r="B3" s="361">
        <v>478789262</v>
      </c>
      <c r="C3" s="361">
        <v>2655</v>
      </c>
      <c r="D3" s="359">
        <f t="shared" si="0"/>
        <v>15.597367982944785</v>
      </c>
      <c r="E3" s="359"/>
      <c r="F3" s="359"/>
      <c r="G3" s="364">
        <v>6439</v>
      </c>
      <c r="H3" s="358">
        <f t="shared" si="1"/>
        <v>37.827289055435585</v>
      </c>
      <c r="I3" s="360">
        <v>6400</v>
      </c>
      <c r="J3" s="358">
        <f t="shared" si="2"/>
        <v>37.598175175460121</v>
      </c>
      <c r="K3" s="360">
        <v>37780</v>
      </c>
      <c r="L3" s="358">
        <f t="shared" si="3"/>
        <v>221.94672783263803</v>
      </c>
      <c r="M3" s="357"/>
    </row>
    <row r="4" spans="1:13" ht="15.75">
      <c r="A4" s="358" t="s">
        <v>6717</v>
      </c>
      <c r="B4" s="359">
        <v>1226605805</v>
      </c>
      <c r="C4" s="359">
        <v>150</v>
      </c>
      <c r="D4" s="359">
        <f t="shared" si="0"/>
        <v>2.2575566963190186</v>
      </c>
      <c r="E4" s="359"/>
      <c r="F4" s="359"/>
      <c r="G4" s="366">
        <v>108</v>
      </c>
      <c r="H4" s="358">
        <f t="shared" si="1"/>
        <v>1.6254408213496931</v>
      </c>
      <c r="I4" s="358">
        <v>10.8</v>
      </c>
      <c r="J4" s="358">
        <f t="shared" si="2"/>
        <v>0.16254408213496932</v>
      </c>
      <c r="K4" s="358">
        <v>1242</v>
      </c>
      <c r="L4" s="358">
        <f t="shared" si="3"/>
        <v>18.692569445521471</v>
      </c>
      <c r="M4" s="357"/>
    </row>
    <row r="5" spans="1:13" ht="15.75">
      <c r="A5" s="360" t="s">
        <v>6716</v>
      </c>
      <c r="B5" s="361">
        <v>2939645030</v>
      </c>
      <c r="C5" s="361">
        <v>10</v>
      </c>
      <c r="D5" s="359">
        <f t="shared" si="0"/>
        <v>0.36069264171779142</v>
      </c>
      <c r="E5" s="359"/>
      <c r="F5" s="359"/>
      <c r="G5" s="364">
        <v>3.2</v>
      </c>
      <c r="H5" s="358">
        <f t="shared" si="1"/>
        <v>0.11542164534969325</v>
      </c>
      <c r="I5" s="360">
        <v>0</v>
      </c>
      <c r="J5" s="358">
        <f t="shared" si="2"/>
        <v>0</v>
      </c>
      <c r="K5" s="360">
        <v>473</v>
      </c>
      <c r="L5" s="358">
        <f t="shared" si="3"/>
        <v>17.060761953251532</v>
      </c>
      <c r="M5" s="357"/>
    </row>
    <row r="6" spans="1:13" ht="15.75">
      <c r="A6" s="358" t="s">
        <v>6719</v>
      </c>
      <c r="B6" s="359">
        <v>1270296458</v>
      </c>
      <c r="C6" s="359">
        <v>300</v>
      </c>
      <c r="D6" s="359">
        <f t="shared" si="0"/>
        <v>4.6759378822085891</v>
      </c>
      <c r="E6" s="359"/>
      <c r="F6" s="359"/>
      <c r="G6" s="366">
        <v>300</v>
      </c>
      <c r="H6" s="358">
        <f t="shared" si="1"/>
        <v>4.6759378822085891</v>
      </c>
      <c r="I6" s="358">
        <v>270</v>
      </c>
      <c r="J6" s="358">
        <f t="shared" si="2"/>
        <v>4.2083440939877299</v>
      </c>
      <c r="K6" s="358">
        <v>2402</v>
      </c>
      <c r="L6" s="358">
        <f t="shared" si="3"/>
        <v>37.438675976883438</v>
      </c>
      <c r="M6" s="357"/>
    </row>
    <row r="7" spans="1:13" ht="15.75">
      <c r="A7" s="360" t="s">
        <v>5795</v>
      </c>
      <c r="B7" s="361">
        <v>1336082292</v>
      </c>
      <c r="C7" s="361">
        <v>2500</v>
      </c>
      <c r="D7" s="359">
        <f t="shared" si="0"/>
        <v>40.984119386503068</v>
      </c>
      <c r="E7" s="359"/>
      <c r="F7" s="359"/>
      <c r="G7" s="364">
        <v>1450</v>
      </c>
      <c r="H7" s="358">
        <f t="shared" si="1"/>
        <v>23.77078924417178</v>
      </c>
      <c r="I7" s="360">
        <v>1150</v>
      </c>
      <c r="J7" s="358">
        <f t="shared" si="2"/>
        <v>18.85269491779141</v>
      </c>
      <c r="K7" s="360">
        <v>18424</v>
      </c>
      <c r="L7" s="358">
        <f t="shared" si="3"/>
        <v>302.03656623077302</v>
      </c>
      <c r="M7" s="357"/>
    </row>
    <row r="8" spans="1:13" ht="15.75">
      <c r="A8" s="358" t="s">
        <v>4371</v>
      </c>
      <c r="B8" s="359">
        <v>1344540394</v>
      </c>
      <c r="C8" s="359">
        <v>800</v>
      </c>
      <c r="D8" s="359">
        <f t="shared" si="0"/>
        <v>13.197942517791411</v>
      </c>
      <c r="E8" s="359"/>
      <c r="F8" s="359"/>
      <c r="G8" s="366">
        <v>450</v>
      </c>
      <c r="H8" s="358">
        <f t="shared" si="1"/>
        <v>7.4238426662576691</v>
      </c>
      <c r="I8" s="358">
        <v>350</v>
      </c>
      <c r="J8" s="358">
        <f t="shared" si="2"/>
        <v>5.7740998515337427</v>
      </c>
      <c r="K8" s="358">
        <v>4330</v>
      </c>
      <c r="L8" s="358">
        <f t="shared" si="3"/>
        <v>71.433863877546017</v>
      </c>
      <c r="M8" s="357"/>
    </row>
    <row r="9" spans="1:13" ht="15.75">
      <c r="A9" s="360" t="s">
        <v>6720</v>
      </c>
      <c r="B9" s="361">
        <v>1200002514</v>
      </c>
      <c r="C9" s="361">
        <v>300</v>
      </c>
      <c r="D9" s="359">
        <f t="shared" si="0"/>
        <v>4.4171871680981596</v>
      </c>
      <c r="E9" s="359"/>
      <c r="F9" s="359"/>
      <c r="G9" s="364">
        <v>300</v>
      </c>
      <c r="H9" s="358">
        <f t="shared" si="1"/>
        <v>4.4171871680981596</v>
      </c>
      <c r="I9" s="360">
        <v>250</v>
      </c>
      <c r="J9" s="358">
        <f t="shared" si="2"/>
        <v>3.6809893067484665</v>
      </c>
      <c r="K9" s="360">
        <v>1897</v>
      </c>
      <c r="L9" s="358">
        <f t="shared" si="3"/>
        <v>27.931346859607363</v>
      </c>
      <c r="M9" s="357"/>
    </row>
    <row r="10" spans="1:13" ht="15.75">
      <c r="A10" s="358" t="s">
        <v>4476</v>
      </c>
      <c r="B10" s="359">
        <v>1114663695</v>
      </c>
      <c r="C10" s="359">
        <v>600</v>
      </c>
      <c r="D10" s="359">
        <f t="shared" si="0"/>
        <v>8.2061130920245393</v>
      </c>
      <c r="E10" s="359"/>
      <c r="F10" s="359"/>
      <c r="G10" s="366">
        <v>650</v>
      </c>
      <c r="H10" s="358">
        <f t="shared" si="1"/>
        <v>8.8899558496932514</v>
      </c>
      <c r="I10" s="358">
        <v>600</v>
      </c>
      <c r="J10" s="358">
        <f t="shared" si="2"/>
        <v>8.2061130920245393</v>
      </c>
      <c r="K10" s="358">
        <v>5020</v>
      </c>
      <c r="L10" s="358">
        <f t="shared" si="3"/>
        <v>68.657812869938653</v>
      </c>
      <c r="M10" s="357"/>
    </row>
    <row r="11" spans="1:13" ht="15.75">
      <c r="A11" s="360" t="s">
        <v>5759</v>
      </c>
      <c r="B11" s="361">
        <v>2321974047</v>
      </c>
      <c r="C11" s="361">
        <v>900</v>
      </c>
      <c r="D11" s="359">
        <f t="shared" si="0"/>
        <v>25.641431193865031</v>
      </c>
      <c r="E11" s="359"/>
      <c r="F11" s="359"/>
      <c r="G11" s="364">
        <v>727</v>
      </c>
      <c r="H11" s="358">
        <f t="shared" si="1"/>
        <v>20.712578308822085</v>
      </c>
      <c r="I11" s="360">
        <v>650</v>
      </c>
      <c r="J11" s="358">
        <f t="shared" si="2"/>
        <v>18.518811417791412</v>
      </c>
      <c r="K11" s="360">
        <v>4707</v>
      </c>
      <c r="L11" s="358">
        <f t="shared" si="3"/>
        <v>134.10468514391411</v>
      </c>
      <c r="M11" s="357"/>
    </row>
    <row r="12" spans="1:13" ht="15.75">
      <c r="A12" s="358" t="s">
        <v>4829</v>
      </c>
      <c r="B12" s="359">
        <v>770933241</v>
      </c>
      <c r="C12" s="359">
        <v>1700</v>
      </c>
      <c r="D12" s="359">
        <f t="shared" si="0"/>
        <v>16.080816069938649</v>
      </c>
      <c r="E12" s="359"/>
      <c r="F12" s="359"/>
      <c r="G12" s="366">
        <v>802</v>
      </c>
      <c r="H12" s="358">
        <f t="shared" si="1"/>
        <v>7.586361463582822</v>
      </c>
      <c r="I12" s="358">
        <v>590</v>
      </c>
      <c r="J12" s="358">
        <f t="shared" si="2"/>
        <v>5.5809891066257666</v>
      </c>
      <c r="K12" s="358">
        <v>8104</v>
      </c>
      <c r="L12" s="358">
        <f t="shared" si="3"/>
        <v>76.658196135754608</v>
      </c>
      <c r="M12" s="357"/>
    </row>
    <row r="13" spans="1:13" ht="21">
      <c r="A13" s="360" t="s">
        <v>5791</v>
      </c>
      <c r="B13" s="361">
        <v>21836381454</v>
      </c>
      <c r="C13" s="361">
        <v>150</v>
      </c>
      <c r="D13" s="359">
        <f t="shared" si="0"/>
        <v>40.189659117791408</v>
      </c>
      <c r="E13" s="359"/>
      <c r="F13" s="359"/>
      <c r="G13" s="364">
        <v>134</v>
      </c>
      <c r="H13" s="358">
        <f t="shared" si="1"/>
        <v>35.902762145226994</v>
      </c>
      <c r="I13" s="365">
        <v>60</v>
      </c>
      <c r="J13" s="368">
        <f t="shared" si="2"/>
        <v>16.075863647116563</v>
      </c>
      <c r="K13" s="360">
        <v>1210</v>
      </c>
      <c r="L13" s="358">
        <f t="shared" si="3"/>
        <v>324.19658355018407</v>
      </c>
      <c r="M13" s="357"/>
    </row>
    <row r="14" spans="1:13" ht="15.75">
      <c r="A14" s="358" t="s">
        <v>6710</v>
      </c>
      <c r="B14" s="359">
        <v>880634647</v>
      </c>
      <c r="C14" s="359">
        <f>'سهام بنیادی'!D9</f>
        <v>1400</v>
      </c>
      <c r="D14" s="359">
        <f t="shared" si="0"/>
        <v>15.127466328834355</v>
      </c>
      <c r="E14" s="359">
        <f>'سهام بنیادی'!E9</f>
        <v>1360</v>
      </c>
      <c r="F14" s="359">
        <f>B14*E14/$M$2</f>
        <v>14.695253005153374</v>
      </c>
      <c r="G14" s="366">
        <f>'سهام بنیادی'!B9</f>
        <v>1019</v>
      </c>
      <c r="H14" s="358">
        <f t="shared" si="1"/>
        <v>11.010634420773005</v>
      </c>
      <c r="I14" s="358">
        <f>'سهام بنیادی'!C9</f>
        <v>1000</v>
      </c>
      <c r="J14" s="358">
        <f t="shared" si="2"/>
        <v>10.80533309202454</v>
      </c>
      <c r="K14" s="358">
        <f>'سهام بنیادی'!F9</f>
        <v>8400</v>
      </c>
      <c r="L14" s="358">
        <f t="shared" si="3"/>
        <v>90.764797973006139</v>
      </c>
      <c r="M14" s="357"/>
    </row>
    <row r="15" spans="1:13" ht="15.75">
      <c r="A15" s="360" t="s">
        <v>5268</v>
      </c>
      <c r="B15" s="361">
        <v>5351332707</v>
      </c>
      <c r="C15" s="361">
        <v>160</v>
      </c>
      <c r="D15" s="359">
        <f t="shared" si="0"/>
        <v>10.50568384196319</v>
      </c>
      <c r="E15" s="359"/>
      <c r="F15" s="359"/>
      <c r="G15" s="364">
        <v>160</v>
      </c>
      <c r="H15" s="358">
        <f t="shared" si="1"/>
        <v>10.50568384196319</v>
      </c>
      <c r="I15" s="360">
        <v>150</v>
      </c>
      <c r="J15" s="358">
        <f t="shared" si="2"/>
        <v>9.8490786018404908</v>
      </c>
      <c r="K15" s="360">
        <v>941</v>
      </c>
      <c r="L15" s="358">
        <f t="shared" si="3"/>
        <v>61.786553095546012</v>
      </c>
      <c r="M15" s="357" t="s">
        <v>25</v>
      </c>
    </row>
    <row r="16" spans="1:13" ht="15.75">
      <c r="A16" s="358" t="s">
        <v>6711</v>
      </c>
      <c r="B16" s="359">
        <v>1376998000</v>
      </c>
      <c r="C16" s="359">
        <v>1800</v>
      </c>
      <c r="D16" s="359">
        <f t="shared" si="0"/>
        <v>30.412225766871167</v>
      </c>
      <c r="E16" s="359"/>
      <c r="F16" s="359"/>
      <c r="G16" s="366">
        <v>1370</v>
      </c>
      <c r="H16" s="358">
        <f t="shared" si="1"/>
        <v>23.147082944785275</v>
      </c>
      <c r="I16" s="358">
        <v>1420</v>
      </c>
      <c r="J16" s="358">
        <f t="shared" si="2"/>
        <v>23.991866993865031</v>
      </c>
      <c r="K16" s="358">
        <v>9875</v>
      </c>
      <c r="L16" s="358">
        <f t="shared" si="3"/>
        <v>166.84484969325155</v>
      </c>
      <c r="M16" s="357" t="s">
        <v>25</v>
      </c>
    </row>
    <row r="17" spans="1:13" ht="15.75">
      <c r="A17" s="360" t="s">
        <v>6712</v>
      </c>
      <c r="B17" s="361">
        <v>174270956</v>
      </c>
      <c r="C17" s="361">
        <v>800</v>
      </c>
      <c r="D17" s="359">
        <f t="shared" si="0"/>
        <v>1.7106351509202453</v>
      </c>
      <c r="E17" s="359"/>
      <c r="F17" s="359"/>
      <c r="G17" s="364">
        <v>800</v>
      </c>
      <c r="H17" s="358">
        <f t="shared" si="1"/>
        <v>1.7106351509202453</v>
      </c>
      <c r="I17" s="360">
        <v>600</v>
      </c>
      <c r="J17" s="358">
        <f t="shared" si="2"/>
        <v>1.282976363190184</v>
      </c>
      <c r="K17" s="360">
        <v>6319</v>
      </c>
      <c r="L17" s="358">
        <f t="shared" si="3"/>
        <v>13.511879398331288</v>
      </c>
      <c r="M17" s="357"/>
    </row>
    <row r="18" spans="1:13" ht="15.75">
      <c r="A18" s="358" t="s">
        <v>6713</v>
      </c>
      <c r="B18" s="359">
        <v>1</v>
      </c>
      <c r="C18" s="359">
        <v>350000000000</v>
      </c>
      <c r="D18" s="359">
        <f t="shared" si="0"/>
        <v>4.294478527607362</v>
      </c>
      <c r="E18" s="359"/>
      <c r="F18" s="359"/>
      <c r="G18" s="366">
        <v>300000000000</v>
      </c>
      <c r="H18" s="358">
        <f t="shared" si="1"/>
        <v>3.6809815950920246</v>
      </c>
      <c r="I18" s="358">
        <v>250000000000</v>
      </c>
      <c r="J18" s="358">
        <f t="shared" si="2"/>
        <v>3.0674846625766872</v>
      </c>
      <c r="K18" s="358">
        <v>1800000000000</v>
      </c>
      <c r="L18" s="358">
        <f t="shared" si="3"/>
        <v>22.085889570552148</v>
      </c>
      <c r="M18" s="357"/>
    </row>
    <row r="19" spans="1:13" ht="15.75">
      <c r="A19" s="360" t="s">
        <v>6714</v>
      </c>
      <c r="B19" s="361">
        <v>12494998000</v>
      </c>
      <c r="C19" s="361">
        <v>800</v>
      </c>
      <c r="D19" s="359">
        <f t="shared" si="0"/>
        <v>122.65028711656441</v>
      </c>
      <c r="E19" s="359"/>
      <c r="F19" s="359"/>
      <c r="G19" s="364">
        <v>595</v>
      </c>
      <c r="H19" s="358">
        <f t="shared" si="1"/>
        <v>91.221151042944783</v>
      </c>
      <c r="I19" s="360">
        <v>59.5</v>
      </c>
      <c r="J19" s="358">
        <f t="shared" si="2"/>
        <v>9.1221151042944779</v>
      </c>
      <c r="K19" s="360">
        <v>3000</v>
      </c>
      <c r="L19" s="358">
        <f t="shared" si="3"/>
        <v>459.93857668711655</v>
      </c>
      <c r="M19" s="357"/>
    </row>
    <row r="20" spans="1:13" ht="15.75">
      <c r="A20" s="358" t="s">
        <v>6715</v>
      </c>
      <c r="B20" s="359">
        <v>3062221439</v>
      </c>
      <c r="C20" s="359">
        <v>30</v>
      </c>
      <c r="D20" s="359">
        <f t="shared" si="0"/>
        <v>1.1271980757055216</v>
      </c>
      <c r="E20" s="359"/>
      <c r="F20" s="359"/>
      <c r="G20" s="366">
        <v>20</v>
      </c>
      <c r="H20" s="358">
        <f t="shared" si="1"/>
        <v>0.751465383803681</v>
      </c>
      <c r="I20" s="358">
        <v>2</v>
      </c>
      <c r="J20" s="358">
        <f t="shared" si="2"/>
        <v>7.5146538380368097E-2</v>
      </c>
      <c r="K20" s="358">
        <v>2000</v>
      </c>
      <c r="L20" s="358">
        <f t="shared" si="3"/>
        <v>75.146538380368099</v>
      </c>
    </row>
    <row r="21" spans="1:13" ht="15.75">
      <c r="A21" s="360" t="s">
        <v>6261</v>
      </c>
      <c r="B21" s="361">
        <v>1</v>
      </c>
      <c r="C21" s="361">
        <v>750000000000</v>
      </c>
      <c r="D21" s="359">
        <f t="shared" si="0"/>
        <v>9.2024539877300615</v>
      </c>
      <c r="E21" s="359"/>
      <c r="F21" s="359"/>
      <c r="G21" s="361">
        <v>500000000000</v>
      </c>
      <c r="H21" s="358">
        <f t="shared" si="1"/>
        <v>6.1349693251533743</v>
      </c>
      <c r="I21" s="361">
        <v>300000000000</v>
      </c>
      <c r="J21" s="358">
        <f t="shared" si="2"/>
        <v>3.6809815950920246</v>
      </c>
      <c r="K21" s="360">
        <v>4000000000000</v>
      </c>
      <c r="L21" s="358">
        <f t="shared" si="3"/>
        <v>49.079754601226995</v>
      </c>
    </row>
    <row r="22" spans="1:13" ht="15.75">
      <c r="A22" s="362"/>
      <c r="B22" s="355"/>
      <c r="C22" s="355"/>
      <c r="D22" s="355"/>
      <c r="E22" s="355"/>
      <c r="F22" s="355"/>
      <c r="G22" s="362"/>
      <c r="H22" s="362"/>
      <c r="I22" s="362"/>
      <c r="J22" s="362"/>
      <c r="K22" s="362"/>
      <c r="L22" s="362"/>
    </row>
    <row r="23" spans="1:13" ht="21">
      <c r="A23" s="362"/>
      <c r="B23" s="362"/>
      <c r="C23" s="362"/>
      <c r="D23" s="355">
        <f>SUM(D2:D22)</f>
        <v>376.2660140276073</v>
      </c>
      <c r="E23" s="355"/>
      <c r="F23" s="355">
        <f>SUM(F2:F21)</f>
        <v>14.695253005153374</v>
      </c>
      <c r="G23" s="362"/>
      <c r="H23" s="362">
        <f>SUM(H3:H22)</f>
        <v>301.11016995563187</v>
      </c>
      <c r="I23" s="362"/>
      <c r="J23" s="362">
        <f>SUM(J2:J22)</f>
        <v>186.55033356885892</v>
      </c>
      <c r="K23" s="363" t="s">
        <v>4432</v>
      </c>
      <c r="L23" s="363">
        <f>SUM(L2:L21)</f>
        <v>2292.0592487460613</v>
      </c>
    </row>
    <row r="24" spans="1:13" ht="21">
      <c r="A24" s="362"/>
      <c r="B24" s="362"/>
      <c r="C24" s="362"/>
      <c r="D24" s="362" t="s">
        <v>6</v>
      </c>
      <c r="E24" s="362"/>
      <c r="F24" s="362" t="s">
        <v>6</v>
      </c>
      <c r="G24" s="362"/>
      <c r="H24" s="362" t="s">
        <v>6</v>
      </c>
      <c r="I24" s="362"/>
      <c r="J24" s="362" t="s">
        <v>6</v>
      </c>
      <c r="K24" s="363" t="s">
        <v>5007</v>
      </c>
      <c r="L24" s="363">
        <v>1400</v>
      </c>
    </row>
    <row r="25" spans="1:13" ht="21">
      <c r="A25" s="362"/>
      <c r="B25" s="362"/>
      <c r="C25" s="362"/>
      <c r="D25" s="362"/>
      <c r="E25" s="362"/>
      <c r="F25" s="362"/>
      <c r="G25" s="362"/>
      <c r="H25" s="362"/>
      <c r="I25" s="362"/>
      <c r="J25" s="362"/>
      <c r="K25" s="363" t="s">
        <v>5008</v>
      </c>
      <c r="L25" s="363">
        <f>L24/L23</f>
        <v>0.61080445488741675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3654</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3677</v>
      </c>
      <c r="B3" s="18">
        <v>-3000900</v>
      </c>
      <c r="C3" s="18">
        <v>0</v>
      </c>
      <c r="D3" s="115">
        <f t="shared" ref="D3:D22" si="0">B3-C3</f>
        <v>-3000900</v>
      </c>
      <c r="E3" s="20" t="s">
        <v>3678</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3754</v>
      </c>
      <c r="B4" s="18">
        <v>-3000900</v>
      </c>
      <c r="C4" s="18">
        <v>0</v>
      </c>
      <c r="D4" s="111">
        <f t="shared" si="0"/>
        <v>-3000900</v>
      </c>
      <c r="E4" s="97" t="s">
        <v>3756</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3774</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1183</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3680</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3681</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3685</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3686</v>
      </c>
      <c r="F36" s="94"/>
      <c r="G36" s="94"/>
      <c r="H36" s="94"/>
      <c r="I36" s="94"/>
      <c r="J36" s="94"/>
      <c r="K36" s="94"/>
      <c r="L36" s="94"/>
      <c r="M36" s="94"/>
      <c r="N36" s="94"/>
      <c r="O36" s="94"/>
      <c r="P36" s="94"/>
      <c r="Q36" s="94"/>
      <c r="R36" s="94"/>
      <c r="S36" s="94"/>
      <c r="T36" s="94"/>
      <c r="U36" s="94"/>
    </row>
    <row r="37" spans="1:21">
      <c r="A37" s="94"/>
      <c r="B37" s="94"/>
      <c r="C37" s="94"/>
      <c r="D37" s="112">
        <v>-180000</v>
      </c>
      <c r="E37" s="41" t="s">
        <v>3693</v>
      </c>
      <c r="F37" s="94"/>
      <c r="G37" s="94"/>
      <c r="H37" s="94"/>
      <c r="I37" s="94"/>
      <c r="J37" s="94"/>
      <c r="K37" s="94"/>
      <c r="L37" s="94"/>
      <c r="M37" s="94"/>
      <c r="N37" s="94"/>
      <c r="O37" s="94"/>
      <c r="P37" s="94"/>
      <c r="Q37" s="94"/>
      <c r="R37" s="94"/>
      <c r="S37" s="94"/>
      <c r="T37" s="94"/>
      <c r="U37" s="94"/>
    </row>
    <row r="38" spans="1:21">
      <c r="A38" s="94"/>
      <c r="B38" s="94"/>
      <c r="C38" s="94"/>
      <c r="D38" s="112">
        <v>-20017400</v>
      </c>
      <c r="E38" s="41" t="s">
        <v>3689</v>
      </c>
      <c r="F38" s="94"/>
      <c r="G38" s="94"/>
      <c r="H38" s="94"/>
      <c r="I38" s="94"/>
      <c r="J38" s="94"/>
      <c r="K38" s="94"/>
      <c r="L38" s="94"/>
      <c r="M38" s="94"/>
      <c r="N38" s="94"/>
      <c r="O38" s="94"/>
      <c r="P38" s="94"/>
      <c r="Q38" s="94"/>
      <c r="R38" s="94"/>
      <c r="S38" s="94"/>
      <c r="T38" s="94"/>
      <c r="U38" s="94"/>
    </row>
    <row r="39" spans="1:21">
      <c r="A39" s="94"/>
      <c r="B39" s="94"/>
      <c r="C39" s="94"/>
      <c r="D39" s="112">
        <v>-1000000</v>
      </c>
      <c r="E39" s="41" t="s">
        <v>3689</v>
      </c>
      <c r="F39" s="94"/>
      <c r="G39" s="94"/>
      <c r="H39" s="94"/>
      <c r="I39" s="94"/>
      <c r="J39" s="94"/>
      <c r="K39" s="94"/>
      <c r="L39" s="94"/>
      <c r="M39" s="94"/>
      <c r="N39" s="94"/>
      <c r="O39" s="94"/>
      <c r="P39" s="94"/>
      <c r="Q39" s="94"/>
      <c r="R39" s="94"/>
      <c r="S39" s="94"/>
      <c r="T39" s="94"/>
      <c r="U39" s="94"/>
    </row>
    <row r="40" spans="1:21">
      <c r="A40" s="94"/>
      <c r="B40" s="94"/>
      <c r="C40" s="94"/>
      <c r="D40" s="112">
        <v>-14466</v>
      </c>
      <c r="E40" s="41" t="s">
        <v>3692</v>
      </c>
      <c r="F40" s="94"/>
      <c r="G40" s="94"/>
      <c r="H40" s="94"/>
      <c r="I40" s="94"/>
      <c r="J40" s="94"/>
      <c r="K40" s="94"/>
      <c r="L40" s="94"/>
      <c r="M40" s="94"/>
      <c r="N40" s="94"/>
      <c r="O40" s="94"/>
      <c r="P40" s="94"/>
      <c r="Q40" s="94"/>
      <c r="R40" s="94"/>
      <c r="S40" s="94"/>
      <c r="T40" s="94"/>
      <c r="U40" s="94"/>
    </row>
    <row r="41" spans="1:21">
      <c r="A41" s="94"/>
      <c r="B41" s="94"/>
      <c r="C41" s="94"/>
      <c r="D41" s="112">
        <v>-5900000</v>
      </c>
      <c r="E41" s="41" t="s">
        <v>3695</v>
      </c>
      <c r="F41" s="94"/>
      <c r="G41" s="94"/>
      <c r="H41" s="94"/>
      <c r="I41" s="94"/>
      <c r="J41" s="94"/>
      <c r="K41" s="94"/>
      <c r="L41" s="94"/>
      <c r="M41" s="94"/>
      <c r="N41" s="94"/>
      <c r="O41" s="94"/>
      <c r="P41" s="94"/>
      <c r="Q41" s="94"/>
      <c r="R41" s="94"/>
      <c r="S41" s="94"/>
      <c r="T41" s="94"/>
      <c r="U41" s="94"/>
    </row>
    <row r="42" spans="1:21">
      <c r="A42" s="94"/>
      <c r="B42" s="94"/>
      <c r="C42" s="94"/>
      <c r="D42" s="112">
        <v>-360000</v>
      </c>
      <c r="E42" s="41" t="s">
        <v>3742</v>
      </c>
      <c r="F42" s="94"/>
      <c r="G42" s="94"/>
      <c r="H42" s="94"/>
      <c r="I42" s="94"/>
      <c r="J42" s="94"/>
      <c r="K42" s="94"/>
      <c r="L42" s="94"/>
      <c r="M42" s="94"/>
      <c r="N42" s="94"/>
      <c r="O42" s="94"/>
      <c r="P42" s="94"/>
      <c r="Q42" s="94"/>
      <c r="R42" s="94"/>
      <c r="S42" s="94"/>
      <c r="T42" s="94"/>
      <c r="U42" s="94"/>
    </row>
    <row r="43" spans="1:21">
      <c r="A43" s="94"/>
      <c r="B43" s="94"/>
      <c r="C43" s="94"/>
      <c r="D43" s="112">
        <v>339000</v>
      </c>
      <c r="E43" s="41" t="s">
        <v>3744</v>
      </c>
      <c r="F43" s="94"/>
      <c r="G43" s="94"/>
      <c r="H43" s="94"/>
      <c r="I43" s="94"/>
      <c r="J43" s="94"/>
      <c r="K43" s="94"/>
      <c r="L43" s="94"/>
      <c r="M43" s="94"/>
      <c r="N43" s="94"/>
      <c r="O43" s="94"/>
      <c r="P43" s="94"/>
      <c r="Q43" s="94"/>
      <c r="R43" s="94"/>
      <c r="S43" s="94"/>
      <c r="T43" s="94"/>
      <c r="U43" s="94"/>
    </row>
    <row r="44" spans="1:21">
      <c r="A44" s="94"/>
      <c r="B44" s="94"/>
      <c r="C44" s="94"/>
      <c r="D44" s="112">
        <v>-19400</v>
      </c>
      <c r="E44" s="41" t="s">
        <v>3745</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3753</v>
      </c>
      <c r="F45" s="112"/>
      <c r="G45" s="41"/>
      <c r="H45" s="94"/>
      <c r="I45" s="94"/>
      <c r="J45" s="94"/>
      <c r="K45" s="94"/>
      <c r="L45" s="94"/>
      <c r="M45" s="94"/>
      <c r="N45" s="94"/>
      <c r="O45" s="94"/>
      <c r="P45" s="94"/>
      <c r="Q45" s="94"/>
      <c r="R45" s="94"/>
      <c r="S45" s="94"/>
      <c r="T45" s="94"/>
      <c r="U45" s="94"/>
    </row>
    <row r="46" spans="1:21">
      <c r="A46" s="94"/>
      <c r="B46" s="94"/>
      <c r="C46" s="94"/>
      <c r="D46" s="112">
        <v>5000</v>
      </c>
      <c r="E46" s="41" t="s">
        <v>3761</v>
      </c>
      <c r="F46" s="112"/>
      <c r="G46" s="41"/>
      <c r="H46" s="94"/>
      <c r="I46" s="94"/>
      <c r="J46" s="94"/>
      <c r="K46" s="94"/>
      <c r="L46" s="94"/>
      <c r="M46" s="94"/>
      <c r="N46" s="94"/>
      <c r="O46" s="94"/>
      <c r="P46" s="94"/>
      <c r="Q46" s="94"/>
      <c r="R46" s="94"/>
      <c r="S46" s="94"/>
      <c r="T46" s="94"/>
      <c r="U46" s="94"/>
    </row>
    <row r="47" spans="1:21">
      <c r="A47" s="94"/>
      <c r="B47" s="94"/>
      <c r="C47" s="94"/>
      <c r="D47" s="112">
        <v>-336000</v>
      </c>
      <c r="E47" s="41" t="s">
        <v>3773</v>
      </c>
      <c r="F47" s="112"/>
      <c r="G47" s="41"/>
      <c r="H47" s="94"/>
      <c r="I47" s="94"/>
      <c r="J47" s="94"/>
      <c r="K47" s="94"/>
      <c r="L47" s="94"/>
      <c r="M47" s="94"/>
      <c r="N47" s="94"/>
      <c r="O47" s="94"/>
      <c r="P47" s="94"/>
      <c r="Q47" s="94"/>
      <c r="R47" s="94"/>
      <c r="S47" s="94"/>
      <c r="T47" s="94"/>
      <c r="U47" s="94"/>
    </row>
    <row r="48" spans="1:21">
      <c r="A48" s="94"/>
      <c r="B48" s="94"/>
      <c r="C48" s="94"/>
      <c r="D48" s="112">
        <v>-80000</v>
      </c>
      <c r="E48" s="41" t="s">
        <v>3772</v>
      </c>
      <c r="F48" s="94"/>
      <c r="G48" s="94"/>
      <c r="H48" s="94"/>
      <c r="I48" s="94"/>
      <c r="J48" s="94"/>
      <c r="K48" s="94"/>
      <c r="L48" s="94"/>
      <c r="M48" s="94"/>
      <c r="N48" s="94"/>
      <c r="O48" s="94"/>
      <c r="P48" s="94"/>
      <c r="Q48" s="94"/>
      <c r="R48" s="94"/>
      <c r="S48" s="94"/>
      <c r="T48" s="94"/>
      <c r="U48" s="94"/>
    </row>
    <row r="49" spans="1:21">
      <c r="A49" s="94"/>
      <c r="B49" s="94"/>
      <c r="C49" s="94"/>
      <c r="D49" s="112">
        <v>-1187603</v>
      </c>
      <c r="E49" s="41" t="s">
        <v>3778</v>
      </c>
      <c r="F49" s="94"/>
      <c r="G49" s="94"/>
      <c r="H49" s="94"/>
      <c r="I49" s="94"/>
      <c r="J49" s="94"/>
      <c r="K49" s="94"/>
      <c r="L49" s="94"/>
      <c r="M49" s="94"/>
      <c r="N49" s="94"/>
      <c r="O49" s="94"/>
      <c r="P49" s="94"/>
      <c r="Q49" s="94"/>
      <c r="R49" s="94"/>
      <c r="S49" s="94"/>
      <c r="T49" s="94"/>
      <c r="U49" s="94"/>
    </row>
    <row r="50" spans="1:21">
      <c r="A50" s="94"/>
      <c r="B50" s="94"/>
      <c r="C50" s="94"/>
      <c r="D50" s="112">
        <v>313000</v>
      </c>
      <c r="E50" s="41" t="s">
        <v>3779</v>
      </c>
      <c r="F50" s="94"/>
      <c r="G50" s="94"/>
      <c r="H50" s="94"/>
      <c r="I50" s="94"/>
      <c r="J50" s="94"/>
      <c r="K50" s="94"/>
      <c r="L50" s="94"/>
      <c r="M50" s="94"/>
      <c r="N50" s="94"/>
      <c r="O50" s="94"/>
      <c r="P50" s="94"/>
      <c r="Q50" s="94"/>
      <c r="R50" s="94"/>
      <c r="S50" s="94"/>
      <c r="T50" s="94"/>
      <c r="U50" s="94"/>
    </row>
    <row r="51" spans="1:21">
      <c r="A51" s="94"/>
      <c r="B51" s="94"/>
      <c r="C51" s="94"/>
      <c r="D51" s="112">
        <v>53946</v>
      </c>
      <c r="E51" s="41" t="s">
        <v>3780</v>
      </c>
      <c r="F51" s="94"/>
      <c r="G51" s="94"/>
      <c r="H51" s="94"/>
      <c r="I51" s="94"/>
      <c r="J51" s="94"/>
      <c r="K51" s="94"/>
      <c r="L51" s="94"/>
      <c r="M51" s="94"/>
      <c r="N51" s="94"/>
      <c r="O51" s="94"/>
      <c r="P51" s="94"/>
      <c r="Q51" s="94"/>
      <c r="R51" s="94"/>
      <c r="S51" s="94"/>
      <c r="T51" s="94"/>
      <c r="U51" s="94"/>
    </row>
    <row r="52" spans="1:21">
      <c r="A52" s="94"/>
      <c r="B52" s="94"/>
      <c r="C52" s="94"/>
      <c r="D52" s="112">
        <v>-53946</v>
      </c>
      <c r="E52" s="41" t="s">
        <v>3781</v>
      </c>
      <c r="F52" s="94"/>
      <c r="G52" s="94"/>
      <c r="H52" s="94"/>
      <c r="I52" s="94"/>
      <c r="J52" s="94"/>
      <c r="K52" s="94"/>
      <c r="L52" s="94"/>
      <c r="M52" s="94"/>
      <c r="N52" s="94"/>
      <c r="O52" s="94"/>
      <c r="P52" s="94"/>
      <c r="Q52" s="94"/>
      <c r="R52" s="94"/>
      <c r="S52" s="94"/>
      <c r="T52" s="94"/>
      <c r="U52" s="94"/>
    </row>
    <row r="53" spans="1:21">
      <c r="A53" s="94"/>
      <c r="B53" s="94"/>
      <c r="C53" s="94"/>
      <c r="D53" s="112">
        <v>-1451738</v>
      </c>
      <c r="E53" s="41" t="s">
        <v>3782</v>
      </c>
      <c r="F53" s="94"/>
      <c r="G53" s="94"/>
      <c r="H53" s="94"/>
      <c r="I53" s="94"/>
      <c r="J53" s="94"/>
      <c r="K53" s="94"/>
      <c r="L53" s="94"/>
      <c r="M53" s="94"/>
      <c r="N53" s="94"/>
      <c r="O53" s="94"/>
      <c r="P53" s="94"/>
      <c r="Q53" s="94"/>
      <c r="R53" s="94"/>
      <c r="S53" s="94"/>
      <c r="T53" s="94"/>
      <c r="U53" s="94"/>
    </row>
    <row r="54" spans="1:21">
      <c r="A54" s="94"/>
      <c r="B54" s="94"/>
      <c r="C54" s="94"/>
      <c r="D54" s="112">
        <v>-380000</v>
      </c>
      <c r="E54" s="41" t="s">
        <v>3784</v>
      </c>
      <c r="F54" s="94"/>
      <c r="G54" s="94"/>
      <c r="H54" s="94"/>
      <c r="I54" s="94"/>
      <c r="J54" s="94"/>
      <c r="K54" s="94"/>
      <c r="L54" s="94"/>
      <c r="M54" s="94"/>
      <c r="N54" s="94"/>
      <c r="O54" s="94"/>
      <c r="P54" s="94"/>
      <c r="Q54" s="94"/>
      <c r="R54" s="94"/>
      <c r="S54" s="94"/>
      <c r="T54" s="94"/>
      <c r="U54" s="94"/>
    </row>
    <row r="55" spans="1:21">
      <c r="A55" s="94"/>
      <c r="B55" s="94"/>
      <c r="C55" s="94"/>
      <c r="D55" s="112">
        <v>-8300</v>
      </c>
      <c r="E55" s="41" t="s">
        <v>3785</v>
      </c>
      <c r="F55" s="94"/>
      <c r="G55" s="94"/>
      <c r="H55" s="94"/>
      <c r="I55" s="94"/>
      <c r="J55" s="94"/>
      <c r="K55" s="94"/>
      <c r="L55" s="94"/>
      <c r="M55" s="94"/>
      <c r="N55" s="94"/>
      <c r="O55" s="94"/>
      <c r="P55" s="94"/>
      <c r="Q55" s="94"/>
      <c r="R55" s="94"/>
      <c r="S55" s="94"/>
      <c r="T55" s="94"/>
      <c r="U55" s="94"/>
    </row>
    <row r="56" spans="1:21">
      <c r="A56" s="94"/>
      <c r="B56" s="94"/>
      <c r="C56" s="94"/>
      <c r="D56" s="112">
        <v>526350</v>
      </c>
      <c r="E56" s="41" t="s">
        <v>3789</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3774</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3908</v>
      </c>
      <c r="B3" s="18">
        <v>5000000</v>
      </c>
      <c r="C3" s="18">
        <v>0</v>
      </c>
      <c r="D3" s="115">
        <f t="shared" ref="D3:D22" si="0">B3-C3</f>
        <v>5000000</v>
      </c>
      <c r="E3" s="20" t="s">
        <v>3873</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3913</v>
      </c>
      <c r="B4" s="18">
        <v>-5000000</v>
      </c>
      <c r="C4" s="18">
        <v>0</v>
      </c>
      <c r="D4" s="111">
        <f t="shared" si="0"/>
        <v>-5000000</v>
      </c>
      <c r="E4" s="97" t="s">
        <v>3914</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3936</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3862</v>
      </c>
      <c r="F31" s="94"/>
      <c r="G31" s="9" t="s">
        <v>1020</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3866</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3867</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3870</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3872</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3874</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3875</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3878</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3879</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3880</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3883</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3884</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3889</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3890</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3891</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3892</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3897</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3902</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3903</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3907</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3910</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3912</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3915</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3920</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3922</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3924</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3928</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3929</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3930</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3650</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3933</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3934</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3774</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3961</v>
      </c>
      <c r="B3" s="18">
        <v>785000</v>
      </c>
      <c r="C3" s="18">
        <v>0</v>
      </c>
      <c r="D3" s="115">
        <f t="shared" ref="D3:D22" si="0">B3-C3</f>
        <v>785000</v>
      </c>
      <c r="E3" s="20" t="s">
        <v>1010</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3961</v>
      </c>
      <c r="B4" s="18">
        <v>-32000</v>
      </c>
      <c r="C4" s="18">
        <v>0</v>
      </c>
      <c r="D4" s="111">
        <f t="shared" si="0"/>
        <v>-32000</v>
      </c>
      <c r="E4" s="97" t="s">
        <v>3944</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3963</v>
      </c>
      <c r="B5" s="18">
        <v>-750000</v>
      </c>
      <c r="C5" s="18">
        <v>0</v>
      </c>
      <c r="D5" s="111">
        <f t="shared" si="0"/>
        <v>-750000</v>
      </c>
      <c r="E5" s="20" t="s">
        <v>3752</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3995</v>
      </c>
      <c r="B6" s="18">
        <v>-9396</v>
      </c>
      <c r="C6" s="18">
        <v>0</v>
      </c>
      <c r="D6" s="111">
        <f t="shared" si="0"/>
        <v>-9396</v>
      </c>
      <c r="E6" s="19" t="s">
        <v>3998</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3999</v>
      </c>
      <c r="B7" s="18">
        <v>-43300</v>
      </c>
      <c r="C7" s="18">
        <v>0</v>
      </c>
      <c r="D7" s="111">
        <f t="shared" si="0"/>
        <v>-43300</v>
      </c>
      <c r="E7" s="19" t="s">
        <v>3998</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3669</v>
      </c>
      <c r="B8" s="18">
        <v>360000</v>
      </c>
      <c r="C8" s="18">
        <v>0</v>
      </c>
      <c r="D8" s="111">
        <f t="shared" si="0"/>
        <v>360000</v>
      </c>
      <c r="E8" s="19" t="s">
        <v>4012</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4016</v>
      </c>
      <c r="B9" s="18">
        <v>3000000</v>
      </c>
      <c r="C9" s="18">
        <v>0</v>
      </c>
      <c r="D9" s="111">
        <f t="shared" si="0"/>
        <v>3000000</v>
      </c>
      <c r="E9" s="21" t="s">
        <v>4015</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4014</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3943</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3944</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3947</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3948</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3950</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3953</v>
      </c>
      <c r="F36" s="94"/>
      <c r="G36" s="94"/>
      <c r="H36" s="94"/>
      <c r="I36" s="94"/>
      <c r="J36" s="94"/>
      <c r="K36" s="94"/>
      <c r="L36" s="94"/>
      <c r="M36" s="94"/>
      <c r="N36" s="94"/>
      <c r="O36" s="94"/>
      <c r="P36" s="94"/>
      <c r="Q36" s="94"/>
      <c r="R36" s="94"/>
      <c r="S36" s="94"/>
      <c r="T36" s="94"/>
      <c r="U36" s="94"/>
    </row>
    <row r="37" spans="1:21">
      <c r="A37" s="94"/>
      <c r="B37" s="94"/>
      <c r="C37" s="94"/>
      <c r="D37" s="112">
        <v>8185</v>
      </c>
      <c r="E37" s="41" t="s">
        <v>3954</v>
      </c>
      <c r="F37" s="94"/>
      <c r="G37" s="94"/>
      <c r="H37" s="94"/>
      <c r="I37" s="94"/>
      <c r="J37" s="94"/>
      <c r="K37" s="94"/>
      <c r="L37" s="94"/>
      <c r="M37" s="94"/>
      <c r="N37" s="94"/>
      <c r="O37" s="94"/>
      <c r="P37" s="94"/>
      <c r="Q37" s="94"/>
      <c r="R37" s="94"/>
      <c r="S37" s="94"/>
      <c r="T37" s="94"/>
      <c r="U37" s="94"/>
    </row>
    <row r="38" spans="1:21">
      <c r="A38" s="94"/>
      <c r="B38" s="94"/>
      <c r="C38" s="94"/>
      <c r="D38" s="112">
        <v>-5600000</v>
      </c>
      <c r="E38" s="41" t="s">
        <v>3956</v>
      </c>
      <c r="F38" s="94"/>
      <c r="G38" s="94"/>
      <c r="H38" s="94"/>
      <c r="I38" s="94"/>
      <c r="J38" s="94"/>
      <c r="K38" s="94"/>
      <c r="L38" s="94"/>
      <c r="M38" s="94"/>
      <c r="N38" s="94"/>
      <c r="O38" s="94"/>
      <c r="P38" s="94"/>
      <c r="Q38" s="94"/>
      <c r="R38" s="94"/>
      <c r="S38" s="94"/>
      <c r="T38" s="94"/>
      <c r="U38" s="94"/>
    </row>
    <row r="39" spans="1:21">
      <c r="A39" s="94"/>
      <c r="B39" s="94"/>
      <c r="C39" s="94"/>
      <c r="D39" s="112">
        <v>59600</v>
      </c>
      <c r="E39" s="41" t="s">
        <v>3957</v>
      </c>
      <c r="F39" s="94"/>
      <c r="G39" s="94"/>
      <c r="H39" s="94"/>
      <c r="I39" s="94"/>
      <c r="J39" s="94"/>
      <c r="K39" s="94"/>
      <c r="L39" s="94"/>
      <c r="M39" s="94"/>
      <c r="N39" s="94"/>
      <c r="O39" s="94"/>
      <c r="P39" s="94"/>
      <c r="Q39" s="94"/>
      <c r="R39" s="94"/>
      <c r="S39" s="94"/>
      <c r="T39" s="94"/>
      <c r="U39" s="94"/>
    </row>
    <row r="40" spans="1:21">
      <c r="A40" s="94"/>
      <c r="B40" s="94"/>
      <c r="C40" s="94"/>
      <c r="D40" s="112">
        <v>32300</v>
      </c>
      <c r="E40" s="41" t="s">
        <v>3958</v>
      </c>
      <c r="F40" s="94"/>
      <c r="G40" s="94"/>
      <c r="H40" s="94"/>
      <c r="I40" s="94"/>
      <c r="J40" s="94"/>
      <c r="K40" s="94"/>
      <c r="L40" s="94"/>
      <c r="M40" s="94"/>
      <c r="N40" s="94"/>
      <c r="O40" s="94"/>
      <c r="P40" s="94"/>
      <c r="Q40" s="94"/>
      <c r="R40" s="94"/>
      <c r="S40" s="94"/>
      <c r="T40" s="94"/>
      <c r="U40" s="94"/>
    </row>
    <row r="41" spans="1:21">
      <c r="A41" s="94"/>
      <c r="B41" s="94"/>
      <c r="C41" s="94"/>
      <c r="D41" s="112">
        <v>32000</v>
      </c>
      <c r="E41" s="41" t="s">
        <v>3964</v>
      </c>
      <c r="F41" s="94"/>
      <c r="G41" s="94"/>
      <c r="H41" s="94"/>
      <c r="I41" s="94"/>
      <c r="J41" s="94"/>
      <c r="K41" s="94"/>
      <c r="L41" s="94"/>
      <c r="M41" s="94"/>
      <c r="N41" s="94"/>
      <c r="O41" s="94"/>
      <c r="P41" s="94"/>
      <c r="Q41" s="94"/>
      <c r="R41" s="94"/>
      <c r="S41" s="94"/>
      <c r="T41" s="94"/>
      <c r="U41" s="94"/>
    </row>
    <row r="42" spans="1:21">
      <c r="A42" s="94"/>
      <c r="B42" s="94"/>
      <c r="C42" s="94"/>
      <c r="D42" s="112">
        <v>9997</v>
      </c>
      <c r="E42" s="41" t="s">
        <v>3965</v>
      </c>
      <c r="F42" s="94"/>
      <c r="G42" s="94"/>
      <c r="H42" s="94"/>
      <c r="I42" s="94"/>
      <c r="J42" s="94"/>
      <c r="K42" s="94"/>
      <c r="L42" s="94"/>
      <c r="M42" s="94"/>
      <c r="N42" s="94"/>
      <c r="O42" s="94"/>
      <c r="P42" s="94"/>
      <c r="Q42" s="94"/>
      <c r="R42" s="94"/>
      <c r="S42" s="94"/>
      <c r="T42" s="94"/>
      <c r="U42" s="94"/>
    </row>
    <row r="43" spans="1:21">
      <c r="A43" s="94"/>
      <c r="B43" s="94"/>
      <c r="C43" s="94"/>
      <c r="D43" s="112">
        <v>39927</v>
      </c>
      <c r="E43" s="41" t="s">
        <v>3966</v>
      </c>
      <c r="F43" s="94"/>
      <c r="G43" s="94"/>
      <c r="H43" s="94"/>
      <c r="I43" s="94"/>
      <c r="J43" s="94"/>
      <c r="K43" s="94"/>
      <c r="L43" s="94"/>
      <c r="M43" s="94"/>
      <c r="N43" s="94"/>
      <c r="O43" s="94"/>
      <c r="P43" s="94"/>
      <c r="Q43" s="94"/>
      <c r="R43" s="94"/>
      <c r="S43" s="94"/>
      <c r="T43" s="94"/>
      <c r="U43" s="94"/>
    </row>
    <row r="44" spans="1:21">
      <c r="A44" s="94"/>
      <c r="B44" s="94"/>
      <c r="C44" s="94"/>
      <c r="D44" s="112">
        <v>306673</v>
      </c>
      <c r="E44" s="41" t="s">
        <v>3967</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3968</v>
      </c>
      <c r="F45" s="112"/>
      <c r="G45" s="41"/>
      <c r="H45" s="94"/>
      <c r="I45" s="94"/>
      <c r="J45" s="94"/>
      <c r="K45" s="94"/>
      <c r="L45" s="94"/>
      <c r="M45" s="94"/>
      <c r="N45" s="94"/>
      <c r="O45" s="94"/>
      <c r="P45" s="94"/>
      <c r="Q45" s="94"/>
      <c r="R45" s="94"/>
      <c r="S45" s="94"/>
      <c r="T45" s="94"/>
      <c r="U45" s="94"/>
    </row>
    <row r="46" spans="1:21">
      <c r="A46" s="94"/>
      <c r="B46" s="94"/>
      <c r="C46" s="94"/>
      <c r="D46" s="112">
        <v>206986</v>
      </c>
      <c r="E46" s="41" t="s">
        <v>3969</v>
      </c>
      <c r="F46" s="112"/>
      <c r="G46" s="41"/>
      <c r="H46" s="94"/>
      <c r="I46" s="94"/>
      <c r="J46" s="94"/>
      <c r="K46" s="94"/>
      <c r="L46" s="94"/>
      <c r="M46" s="94"/>
      <c r="N46" s="94"/>
      <c r="O46" s="94"/>
      <c r="P46" s="94"/>
      <c r="Q46" s="94"/>
      <c r="R46" s="94"/>
      <c r="S46" s="94"/>
      <c r="T46" s="94"/>
      <c r="U46" s="94"/>
    </row>
    <row r="47" spans="1:21">
      <c r="A47" s="94"/>
      <c r="B47" s="94"/>
      <c r="C47" s="94"/>
      <c r="D47" s="112">
        <v>-251451</v>
      </c>
      <c r="E47" s="41" t="s">
        <v>3970</v>
      </c>
      <c r="F47" s="112"/>
      <c r="G47" s="41"/>
      <c r="H47" s="94"/>
      <c r="I47" s="94"/>
      <c r="J47" s="94"/>
      <c r="K47" s="94"/>
      <c r="L47" s="94"/>
      <c r="M47" s="94"/>
      <c r="N47" s="94"/>
      <c r="O47" s="94"/>
      <c r="P47" s="94"/>
      <c r="Q47" s="94"/>
      <c r="R47" s="94"/>
      <c r="S47" s="94"/>
      <c r="T47" s="94"/>
      <c r="U47" s="94"/>
    </row>
    <row r="48" spans="1:21">
      <c r="A48" s="94"/>
      <c r="B48" s="94"/>
      <c r="C48" s="94"/>
      <c r="D48" s="112">
        <v>-7467154</v>
      </c>
      <c r="E48" s="41" t="s">
        <v>3971</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3972</v>
      </c>
      <c r="F49" s="94"/>
      <c r="G49" s="94"/>
      <c r="H49" s="94"/>
      <c r="I49" s="94"/>
      <c r="J49" s="94"/>
      <c r="K49" s="94"/>
      <c r="L49" s="94"/>
      <c r="M49" s="94"/>
      <c r="N49" s="94"/>
      <c r="O49" s="94"/>
      <c r="P49" s="94"/>
      <c r="Q49" s="94"/>
      <c r="R49" s="94"/>
      <c r="S49" s="94"/>
      <c r="T49" s="94"/>
      <c r="U49" s="94"/>
    </row>
    <row r="50" spans="1:21">
      <c r="A50" s="94"/>
      <c r="B50" s="94"/>
      <c r="C50" s="94"/>
      <c r="D50" s="112">
        <v>142700</v>
      </c>
      <c r="E50" s="41" t="s">
        <v>3974</v>
      </c>
      <c r="F50" s="94"/>
      <c r="G50" s="94"/>
      <c r="H50" s="94"/>
      <c r="I50" s="94"/>
      <c r="J50" s="94"/>
      <c r="K50" s="94"/>
      <c r="L50" s="94"/>
      <c r="M50" s="94"/>
      <c r="N50" s="94"/>
      <c r="O50" s="94"/>
      <c r="P50" s="94"/>
      <c r="Q50" s="94"/>
      <c r="R50" s="94"/>
      <c r="S50" s="94"/>
      <c r="T50" s="94"/>
      <c r="U50" s="94"/>
    </row>
    <row r="51" spans="1:21">
      <c r="A51" s="94"/>
      <c r="B51" s="94"/>
      <c r="C51" s="94"/>
      <c r="D51" s="112">
        <v>32725</v>
      </c>
      <c r="E51" s="41" t="s">
        <v>3976</v>
      </c>
      <c r="F51" s="94"/>
      <c r="G51" s="94"/>
      <c r="H51" s="94"/>
      <c r="I51" s="94"/>
      <c r="J51" s="94"/>
      <c r="K51" s="94"/>
      <c r="L51" s="94"/>
      <c r="M51" s="94"/>
      <c r="N51" s="94"/>
      <c r="O51" s="94"/>
      <c r="P51" s="94"/>
      <c r="Q51" s="94"/>
      <c r="R51" s="94"/>
      <c r="S51" s="94"/>
      <c r="T51" s="94"/>
      <c r="U51" s="94"/>
    </row>
    <row r="52" spans="1:21">
      <c r="A52" s="94"/>
      <c r="B52" s="94"/>
      <c r="C52" s="94"/>
      <c r="D52" s="112">
        <v>-149348</v>
      </c>
      <c r="E52" s="41" t="s">
        <v>3977</v>
      </c>
      <c r="F52" s="94"/>
      <c r="G52" s="94"/>
      <c r="H52" s="94"/>
      <c r="I52" s="94"/>
      <c r="J52" s="94"/>
      <c r="K52" s="94"/>
      <c r="L52" s="94"/>
      <c r="M52" s="94"/>
      <c r="N52" s="94"/>
      <c r="O52" s="94"/>
      <c r="P52" s="94"/>
      <c r="Q52" s="94"/>
      <c r="R52" s="94"/>
      <c r="S52" s="94"/>
      <c r="T52" s="94"/>
      <c r="U52" s="94"/>
    </row>
    <row r="53" spans="1:21">
      <c r="A53" s="94"/>
      <c r="B53" s="94"/>
      <c r="C53" s="94"/>
      <c r="D53" s="112">
        <v>147067</v>
      </c>
      <c r="E53" s="41" t="s">
        <v>3978</v>
      </c>
      <c r="F53" s="94"/>
      <c r="G53" s="94"/>
      <c r="H53" s="94"/>
      <c r="I53" s="94"/>
      <c r="J53" s="94"/>
      <c r="K53" s="94"/>
      <c r="L53" s="94"/>
      <c r="M53" s="94"/>
      <c r="N53" s="94"/>
      <c r="O53" s="94"/>
      <c r="P53" s="94"/>
      <c r="Q53" s="94"/>
      <c r="R53" s="94"/>
      <c r="S53" s="94"/>
      <c r="T53" s="94"/>
      <c r="U53" s="94"/>
    </row>
    <row r="54" spans="1:21">
      <c r="A54" s="94"/>
      <c r="B54" s="94"/>
      <c r="C54" s="94"/>
      <c r="D54" s="112">
        <v>-1100000</v>
      </c>
      <c r="E54" s="41" t="s">
        <v>3980</v>
      </c>
      <c r="F54" s="94"/>
      <c r="G54" s="94"/>
      <c r="H54" s="94"/>
      <c r="I54" s="94"/>
      <c r="J54" s="94"/>
      <c r="K54" s="94"/>
      <c r="L54" s="94"/>
      <c r="M54" s="94"/>
      <c r="N54" s="94"/>
      <c r="O54" s="94"/>
      <c r="P54" s="94"/>
      <c r="Q54" s="94"/>
      <c r="R54" s="94"/>
      <c r="S54" s="94"/>
      <c r="T54" s="94"/>
      <c r="U54" s="94"/>
    </row>
    <row r="55" spans="1:21">
      <c r="A55" s="94"/>
      <c r="B55" s="94"/>
      <c r="C55" s="94"/>
      <c r="D55" s="112">
        <v>-790000</v>
      </c>
      <c r="E55" s="41" t="s">
        <v>3981</v>
      </c>
      <c r="F55" s="94"/>
      <c r="G55" s="94"/>
      <c r="H55" s="94"/>
      <c r="I55" s="94"/>
      <c r="J55" s="94"/>
      <c r="K55" s="94"/>
      <c r="L55" s="94"/>
      <c r="M55" s="94"/>
      <c r="N55" s="94"/>
      <c r="O55" s="94"/>
      <c r="P55" s="94"/>
      <c r="Q55" s="94"/>
      <c r="R55" s="94"/>
      <c r="S55" s="94"/>
      <c r="T55" s="94"/>
      <c r="U55" s="94"/>
    </row>
    <row r="56" spans="1:21">
      <c r="A56" s="94"/>
      <c r="B56" s="94"/>
      <c r="C56" s="94"/>
      <c r="D56" s="112">
        <v>-3320</v>
      </c>
      <c r="E56" s="41" t="s">
        <v>3982</v>
      </c>
      <c r="F56" s="94"/>
      <c r="G56" s="94"/>
      <c r="H56" s="94"/>
      <c r="I56" s="94"/>
      <c r="J56" s="94"/>
      <c r="K56" s="94"/>
      <c r="L56" s="94"/>
      <c r="M56" s="94"/>
      <c r="N56" s="94"/>
      <c r="O56" s="94"/>
      <c r="P56" s="94"/>
      <c r="Q56" s="94"/>
      <c r="R56" s="94"/>
      <c r="S56" s="94"/>
      <c r="T56" s="94"/>
      <c r="U56" s="94"/>
    </row>
    <row r="57" spans="1:21">
      <c r="A57" s="94"/>
      <c r="B57" s="94"/>
      <c r="C57" s="94"/>
      <c r="D57" s="112">
        <v>16000</v>
      </c>
      <c r="E57" s="41" t="s">
        <v>3983</v>
      </c>
      <c r="F57" s="94"/>
      <c r="G57" s="94"/>
      <c r="H57" s="94"/>
      <c r="I57" s="94"/>
      <c r="J57" s="94"/>
      <c r="K57" s="94"/>
      <c r="L57" s="94"/>
      <c r="M57" s="94"/>
      <c r="N57" s="94"/>
      <c r="O57" s="94"/>
      <c r="P57" s="94"/>
      <c r="Q57" s="94"/>
      <c r="R57" s="94"/>
      <c r="S57" s="94"/>
      <c r="T57" s="94"/>
      <c r="U57" s="94"/>
    </row>
    <row r="58" spans="1:21">
      <c r="A58" s="94"/>
      <c r="B58" s="94"/>
      <c r="C58" s="94"/>
      <c r="D58" s="112">
        <v>450500</v>
      </c>
      <c r="E58" s="41" t="s">
        <v>3986</v>
      </c>
      <c r="F58" s="94"/>
      <c r="G58" s="94"/>
      <c r="H58" s="94"/>
      <c r="I58" s="94"/>
      <c r="J58" s="94"/>
      <c r="K58" s="94"/>
      <c r="L58" s="94"/>
      <c r="M58" s="94"/>
      <c r="N58" s="94"/>
      <c r="O58" s="94"/>
      <c r="P58" s="94"/>
      <c r="Q58" s="94"/>
      <c r="R58" s="94"/>
      <c r="S58" s="94"/>
      <c r="T58" s="94"/>
      <c r="U58" s="94"/>
    </row>
    <row r="59" spans="1:21">
      <c r="A59" s="94"/>
      <c r="B59" s="94"/>
      <c r="C59" s="94"/>
      <c r="D59" s="112">
        <v>16931</v>
      </c>
      <c r="E59" s="41" t="s">
        <v>3989</v>
      </c>
      <c r="F59" s="94"/>
      <c r="G59" s="94"/>
      <c r="H59" s="94"/>
      <c r="I59" s="94"/>
      <c r="J59" s="94"/>
      <c r="K59" s="94"/>
      <c r="L59" s="94"/>
      <c r="M59" s="94"/>
      <c r="N59" s="94"/>
      <c r="O59" s="94"/>
      <c r="P59" s="94"/>
      <c r="Q59" s="94"/>
      <c r="R59" s="94"/>
      <c r="S59" s="94"/>
      <c r="T59" s="94"/>
      <c r="U59" s="94"/>
    </row>
    <row r="60" spans="1:21">
      <c r="A60" s="94"/>
      <c r="B60" s="94"/>
      <c r="C60" s="94"/>
      <c r="D60" s="112">
        <v>-10000</v>
      </c>
      <c r="E60" s="41" t="s">
        <v>3990</v>
      </c>
      <c r="F60" s="94"/>
      <c r="G60" s="94"/>
      <c r="H60" s="94"/>
      <c r="I60" s="94"/>
      <c r="J60" s="94"/>
      <c r="K60" s="94"/>
      <c r="L60" s="94"/>
      <c r="M60" s="94"/>
      <c r="N60" s="94"/>
      <c r="O60" s="94"/>
      <c r="P60" s="94"/>
      <c r="Q60" s="94"/>
      <c r="R60" s="94"/>
      <c r="S60" s="94"/>
      <c r="T60" s="94"/>
      <c r="U60" s="94"/>
    </row>
    <row r="61" spans="1:21">
      <c r="A61" s="94"/>
      <c r="B61" s="94"/>
      <c r="C61" s="94"/>
      <c r="D61" s="112">
        <v>-15000</v>
      </c>
      <c r="E61" s="41" t="s">
        <v>3991</v>
      </c>
      <c r="F61" s="94"/>
      <c r="G61" s="94"/>
      <c r="H61" s="94"/>
      <c r="I61" s="94"/>
      <c r="J61" s="94"/>
      <c r="K61" s="94"/>
      <c r="L61" s="94"/>
      <c r="M61" s="94"/>
      <c r="N61" s="94"/>
      <c r="O61" s="94"/>
      <c r="P61" s="94"/>
      <c r="Q61" s="94"/>
      <c r="R61" s="94"/>
      <c r="S61" s="94"/>
      <c r="T61" s="94"/>
      <c r="U61" s="94"/>
    </row>
    <row r="62" spans="1:21">
      <c r="A62" s="94"/>
      <c r="B62" s="94"/>
      <c r="C62" s="94"/>
      <c r="D62" s="112">
        <v>10350</v>
      </c>
      <c r="E62" s="41" t="s">
        <v>3992</v>
      </c>
      <c r="F62" s="94"/>
      <c r="G62" s="94"/>
      <c r="H62" s="94"/>
      <c r="I62" s="94"/>
      <c r="J62" s="94"/>
      <c r="K62" s="94"/>
      <c r="L62" s="94"/>
      <c r="M62" s="94"/>
      <c r="N62" s="94"/>
      <c r="O62" s="94"/>
      <c r="P62" s="94"/>
      <c r="Q62" s="94"/>
      <c r="R62" s="94"/>
      <c r="S62" s="94"/>
      <c r="T62" s="94"/>
      <c r="U62" s="94"/>
    </row>
    <row r="63" spans="1:21">
      <c r="A63" s="94"/>
      <c r="B63" s="94"/>
      <c r="C63" s="94"/>
      <c r="D63" s="112">
        <v>9396</v>
      </c>
      <c r="E63" s="41" t="s">
        <v>3997</v>
      </c>
      <c r="F63" s="94"/>
      <c r="G63" s="94"/>
      <c r="H63" s="94"/>
      <c r="I63" s="94"/>
      <c r="J63" s="94"/>
      <c r="K63" s="94"/>
      <c r="L63" s="94"/>
      <c r="M63" s="94"/>
      <c r="N63" s="94"/>
      <c r="O63" s="94"/>
      <c r="P63" s="94"/>
      <c r="Q63" s="94"/>
      <c r="R63" s="94"/>
      <c r="S63" s="94"/>
      <c r="T63" s="94"/>
      <c r="U63" s="94"/>
    </row>
    <row r="64" spans="1:21">
      <c r="A64" s="94"/>
      <c r="B64" s="94"/>
      <c r="C64" s="94"/>
      <c r="D64" s="112">
        <v>43300</v>
      </c>
      <c r="E64" s="41" t="s">
        <v>4000</v>
      </c>
      <c r="F64" s="94"/>
      <c r="G64" s="94"/>
      <c r="H64" s="94"/>
      <c r="I64" s="94"/>
      <c r="J64" s="94"/>
      <c r="K64" s="94"/>
      <c r="L64" s="94"/>
      <c r="M64" s="94"/>
      <c r="N64" s="94"/>
      <c r="O64" s="94"/>
      <c r="P64" s="94"/>
      <c r="Q64" s="94"/>
      <c r="R64" s="94"/>
      <c r="S64" s="94"/>
      <c r="T64" s="94"/>
      <c r="U64" s="94"/>
    </row>
    <row r="65" spans="1:21">
      <c r="A65" s="94"/>
      <c r="B65" s="94"/>
      <c r="C65" s="94"/>
      <c r="D65" s="112">
        <v>315101</v>
      </c>
      <c r="E65" s="41" t="s">
        <v>4002</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4018</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4022</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4019</v>
      </c>
      <c r="B3" s="18">
        <v>3000000</v>
      </c>
      <c r="C3" s="18">
        <v>0</v>
      </c>
      <c r="D3" s="115">
        <f t="shared" ref="D3:D28" si="0">B3-C3</f>
        <v>3000000</v>
      </c>
      <c r="E3" s="20" t="s">
        <v>4021</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4027</v>
      </c>
      <c r="B4" s="18">
        <v>-35800</v>
      </c>
      <c r="C4" s="18">
        <v>0</v>
      </c>
      <c r="D4" s="111">
        <f t="shared" si="0"/>
        <v>-35800</v>
      </c>
      <c r="E4" s="97" t="s">
        <v>3944</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4026</v>
      </c>
      <c r="B5" s="18">
        <v>3600000</v>
      </c>
      <c r="C5" s="18">
        <v>0</v>
      </c>
      <c r="D5" s="111">
        <f t="shared" si="0"/>
        <v>3600000</v>
      </c>
      <c r="E5" s="20" t="s">
        <v>3873</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4026</v>
      </c>
      <c r="B6" s="18">
        <v>-33377</v>
      </c>
      <c r="C6" s="18">
        <v>0</v>
      </c>
      <c r="D6" s="111">
        <f t="shared" si="0"/>
        <v>-33377</v>
      </c>
      <c r="E6" s="19" t="s">
        <v>4030</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4049</v>
      </c>
      <c r="B7" s="18">
        <v>-9800000</v>
      </c>
      <c r="C7" s="18">
        <v>0</v>
      </c>
      <c r="D7" s="111">
        <f t="shared" si="0"/>
        <v>-9800000</v>
      </c>
      <c r="E7" s="19" t="s">
        <v>1199</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4049</v>
      </c>
      <c r="B8" s="18">
        <v>18000000</v>
      </c>
      <c r="C8" s="18">
        <v>0</v>
      </c>
      <c r="D8" s="111">
        <f t="shared" si="0"/>
        <v>18000000</v>
      </c>
      <c r="E8" s="19" t="s">
        <v>4050</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4049</v>
      </c>
      <c r="B9" s="18">
        <v>-9000000</v>
      </c>
      <c r="C9" s="18">
        <v>0</v>
      </c>
      <c r="D9" s="111">
        <f t="shared" si="0"/>
        <v>-9000000</v>
      </c>
      <c r="E9" s="21" t="s">
        <v>1199</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4049</v>
      </c>
      <c r="B10" s="18">
        <v>-11600</v>
      </c>
      <c r="C10" s="18">
        <v>0</v>
      </c>
      <c r="D10" s="111">
        <f t="shared" si="0"/>
        <v>-11600</v>
      </c>
      <c r="E10" s="19" t="s">
        <v>4053</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4049</v>
      </c>
      <c r="B11" s="18">
        <v>-3304327</v>
      </c>
      <c r="C11" s="18">
        <v>0</v>
      </c>
      <c r="D11" s="111">
        <f t="shared" si="0"/>
        <v>-3304327</v>
      </c>
      <c r="E11" s="19" t="s">
        <v>4054</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4058</v>
      </c>
      <c r="B12" s="18">
        <v>-3000900</v>
      </c>
      <c r="C12" s="18">
        <v>0</v>
      </c>
      <c r="D12" s="111">
        <f t="shared" si="0"/>
        <v>-3000900</v>
      </c>
      <c r="E12" s="20" t="s">
        <v>4059</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4062</v>
      </c>
      <c r="B13" s="18">
        <v>-2760900</v>
      </c>
      <c r="C13" s="18">
        <v>0</v>
      </c>
      <c r="D13" s="111">
        <f t="shared" si="0"/>
        <v>-2760900</v>
      </c>
      <c r="E13" s="20" t="s">
        <v>4063</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4076</v>
      </c>
      <c r="B14" s="18">
        <v>1000000</v>
      </c>
      <c r="C14" s="18">
        <v>0</v>
      </c>
      <c r="D14" s="111">
        <f t="shared" si="0"/>
        <v>1000000</v>
      </c>
      <c r="E14" s="20" t="s">
        <v>4056</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4091</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4088</v>
      </c>
      <c r="B16" s="18">
        <v>-990000</v>
      </c>
      <c r="C16" s="18">
        <v>0</v>
      </c>
      <c r="D16" s="111">
        <f t="shared" si="0"/>
        <v>-990000</v>
      </c>
      <c r="E16" s="20" t="s">
        <v>3752</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4088</v>
      </c>
      <c r="B17" s="18">
        <v>783000</v>
      </c>
      <c r="C17" s="18">
        <v>0</v>
      </c>
      <c r="D17" s="111">
        <f t="shared" si="0"/>
        <v>783000</v>
      </c>
      <c r="E17" s="20" t="s">
        <v>4094</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4097</v>
      </c>
      <c r="B18" s="18">
        <v>-750500</v>
      </c>
      <c r="C18" s="18">
        <v>0</v>
      </c>
      <c r="D18" s="111">
        <f t="shared" si="0"/>
        <v>-750500</v>
      </c>
      <c r="E18" s="20" t="s">
        <v>4098</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4110</v>
      </c>
      <c r="B19" s="18">
        <v>700000</v>
      </c>
      <c r="C19" s="18">
        <v>0</v>
      </c>
      <c r="D19" s="111">
        <f t="shared" si="0"/>
        <v>700000</v>
      </c>
      <c r="E19" s="20" t="s">
        <v>3873</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4110</v>
      </c>
      <c r="B20" s="18">
        <v>-99000</v>
      </c>
      <c r="C20" s="18">
        <v>0</v>
      </c>
      <c r="D20" s="111">
        <f t="shared" si="0"/>
        <v>-99000</v>
      </c>
      <c r="E20" s="19" t="s">
        <v>4112</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4113</v>
      </c>
      <c r="B21" s="18">
        <v>-205750</v>
      </c>
      <c r="C21" s="18">
        <v>0</v>
      </c>
      <c r="D21" s="111">
        <f t="shared" si="0"/>
        <v>-205750</v>
      </c>
      <c r="E21" s="19" t="s">
        <v>4114</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4113</v>
      </c>
      <c r="B22" s="18">
        <v>-95000</v>
      </c>
      <c r="C22" s="18">
        <v>0</v>
      </c>
      <c r="D22" s="111">
        <f t="shared" si="0"/>
        <v>-95000</v>
      </c>
      <c r="E22" s="19" t="s">
        <v>4115</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4129</v>
      </c>
      <c r="B23" s="18">
        <v>48650000</v>
      </c>
      <c r="C23" s="18">
        <v>0</v>
      </c>
      <c r="D23" s="111">
        <f t="shared" si="0"/>
        <v>48650000</v>
      </c>
      <c r="E23" s="19" t="s">
        <v>4130</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4129</v>
      </c>
      <c r="B24" s="18">
        <v>-3005900</v>
      </c>
      <c r="C24" s="18">
        <v>0</v>
      </c>
      <c r="D24" s="111">
        <f t="shared" si="0"/>
        <v>-3005900</v>
      </c>
      <c r="E24" s="19" t="s">
        <v>4132</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4134</v>
      </c>
      <c r="B25" s="18">
        <v>-33500000</v>
      </c>
      <c r="C25" s="18">
        <v>0</v>
      </c>
      <c r="D25" s="111">
        <f t="shared" si="0"/>
        <v>-33500000</v>
      </c>
      <c r="E25" s="19" t="s">
        <v>3752</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4134</v>
      </c>
      <c r="B26" s="18">
        <v>-12435000</v>
      </c>
      <c r="C26" s="18">
        <v>0</v>
      </c>
      <c r="D26" s="111">
        <f t="shared" si="0"/>
        <v>-12435000</v>
      </c>
      <c r="E26" s="19" t="s">
        <v>3752</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4146</v>
      </c>
      <c r="B27" s="18">
        <v>-18500</v>
      </c>
      <c r="C27" s="18">
        <v>0</v>
      </c>
      <c r="D27" s="18">
        <f>B27-C27</f>
        <v>-18500</v>
      </c>
      <c r="E27" s="166" t="s">
        <v>4147</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4143</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4023</v>
      </c>
      <c r="F36" s="94"/>
      <c r="G36" s="9" t="s">
        <v>1020</v>
      </c>
      <c r="H36" s="9" t="s">
        <v>38</v>
      </c>
      <c r="I36" s="9" t="s">
        <v>39</v>
      </c>
      <c r="J36" s="94"/>
      <c r="K36" s="94"/>
      <c r="L36" s="94"/>
      <c r="M36" s="94"/>
      <c r="N36" s="94"/>
      <c r="O36" s="94"/>
      <c r="P36" s="94"/>
      <c r="Q36" s="94"/>
      <c r="R36" s="94"/>
      <c r="S36" s="94"/>
      <c r="T36" s="94"/>
    </row>
    <row r="37" spans="1:20">
      <c r="A37" s="94"/>
      <c r="B37" s="112"/>
      <c r="C37" s="94"/>
      <c r="D37" s="42">
        <v>-80000</v>
      </c>
      <c r="E37" s="41" t="s">
        <v>4024</v>
      </c>
      <c r="F37" s="94"/>
      <c r="G37" s="94"/>
      <c r="H37" s="94"/>
      <c r="I37" s="94"/>
      <c r="J37" s="94"/>
      <c r="K37" s="94"/>
      <c r="L37" s="94"/>
      <c r="M37" s="94"/>
      <c r="N37" s="94"/>
      <c r="O37" s="94"/>
      <c r="P37" s="94"/>
      <c r="Q37" s="94"/>
      <c r="R37" s="94"/>
      <c r="S37" s="94"/>
      <c r="T37" s="94"/>
    </row>
    <row r="38" spans="1:20">
      <c r="A38" s="94"/>
      <c r="B38" s="94"/>
      <c r="C38" s="94"/>
      <c r="D38" s="42">
        <v>-3600000</v>
      </c>
      <c r="E38" s="41" t="s">
        <v>4025</v>
      </c>
      <c r="F38" s="94"/>
      <c r="G38" s="94"/>
      <c r="H38" s="94"/>
      <c r="I38" s="94"/>
      <c r="J38" s="94"/>
      <c r="K38" s="94"/>
      <c r="L38" s="94"/>
      <c r="M38" s="94"/>
      <c r="N38" s="94"/>
      <c r="O38" s="94"/>
      <c r="P38" s="94"/>
      <c r="Q38" s="94"/>
      <c r="R38" s="94"/>
      <c r="S38" s="94"/>
      <c r="T38" s="94"/>
    </row>
    <row r="39" spans="1:20">
      <c r="A39" s="94"/>
      <c r="B39" s="94" t="s">
        <v>25</v>
      </c>
      <c r="C39" s="94"/>
      <c r="D39" s="42">
        <v>33377</v>
      </c>
      <c r="E39" s="41" t="s">
        <v>4031</v>
      </c>
      <c r="F39" s="94"/>
      <c r="G39" s="94"/>
      <c r="H39" s="94"/>
      <c r="I39" s="94"/>
      <c r="J39" s="94"/>
      <c r="K39" s="94"/>
      <c r="L39" s="94"/>
      <c r="M39" s="94"/>
      <c r="N39" s="94"/>
      <c r="O39" s="94"/>
      <c r="P39" s="94"/>
      <c r="Q39" s="94"/>
      <c r="R39" s="94"/>
      <c r="S39" s="94"/>
      <c r="T39" s="94"/>
    </row>
    <row r="40" spans="1:20" ht="30">
      <c r="A40" s="94"/>
      <c r="B40" s="94"/>
      <c r="C40" s="94"/>
      <c r="D40" s="112">
        <v>-2495233</v>
      </c>
      <c r="E40" s="52" t="s">
        <v>4048</v>
      </c>
      <c r="F40" s="94"/>
      <c r="G40" s="94"/>
      <c r="H40" s="94"/>
      <c r="I40" s="94"/>
      <c r="J40" s="94"/>
      <c r="K40" s="94"/>
      <c r="L40" s="94"/>
      <c r="M40" s="94"/>
      <c r="N40" s="94"/>
      <c r="O40" s="94"/>
      <c r="P40" s="94"/>
      <c r="Q40" s="94"/>
      <c r="R40" s="94"/>
      <c r="S40" s="94"/>
      <c r="T40" s="94"/>
    </row>
    <row r="41" spans="1:20">
      <c r="A41" s="94"/>
      <c r="B41" s="94"/>
      <c r="C41" s="94"/>
      <c r="D41" s="112">
        <v>3304327</v>
      </c>
      <c r="E41" s="41" t="s">
        <v>4055</v>
      </c>
      <c r="F41" s="94"/>
      <c r="G41" s="94"/>
      <c r="H41" s="94"/>
      <c r="I41" s="94"/>
      <c r="J41" s="94"/>
      <c r="K41" s="94"/>
      <c r="L41" s="94"/>
      <c r="M41" s="94"/>
      <c r="N41" s="94"/>
      <c r="O41" s="94"/>
      <c r="P41" s="94"/>
      <c r="Q41" s="94"/>
      <c r="R41" s="94"/>
      <c r="S41" s="94"/>
      <c r="T41" s="94"/>
    </row>
    <row r="42" spans="1:20">
      <c r="A42" s="94"/>
      <c r="B42" s="94"/>
      <c r="C42" s="94"/>
      <c r="D42" s="112">
        <v>10000</v>
      </c>
      <c r="E42" s="41" t="s">
        <v>4056</v>
      </c>
      <c r="F42" s="94"/>
      <c r="G42" s="94"/>
      <c r="H42" s="94"/>
      <c r="I42" s="94"/>
      <c r="J42" s="94"/>
      <c r="K42" s="94"/>
      <c r="L42" s="94"/>
      <c r="M42" s="94"/>
      <c r="N42" s="94"/>
      <c r="O42" s="94"/>
      <c r="P42" s="94"/>
      <c r="Q42" s="94"/>
      <c r="R42" s="94"/>
      <c r="S42" s="94"/>
      <c r="T42" s="94"/>
    </row>
    <row r="43" spans="1:20">
      <c r="A43" s="94"/>
      <c r="B43" s="94"/>
      <c r="C43" s="94"/>
      <c r="D43" s="112">
        <v>3000900</v>
      </c>
      <c r="E43" s="41" t="s">
        <v>4057</v>
      </c>
      <c r="F43" s="94"/>
      <c r="G43" s="94"/>
      <c r="H43" s="94"/>
      <c r="I43" s="94"/>
      <c r="J43" s="94"/>
      <c r="K43" s="94"/>
      <c r="L43" s="94"/>
      <c r="M43" s="94"/>
      <c r="N43" s="94"/>
      <c r="O43" s="94"/>
      <c r="P43" s="94"/>
      <c r="Q43" s="94"/>
      <c r="R43" s="94"/>
      <c r="S43" s="94"/>
      <c r="T43" s="94"/>
    </row>
    <row r="44" spans="1:20">
      <c r="A44" s="94"/>
      <c r="B44" s="94"/>
      <c r="C44" s="94"/>
      <c r="D44" s="112">
        <v>2760900</v>
      </c>
      <c r="E44" s="41" t="s">
        <v>4064</v>
      </c>
      <c r="F44" s="94"/>
      <c r="G44" s="94"/>
      <c r="H44" s="94"/>
      <c r="I44" s="94"/>
      <c r="J44" s="94"/>
      <c r="K44" s="94"/>
      <c r="L44" s="94"/>
      <c r="M44" s="94"/>
      <c r="N44" s="94"/>
      <c r="O44" s="94"/>
      <c r="P44" s="94"/>
      <c r="Q44" s="94"/>
      <c r="R44" s="94"/>
      <c r="S44" s="94"/>
      <c r="T44" s="94"/>
    </row>
    <row r="45" spans="1:20">
      <c r="A45" s="94"/>
      <c r="B45" s="94"/>
      <c r="C45" s="94"/>
      <c r="D45" s="112">
        <v>-500000</v>
      </c>
      <c r="E45" s="41" t="s">
        <v>4066</v>
      </c>
      <c r="F45" s="94"/>
      <c r="G45" s="94"/>
      <c r="H45" s="94"/>
      <c r="I45" s="94"/>
      <c r="J45" s="94"/>
      <c r="K45" s="94"/>
      <c r="L45" s="94"/>
      <c r="M45" s="94"/>
      <c r="N45" s="94"/>
      <c r="O45" s="94"/>
      <c r="P45" s="94"/>
      <c r="Q45" s="94"/>
      <c r="R45" s="94"/>
      <c r="S45" s="94"/>
      <c r="T45" s="94"/>
    </row>
    <row r="46" spans="1:20">
      <c r="A46" s="94"/>
      <c r="B46" s="94"/>
      <c r="C46" s="94"/>
      <c r="D46" s="112">
        <v>-200000</v>
      </c>
      <c r="E46" s="41" t="s">
        <v>1198</v>
      </c>
      <c r="F46" s="94"/>
      <c r="G46" s="94"/>
      <c r="H46" s="94"/>
      <c r="I46" s="94"/>
      <c r="J46" s="94"/>
      <c r="K46" s="94"/>
      <c r="L46" s="94"/>
      <c r="M46" s="94"/>
      <c r="N46" s="94"/>
      <c r="O46" s="94"/>
      <c r="P46" s="94"/>
      <c r="Q46" s="94"/>
      <c r="R46" s="94"/>
      <c r="S46" s="94"/>
      <c r="T46" s="94"/>
    </row>
    <row r="47" spans="1:20">
      <c r="A47" s="94"/>
      <c r="B47" s="94"/>
      <c r="C47" s="94"/>
      <c r="D47" s="112">
        <v>642064</v>
      </c>
      <c r="E47" s="41" t="s">
        <v>4075</v>
      </c>
      <c r="F47" s="94"/>
      <c r="G47" s="94"/>
      <c r="H47" s="94"/>
      <c r="I47" s="94"/>
      <c r="J47" s="94"/>
      <c r="K47" s="94"/>
      <c r="L47" s="94"/>
      <c r="M47" s="94"/>
      <c r="N47" s="94"/>
      <c r="O47" s="94"/>
      <c r="P47" s="94"/>
      <c r="Q47" s="94"/>
      <c r="R47" s="94"/>
      <c r="S47" s="94"/>
      <c r="T47" s="94"/>
    </row>
    <row r="48" spans="1:20">
      <c r="A48" s="94"/>
      <c r="B48" s="94"/>
      <c r="C48" s="94"/>
      <c r="D48" s="112">
        <v>-1000000</v>
      </c>
      <c r="E48" s="41" t="s">
        <v>4077</v>
      </c>
      <c r="F48" s="94"/>
      <c r="G48" s="94"/>
      <c r="H48" s="94"/>
      <c r="I48" s="94"/>
      <c r="J48" s="94"/>
      <c r="K48" s="94"/>
      <c r="L48" s="94"/>
      <c r="M48" s="94"/>
      <c r="N48" s="94"/>
      <c r="O48" s="94"/>
      <c r="P48" s="94"/>
      <c r="Q48" s="94"/>
      <c r="R48" s="94"/>
      <c r="S48" s="94"/>
      <c r="T48" s="94"/>
    </row>
    <row r="49" spans="1:20">
      <c r="A49" s="94"/>
      <c r="B49" s="94"/>
      <c r="C49" s="94"/>
      <c r="D49" s="112">
        <v>200000</v>
      </c>
      <c r="E49" s="41" t="s">
        <v>4078</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775</v>
      </c>
      <c r="F50" s="112"/>
      <c r="G50" s="41"/>
      <c r="H50" s="94"/>
      <c r="I50" s="94"/>
      <c r="J50" s="94"/>
      <c r="K50" s="94"/>
      <c r="L50" s="94"/>
      <c r="M50" s="94"/>
      <c r="N50" s="94"/>
      <c r="O50" s="94"/>
      <c r="P50" s="94"/>
      <c r="Q50" s="94"/>
      <c r="R50" s="94"/>
      <c r="S50" s="94"/>
      <c r="T50" s="94"/>
    </row>
    <row r="51" spans="1:20">
      <c r="A51" s="94"/>
      <c r="B51" s="94"/>
      <c r="C51" s="94"/>
      <c r="D51" s="112">
        <v>-1300000</v>
      </c>
      <c r="E51" s="41" t="s">
        <v>4089</v>
      </c>
      <c r="F51" s="112"/>
      <c r="G51" s="41"/>
      <c r="H51" s="94"/>
      <c r="I51" s="94"/>
      <c r="J51" s="94"/>
      <c r="K51" s="94"/>
      <c r="L51" s="94"/>
      <c r="M51" s="94"/>
      <c r="N51" s="94"/>
      <c r="O51" s="94"/>
      <c r="P51" s="94"/>
      <c r="Q51" s="94"/>
      <c r="R51" s="94"/>
      <c r="S51" s="94"/>
      <c r="T51" s="94"/>
    </row>
    <row r="52" spans="1:20">
      <c r="A52" s="94"/>
      <c r="B52" s="94"/>
      <c r="C52" s="94"/>
      <c r="D52" s="112">
        <v>-5000</v>
      </c>
      <c r="E52" s="41" t="s">
        <v>4089</v>
      </c>
      <c r="F52" s="112"/>
      <c r="G52" s="41"/>
      <c r="H52" s="94"/>
      <c r="I52" s="94"/>
      <c r="J52" s="94"/>
      <c r="K52" s="94"/>
      <c r="L52" s="94"/>
      <c r="M52" s="94"/>
      <c r="N52" s="94"/>
      <c r="O52" s="94"/>
      <c r="P52" s="94"/>
      <c r="Q52" s="94"/>
      <c r="R52" s="94"/>
      <c r="S52" s="94"/>
      <c r="T52" s="94"/>
    </row>
    <row r="53" spans="1:20">
      <c r="A53" s="94"/>
      <c r="B53" s="94"/>
      <c r="C53" s="94"/>
      <c r="D53" s="112">
        <v>-50000</v>
      </c>
      <c r="E53" s="41" t="s">
        <v>4092</v>
      </c>
      <c r="F53" s="94"/>
      <c r="G53" s="94"/>
      <c r="H53" s="94"/>
      <c r="I53" s="94"/>
      <c r="J53" s="94"/>
      <c r="K53" s="94"/>
      <c r="L53" s="94"/>
      <c r="M53" s="94"/>
      <c r="N53" s="94"/>
      <c r="O53" s="94"/>
      <c r="P53" s="94"/>
      <c r="Q53" s="94"/>
      <c r="R53" s="94"/>
      <c r="S53" s="94"/>
      <c r="T53" s="94"/>
    </row>
    <row r="54" spans="1:20">
      <c r="A54" s="94"/>
      <c r="B54" s="94"/>
      <c r="C54" s="94"/>
      <c r="D54" s="112">
        <v>-5000</v>
      </c>
      <c r="E54" s="41" t="s">
        <v>4093</v>
      </c>
      <c r="F54" s="94"/>
      <c r="G54" s="94"/>
      <c r="H54" s="94"/>
      <c r="I54" s="94"/>
      <c r="J54" s="94"/>
      <c r="K54" s="94"/>
      <c r="L54" s="94"/>
      <c r="M54" s="94"/>
      <c r="N54" s="94"/>
      <c r="O54" s="94"/>
      <c r="P54" s="94"/>
      <c r="Q54" s="94"/>
      <c r="R54" s="94"/>
      <c r="S54" s="94"/>
      <c r="T54" s="94"/>
    </row>
    <row r="55" spans="1:20">
      <c r="A55" s="94"/>
      <c r="B55" s="94"/>
      <c r="C55" s="94"/>
      <c r="D55" s="112">
        <v>-94056</v>
      </c>
      <c r="E55" s="41" t="s">
        <v>4095</v>
      </c>
      <c r="F55" s="94"/>
      <c r="G55" s="94"/>
      <c r="H55" s="94"/>
      <c r="I55" s="94"/>
      <c r="J55" s="94"/>
      <c r="K55" s="94"/>
      <c r="L55" s="94"/>
      <c r="M55" s="94"/>
      <c r="N55" s="94"/>
      <c r="O55" s="94"/>
      <c r="P55" s="94"/>
      <c r="Q55" s="94"/>
      <c r="R55" s="94"/>
      <c r="S55" s="94"/>
      <c r="T55" s="94"/>
    </row>
    <row r="56" spans="1:20">
      <c r="A56" s="94"/>
      <c r="B56" s="94"/>
      <c r="C56" s="94"/>
      <c r="D56" s="112">
        <v>37083</v>
      </c>
      <c r="E56" s="41" t="s">
        <v>4096</v>
      </c>
      <c r="F56" s="94"/>
      <c r="G56" s="94"/>
      <c r="H56" s="94"/>
      <c r="I56" s="94"/>
      <c r="J56" s="94"/>
      <c r="K56" s="94"/>
      <c r="L56" s="94"/>
      <c r="M56" s="94"/>
      <c r="N56" s="94"/>
      <c r="O56" s="94"/>
      <c r="P56" s="94"/>
      <c r="Q56" s="94"/>
      <c r="R56" s="94"/>
      <c r="S56" s="94"/>
      <c r="T56" s="94"/>
    </row>
    <row r="57" spans="1:20">
      <c r="A57" s="94"/>
      <c r="B57" s="94"/>
      <c r="C57" s="94"/>
      <c r="D57" s="112">
        <v>-2000000</v>
      </c>
      <c r="E57" s="41" t="s">
        <v>4104</v>
      </c>
      <c r="F57" s="94"/>
      <c r="G57" s="94"/>
      <c r="H57" s="94"/>
      <c r="I57" s="94"/>
      <c r="J57" s="94"/>
      <c r="K57" s="94"/>
      <c r="L57" s="94"/>
      <c r="M57" s="94"/>
      <c r="N57" s="94"/>
      <c r="O57" s="94"/>
      <c r="P57" s="94"/>
      <c r="Q57" s="94"/>
      <c r="R57" s="94"/>
      <c r="S57" s="94"/>
      <c r="T57" s="94"/>
    </row>
    <row r="58" spans="1:20">
      <c r="A58" s="94"/>
      <c r="B58" s="94"/>
      <c r="C58" s="94"/>
      <c r="D58" s="112">
        <v>50000</v>
      </c>
      <c r="E58" s="41" t="s">
        <v>4102</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4099</v>
      </c>
      <c r="F60" s="94"/>
      <c r="G60" s="94"/>
      <c r="H60" s="94"/>
      <c r="I60" s="94"/>
      <c r="J60" s="94"/>
      <c r="K60" s="94"/>
      <c r="L60" s="94"/>
      <c r="M60" s="94"/>
      <c r="N60" s="94"/>
      <c r="O60" s="94"/>
      <c r="P60" s="94"/>
      <c r="Q60" s="94"/>
      <c r="R60" s="94"/>
      <c r="S60" s="94"/>
      <c r="T60" s="94"/>
    </row>
    <row r="61" spans="1:20">
      <c r="A61" s="94"/>
      <c r="B61" s="94"/>
      <c r="C61" s="94"/>
      <c r="D61" s="112">
        <v>-604742</v>
      </c>
      <c r="E61" s="41" t="s">
        <v>4100</v>
      </c>
      <c r="F61" s="94"/>
      <c r="G61" s="94"/>
      <c r="H61" s="94"/>
      <c r="I61" s="94"/>
      <c r="J61" s="94"/>
      <c r="K61" s="94"/>
      <c r="L61" s="94"/>
      <c r="M61" s="94"/>
      <c r="N61" s="94"/>
      <c r="O61" s="94"/>
      <c r="P61" s="94"/>
      <c r="Q61" s="94"/>
      <c r="R61" s="94"/>
      <c r="S61" s="94"/>
      <c r="T61" s="94"/>
    </row>
    <row r="62" spans="1:20">
      <c r="A62" s="94"/>
      <c r="B62" s="94"/>
      <c r="C62" s="94"/>
      <c r="D62" s="112">
        <v>3405686</v>
      </c>
      <c r="E62" s="41" t="s">
        <v>4101</v>
      </c>
      <c r="F62" s="94"/>
      <c r="G62" s="94"/>
      <c r="H62" s="94"/>
      <c r="I62" s="94"/>
      <c r="J62" s="94"/>
      <c r="K62" s="94"/>
      <c r="L62" s="94"/>
      <c r="M62" s="94"/>
      <c r="N62" s="94"/>
      <c r="O62" s="94"/>
      <c r="P62" s="94"/>
      <c r="Q62" s="94"/>
      <c r="R62" s="94"/>
      <c r="S62" s="94"/>
      <c r="T62" s="94"/>
    </row>
    <row r="63" spans="1:20">
      <c r="A63" s="94"/>
      <c r="B63" s="94"/>
      <c r="C63" s="94"/>
      <c r="D63" s="112">
        <v>-33237</v>
      </c>
      <c r="E63" s="41" t="s">
        <v>4105</v>
      </c>
      <c r="F63" s="94"/>
      <c r="G63" s="94"/>
      <c r="H63" s="94"/>
      <c r="I63" s="94"/>
      <c r="J63" s="94"/>
      <c r="K63" s="94"/>
      <c r="L63" s="94"/>
      <c r="M63" s="94"/>
      <c r="N63" s="94"/>
      <c r="O63" s="94"/>
      <c r="P63" s="94"/>
      <c r="Q63" s="94"/>
      <c r="R63" s="94"/>
      <c r="S63" s="94"/>
      <c r="T63" s="94"/>
    </row>
    <row r="64" spans="1:20">
      <c r="A64" s="94"/>
      <c r="B64" s="94"/>
      <c r="C64" s="94"/>
      <c r="D64" s="112">
        <v>1660000</v>
      </c>
      <c r="E64" s="41" t="s">
        <v>4103</v>
      </c>
      <c r="F64" s="94"/>
      <c r="G64" s="94"/>
      <c r="H64" s="94"/>
      <c r="I64" s="94"/>
      <c r="J64" s="94"/>
      <c r="K64" s="94"/>
      <c r="L64" s="94"/>
      <c r="M64" s="94"/>
      <c r="N64" s="94"/>
      <c r="O64" s="94"/>
      <c r="P64" s="94"/>
      <c r="Q64" s="94"/>
      <c r="R64" s="94"/>
      <c r="S64" s="94"/>
      <c r="T64" s="94"/>
    </row>
    <row r="65" spans="1:20">
      <c r="A65" s="94"/>
      <c r="B65" s="94"/>
      <c r="C65" s="94"/>
      <c r="D65" s="112">
        <v>80000</v>
      </c>
      <c r="E65" s="41" t="s">
        <v>4106</v>
      </c>
      <c r="F65" s="94"/>
      <c r="G65" s="94"/>
      <c r="H65" s="94"/>
      <c r="I65" s="94"/>
      <c r="J65" s="94"/>
      <c r="K65" s="94"/>
      <c r="L65" s="94"/>
      <c r="M65" s="94"/>
      <c r="N65" s="94"/>
      <c r="O65" s="94"/>
      <c r="P65" s="94"/>
      <c r="Q65" s="94"/>
      <c r="R65" s="94"/>
      <c r="S65" s="94"/>
      <c r="T65" s="94"/>
    </row>
    <row r="66" spans="1:20">
      <c r="A66" s="94"/>
      <c r="B66" s="94"/>
      <c r="C66" s="94"/>
      <c r="D66" s="112">
        <v>3100000</v>
      </c>
      <c r="E66" s="41" t="s">
        <v>4107</v>
      </c>
      <c r="F66" s="94"/>
      <c r="G66" s="94"/>
      <c r="H66" s="94"/>
      <c r="I66" s="94"/>
      <c r="J66" s="94"/>
      <c r="K66" s="94"/>
      <c r="L66" s="94"/>
      <c r="M66" s="94"/>
      <c r="N66" s="94"/>
      <c r="O66" s="94"/>
      <c r="P66" s="94"/>
      <c r="Q66" s="94"/>
      <c r="R66" s="94"/>
      <c r="S66" s="94"/>
      <c r="T66" s="94"/>
    </row>
    <row r="67" spans="1:20">
      <c r="A67" s="94"/>
      <c r="B67" s="94"/>
      <c r="C67" s="94"/>
      <c r="D67" s="112">
        <v>-435500</v>
      </c>
      <c r="E67" s="41" t="s">
        <v>4108</v>
      </c>
      <c r="F67" s="94"/>
      <c r="G67" s="94"/>
      <c r="H67" s="94"/>
      <c r="I67" s="94"/>
      <c r="J67" s="94"/>
      <c r="K67" s="94"/>
      <c r="L67" s="94"/>
      <c r="M67" s="94"/>
      <c r="N67" s="94"/>
      <c r="O67" s="94"/>
      <c r="P67" s="94"/>
      <c r="Q67" s="94"/>
      <c r="R67" s="94"/>
      <c r="S67" s="94"/>
      <c r="T67" s="94"/>
    </row>
    <row r="68" spans="1:20">
      <c r="A68" s="94"/>
      <c r="B68" s="94"/>
      <c r="C68" s="94"/>
      <c r="D68" s="112">
        <v>-700000</v>
      </c>
      <c r="E68" s="41" t="s">
        <v>4109</v>
      </c>
      <c r="F68" s="94"/>
      <c r="G68" s="94"/>
      <c r="H68" s="94"/>
      <c r="I68" s="94"/>
      <c r="J68" s="94"/>
      <c r="K68" s="94"/>
      <c r="L68" s="94"/>
      <c r="M68" s="94"/>
      <c r="N68" s="94"/>
      <c r="O68" s="94"/>
      <c r="P68" s="94"/>
      <c r="Q68" s="94"/>
      <c r="R68" s="94"/>
      <c r="S68" s="94"/>
      <c r="T68" s="94"/>
    </row>
    <row r="69" spans="1:20">
      <c r="A69" s="94"/>
      <c r="B69" s="94"/>
      <c r="C69" s="94"/>
      <c r="D69" s="112">
        <v>5000000</v>
      </c>
      <c r="E69" s="41" t="s">
        <v>4111</v>
      </c>
      <c r="F69" s="94"/>
      <c r="G69" s="94"/>
      <c r="H69" s="94"/>
      <c r="I69" s="94"/>
      <c r="J69" s="94"/>
      <c r="K69" s="94"/>
      <c r="L69" s="94"/>
      <c r="M69" s="94"/>
      <c r="N69" s="94"/>
      <c r="O69" s="94"/>
      <c r="P69" s="94"/>
      <c r="Q69" s="94"/>
      <c r="R69" s="94"/>
      <c r="S69" s="94"/>
      <c r="T69" s="94"/>
    </row>
    <row r="70" spans="1:20">
      <c r="A70" s="94"/>
      <c r="B70" s="94"/>
      <c r="C70" s="94"/>
      <c r="D70" s="112">
        <v>99000</v>
      </c>
      <c r="E70" s="41" t="s">
        <v>4112</v>
      </c>
      <c r="F70" s="94"/>
      <c r="G70" s="94"/>
      <c r="H70" s="94"/>
      <c r="I70" s="94"/>
      <c r="J70" s="94"/>
      <c r="K70" s="94"/>
      <c r="L70" s="94"/>
      <c r="M70" s="94"/>
      <c r="N70" s="94"/>
      <c r="O70" s="94"/>
      <c r="P70" s="94"/>
      <c r="Q70" s="94"/>
      <c r="R70" s="94"/>
      <c r="S70" s="94"/>
      <c r="T70" s="94"/>
    </row>
    <row r="71" spans="1:20">
      <c r="A71" s="94"/>
      <c r="B71" s="94"/>
      <c r="C71" s="94"/>
      <c r="D71" s="112">
        <v>-403089</v>
      </c>
      <c r="E71" s="41" t="s">
        <v>4123</v>
      </c>
      <c r="F71" s="94"/>
      <c r="G71" s="94"/>
      <c r="H71" s="94"/>
      <c r="I71" s="94"/>
      <c r="J71" s="94"/>
      <c r="K71" s="94"/>
      <c r="L71" s="94"/>
      <c r="M71" s="94"/>
      <c r="N71" s="94"/>
      <c r="O71" s="94"/>
      <c r="P71" s="94"/>
      <c r="Q71" s="94"/>
      <c r="R71" s="94"/>
      <c r="S71" s="94"/>
      <c r="T71" s="94"/>
    </row>
    <row r="72" spans="1:20">
      <c r="A72" s="94"/>
      <c r="B72" s="94"/>
      <c r="C72" s="94"/>
      <c r="D72" s="112">
        <v>-119170</v>
      </c>
      <c r="E72" s="41" t="s">
        <v>4124</v>
      </c>
      <c r="F72" s="94"/>
      <c r="G72" s="94"/>
      <c r="H72" s="94"/>
      <c r="I72" s="94"/>
      <c r="J72" s="94"/>
      <c r="K72" s="94"/>
      <c r="L72" s="94"/>
      <c r="M72" s="94"/>
      <c r="N72" s="94"/>
      <c r="O72" s="94"/>
      <c r="P72" s="94"/>
      <c r="Q72" s="94"/>
      <c r="R72" s="94"/>
      <c r="S72" s="94"/>
      <c r="T72" s="94"/>
    </row>
    <row r="73" spans="1:20">
      <c r="A73" s="94"/>
      <c r="B73" s="94"/>
      <c r="C73" s="94"/>
      <c r="D73" s="112">
        <v>-3000000</v>
      </c>
      <c r="E73" s="41" t="s">
        <v>4126</v>
      </c>
      <c r="F73" s="94"/>
      <c r="G73" s="94"/>
      <c r="H73" s="94"/>
      <c r="I73" s="94"/>
      <c r="J73" s="94"/>
      <c r="K73" s="94"/>
      <c r="L73" s="94"/>
      <c r="M73" s="94"/>
      <c r="N73" s="94"/>
      <c r="O73" s="94"/>
      <c r="P73" s="94"/>
      <c r="Q73" s="94"/>
      <c r="R73" s="94"/>
      <c r="S73" s="94"/>
      <c r="T73" s="94"/>
    </row>
    <row r="74" spans="1:20">
      <c r="A74" s="94"/>
      <c r="B74" s="94"/>
      <c r="C74" s="94"/>
      <c r="D74" s="112">
        <v>73355</v>
      </c>
      <c r="E74" s="41" t="s">
        <v>4127</v>
      </c>
      <c r="F74" s="94"/>
      <c r="G74" s="94"/>
      <c r="H74" s="94"/>
      <c r="I74" s="94"/>
      <c r="J74" s="94"/>
      <c r="K74" s="94"/>
      <c r="L74" s="94"/>
      <c r="M74" s="94"/>
      <c r="N74" s="94"/>
      <c r="O74" s="94"/>
      <c r="P74" s="94"/>
      <c r="Q74" s="94"/>
      <c r="R74" s="94"/>
      <c r="S74" s="94"/>
      <c r="T74" s="94"/>
    </row>
    <row r="75" spans="1:20">
      <c r="A75" s="94"/>
      <c r="B75" s="94"/>
      <c r="C75" s="94"/>
      <c r="D75" s="112">
        <v>-45640000</v>
      </c>
      <c r="E75" s="41" t="s">
        <v>4128</v>
      </c>
      <c r="F75" s="94"/>
      <c r="G75" s="94"/>
      <c r="H75" s="94"/>
      <c r="I75" s="94"/>
      <c r="J75" s="94"/>
      <c r="K75" s="94"/>
      <c r="L75" s="94"/>
      <c r="M75" s="94"/>
      <c r="N75" s="94"/>
      <c r="O75" s="94"/>
      <c r="P75" s="94"/>
      <c r="Q75" s="94"/>
      <c r="R75" s="94"/>
      <c r="S75" s="94"/>
      <c r="T75" s="94"/>
    </row>
    <row r="76" spans="1:20">
      <c r="A76" s="94"/>
      <c r="B76" s="94"/>
      <c r="C76" s="94"/>
      <c r="D76" s="112">
        <v>5000</v>
      </c>
      <c r="E76" s="41" t="s">
        <v>4133</v>
      </c>
      <c r="F76" s="94"/>
      <c r="G76" s="94"/>
      <c r="H76" s="94"/>
      <c r="I76" s="94"/>
      <c r="J76" s="94"/>
      <c r="K76" s="94"/>
      <c r="L76" s="94"/>
      <c r="M76" s="94"/>
      <c r="N76" s="94"/>
      <c r="O76" s="94"/>
      <c r="P76" s="94"/>
      <c r="Q76" s="94"/>
      <c r="R76" s="94"/>
      <c r="S76" s="94"/>
      <c r="T76" s="94"/>
    </row>
    <row r="77" spans="1:20">
      <c r="A77" s="94"/>
      <c r="B77" s="94"/>
      <c r="C77" s="94"/>
      <c r="D77" s="112">
        <v>1405883</v>
      </c>
      <c r="E77" s="41" t="s">
        <v>4135</v>
      </c>
      <c r="F77" s="94"/>
      <c r="G77" s="94" t="s">
        <v>25</v>
      </c>
      <c r="H77" s="94"/>
      <c r="I77" s="94"/>
      <c r="J77" s="94"/>
      <c r="K77" s="94"/>
      <c r="L77" s="94"/>
      <c r="M77" s="94"/>
      <c r="N77" s="94"/>
      <c r="O77" s="94"/>
      <c r="P77" s="94"/>
      <c r="Q77" s="94"/>
      <c r="R77" s="94"/>
      <c r="S77" s="94"/>
      <c r="T77" s="94"/>
    </row>
    <row r="78" spans="1:20">
      <c r="A78" s="94"/>
      <c r="B78" s="94"/>
      <c r="C78" s="94"/>
      <c r="D78" s="112">
        <v>938574</v>
      </c>
      <c r="E78" s="41" t="s">
        <v>4136</v>
      </c>
      <c r="F78" s="94"/>
      <c r="G78" s="94"/>
      <c r="H78" s="94"/>
      <c r="I78" s="94"/>
    </row>
    <row r="79" spans="1:20">
      <c r="A79" s="94"/>
      <c r="B79" s="94"/>
      <c r="C79" s="94"/>
      <c r="D79" s="112">
        <v>-420825</v>
      </c>
      <c r="E79" s="41" t="s">
        <v>4137</v>
      </c>
      <c r="F79" s="94"/>
      <c r="G79" s="94"/>
      <c r="H79" s="94"/>
      <c r="I79" s="94"/>
    </row>
    <row r="80" spans="1:20">
      <c r="A80" s="94"/>
      <c r="B80" s="94"/>
      <c r="C80" s="94"/>
      <c r="D80" s="112">
        <v>-160000</v>
      </c>
      <c r="E80" s="41" t="s">
        <v>4138</v>
      </c>
      <c r="F80" s="94"/>
      <c r="G80" s="94"/>
      <c r="H80" s="94"/>
      <c r="I80" s="94"/>
    </row>
    <row r="81" spans="1:9">
      <c r="A81" s="94"/>
      <c r="B81" s="94"/>
      <c r="C81" s="94"/>
      <c r="D81" s="112">
        <v>2260000</v>
      </c>
      <c r="E81" s="41" t="s">
        <v>4140</v>
      </c>
      <c r="F81" s="94"/>
      <c r="G81" s="94"/>
      <c r="H81" s="94"/>
      <c r="I81" s="94"/>
    </row>
    <row r="82" spans="1:9">
      <c r="A82" s="94"/>
      <c r="B82" s="94"/>
      <c r="C82" s="94"/>
      <c r="D82" s="112">
        <v>-150000</v>
      </c>
      <c r="E82" s="41" t="s">
        <v>4144</v>
      </c>
      <c r="F82" s="94"/>
      <c r="G82" s="94"/>
      <c r="H82" s="94"/>
      <c r="I82" s="94"/>
    </row>
    <row r="83" spans="1:9">
      <c r="D83" s="112">
        <v>-150000</v>
      </c>
      <c r="E83" s="41" t="s">
        <v>4145</v>
      </c>
    </row>
    <row r="84" spans="1:9">
      <c r="D84" s="112">
        <v>-150000</v>
      </c>
      <c r="E84" s="41" t="s">
        <v>1199</v>
      </c>
    </row>
    <row r="85" spans="1:9">
      <c r="D85" s="112">
        <v>43500</v>
      </c>
      <c r="E85" s="41" t="s">
        <v>4148</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4143</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4149</v>
      </c>
      <c r="B3" s="18">
        <v>830000</v>
      </c>
      <c r="C3" s="18">
        <v>0</v>
      </c>
      <c r="D3" s="115">
        <f t="shared" ref="D3:D26" si="0">B3-C3</f>
        <v>830000</v>
      </c>
      <c r="E3" s="20" t="s">
        <v>4151</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4162</v>
      </c>
      <c r="B4" s="18">
        <v>-52440</v>
      </c>
      <c r="C4" s="18">
        <v>0</v>
      </c>
      <c r="D4" s="111">
        <f t="shared" si="0"/>
        <v>-52440</v>
      </c>
      <c r="E4" s="97" t="s">
        <v>4164</v>
      </c>
      <c r="F4" s="94">
        <v>28</v>
      </c>
      <c r="G4" s="94">
        <f t="shared" si="1"/>
        <v>-1468320</v>
      </c>
      <c r="H4" s="94">
        <f t="shared" si="2"/>
        <v>0</v>
      </c>
      <c r="I4" s="94">
        <f t="shared" si="3"/>
        <v>-1468320</v>
      </c>
      <c r="J4" s="94"/>
      <c r="K4" s="94"/>
      <c r="L4" s="94"/>
      <c r="M4" s="94"/>
      <c r="N4" s="94"/>
      <c r="P4" s="94"/>
      <c r="Q4" s="94"/>
      <c r="R4" s="94"/>
      <c r="S4" s="94"/>
      <c r="T4" s="94"/>
    </row>
    <row r="5" spans="1:20">
      <c r="A5" s="30" t="s">
        <v>4165</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4166</v>
      </c>
      <c r="B6" s="18">
        <v>-200000</v>
      </c>
      <c r="C6" s="18">
        <v>0</v>
      </c>
      <c r="D6" s="111">
        <f t="shared" si="0"/>
        <v>-200000</v>
      </c>
      <c r="E6" s="19" t="s">
        <v>4167</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4168</v>
      </c>
      <c r="B7" s="18">
        <v>-28000</v>
      </c>
      <c r="C7" s="18">
        <v>0</v>
      </c>
      <c r="D7" s="111">
        <f t="shared" si="0"/>
        <v>-28000</v>
      </c>
      <c r="E7" s="19" t="s">
        <v>1022</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4169</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4169</v>
      </c>
      <c r="B9" s="18">
        <v>-30000</v>
      </c>
      <c r="C9" s="18">
        <v>0</v>
      </c>
      <c r="D9" s="111">
        <f t="shared" si="0"/>
        <v>-30000</v>
      </c>
      <c r="E9" s="21" t="s">
        <v>4170</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4049</v>
      </c>
      <c r="B10" s="18">
        <v>-178000</v>
      </c>
      <c r="C10" s="18">
        <v>0</v>
      </c>
      <c r="D10" s="111">
        <f t="shared" si="0"/>
        <v>-178000</v>
      </c>
      <c r="E10" s="19" t="s">
        <v>4173</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4174</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4142</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4178</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4183</v>
      </c>
      <c r="B14" s="18">
        <v>1548000</v>
      </c>
      <c r="C14" s="18">
        <v>0</v>
      </c>
      <c r="D14" s="111">
        <f t="shared" si="0"/>
        <v>1548000</v>
      </c>
      <c r="E14" s="20" t="s">
        <v>4219</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4214</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4220</v>
      </c>
      <c r="B16" s="18">
        <v>-5000</v>
      </c>
      <c r="C16" s="18">
        <v>-2500</v>
      </c>
      <c r="D16" s="111">
        <f t="shared" si="0"/>
        <v>-2500</v>
      </c>
      <c r="E16" s="20" t="s">
        <v>4221</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4231</v>
      </c>
      <c r="B17" s="18">
        <v>-190000</v>
      </c>
      <c r="C17" s="18">
        <v>0</v>
      </c>
      <c r="D17" s="111">
        <f t="shared" si="0"/>
        <v>-190000</v>
      </c>
      <c r="E17" s="20" t="s">
        <v>4232</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4258</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4110</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4110</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4113</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4113</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4152</v>
      </c>
      <c r="F34" s="94"/>
      <c r="G34" s="9" t="s">
        <v>1020</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4153</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4154</v>
      </c>
      <c r="F36" s="94"/>
      <c r="G36" s="94"/>
      <c r="H36" s="94"/>
      <c r="I36" s="94"/>
      <c r="J36" s="94"/>
      <c r="K36" s="94"/>
      <c r="L36" s="94"/>
      <c r="M36" s="94"/>
      <c r="N36" s="94"/>
      <c r="O36" s="94"/>
      <c r="P36" s="94"/>
      <c r="Q36" s="94"/>
      <c r="R36" s="94"/>
      <c r="S36" s="94"/>
      <c r="T36" s="94"/>
    </row>
    <row r="37" spans="1:20">
      <c r="A37" s="94"/>
      <c r="B37" s="94"/>
      <c r="C37" s="94"/>
      <c r="D37" s="112">
        <v>-196956</v>
      </c>
      <c r="E37" s="41" t="s">
        <v>4155</v>
      </c>
      <c r="F37" s="94"/>
      <c r="G37" s="94"/>
      <c r="H37" s="94"/>
      <c r="I37" s="94"/>
      <c r="J37" s="94"/>
      <c r="K37" s="94"/>
      <c r="L37" s="94"/>
      <c r="M37" s="94"/>
      <c r="N37" s="94"/>
      <c r="O37" s="94"/>
      <c r="P37" s="94"/>
      <c r="Q37" s="94"/>
      <c r="R37" s="94"/>
      <c r="S37" s="94"/>
      <c r="T37" s="94"/>
    </row>
    <row r="38" spans="1:20">
      <c r="A38" s="94"/>
      <c r="B38" s="94"/>
      <c r="C38" s="94"/>
      <c r="D38" s="112">
        <v>-150000</v>
      </c>
      <c r="E38" s="41" t="s">
        <v>4157</v>
      </c>
      <c r="F38" s="94"/>
      <c r="G38" s="94"/>
      <c r="H38" s="94"/>
      <c r="I38" s="94"/>
      <c r="J38" s="94"/>
      <c r="K38" s="94"/>
      <c r="L38" s="94"/>
      <c r="M38" s="94"/>
      <c r="N38" s="94"/>
      <c r="O38" s="94"/>
      <c r="P38" s="94"/>
      <c r="Q38" s="94"/>
      <c r="R38" s="94"/>
      <c r="S38" s="94"/>
      <c r="T38" s="94"/>
    </row>
    <row r="39" spans="1:20">
      <c r="A39" s="94"/>
      <c r="B39" s="94"/>
      <c r="C39" s="94"/>
      <c r="D39" s="112">
        <v>1392908</v>
      </c>
      <c r="E39" s="41" t="s">
        <v>4158</v>
      </c>
      <c r="F39" s="94"/>
      <c r="G39" s="94"/>
      <c r="H39" s="94"/>
      <c r="I39" s="94"/>
      <c r="J39" s="94"/>
      <c r="K39" s="94"/>
      <c r="L39" s="94"/>
      <c r="M39" s="94"/>
      <c r="N39" s="94"/>
      <c r="O39" s="94"/>
      <c r="P39" s="94"/>
      <c r="Q39" s="94"/>
      <c r="R39" s="94"/>
      <c r="S39" s="94"/>
      <c r="T39" s="94"/>
    </row>
    <row r="40" spans="1:20">
      <c r="A40" s="94"/>
      <c r="B40" s="94"/>
      <c r="C40" s="94"/>
      <c r="D40" s="112">
        <v>-3600000</v>
      </c>
      <c r="E40" s="41" t="s">
        <v>4163</v>
      </c>
      <c r="F40" s="94"/>
      <c r="G40" s="94"/>
      <c r="H40" s="94"/>
      <c r="I40" s="94"/>
      <c r="J40" s="94"/>
      <c r="K40" s="94"/>
      <c r="L40" s="94"/>
      <c r="M40" s="94"/>
      <c r="N40" s="94"/>
      <c r="O40" s="94"/>
      <c r="P40" s="94"/>
      <c r="Q40" s="94"/>
      <c r="R40" s="94"/>
      <c r="S40" s="94"/>
      <c r="T40" s="94"/>
    </row>
    <row r="41" spans="1:20">
      <c r="A41" s="94"/>
      <c r="B41" s="94"/>
      <c r="C41" s="94"/>
      <c r="D41" s="112">
        <v>52440</v>
      </c>
      <c r="E41" s="41" t="s">
        <v>4018</v>
      </c>
      <c r="F41" s="94"/>
      <c r="G41" s="94"/>
      <c r="H41" s="94"/>
      <c r="I41" s="94"/>
      <c r="J41" s="94"/>
      <c r="K41" s="94"/>
      <c r="L41" s="94"/>
      <c r="M41" s="94"/>
      <c r="N41" s="94"/>
      <c r="O41" s="94"/>
      <c r="P41" s="94"/>
      <c r="Q41" s="94"/>
      <c r="R41" s="94"/>
      <c r="S41" s="94"/>
      <c r="T41" s="94"/>
    </row>
    <row r="42" spans="1:20">
      <c r="A42" s="94"/>
      <c r="B42" s="94"/>
      <c r="C42" s="94"/>
      <c r="D42" s="112">
        <v>51100</v>
      </c>
      <c r="E42" s="41" t="s">
        <v>3757</v>
      </c>
      <c r="F42" s="94"/>
      <c r="G42" s="94"/>
      <c r="H42" s="94"/>
      <c r="I42" s="94"/>
      <c r="J42" s="94"/>
      <c r="K42" s="94"/>
      <c r="L42" s="94"/>
      <c r="M42" s="94"/>
      <c r="N42" s="94"/>
      <c r="O42" s="94"/>
      <c r="P42" s="94"/>
      <c r="Q42" s="94"/>
      <c r="R42" s="94"/>
      <c r="S42" s="94"/>
      <c r="T42" s="94"/>
    </row>
    <row r="43" spans="1:20">
      <c r="A43" s="94"/>
      <c r="B43" s="94"/>
      <c r="C43" s="94"/>
      <c r="D43" s="112">
        <v>117000</v>
      </c>
      <c r="E43" s="41" t="s">
        <v>4018</v>
      </c>
      <c r="F43" s="94"/>
      <c r="G43" s="94"/>
      <c r="H43" s="94"/>
      <c r="I43" s="94"/>
      <c r="J43" s="94"/>
      <c r="K43" s="94"/>
      <c r="L43" s="94"/>
      <c r="M43" s="94"/>
      <c r="N43" s="94"/>
      <c r="O43" s="94"/>
      <c r="P43" s="94"/>
      <c r="Q43" s="94"/>
      <c r="R43" s="94"/>
      <c r="S43" s="94"/>
      <c r="T43" s="94"/>
    </row>
    <row r="44" spans="1:20">
      <c r="A44" s="94"/>
      <c r="B44" s="94"/>
      <c r="C44" s="94"/>
      <c r="D44" s="112">
        <v>93000</v>
      </c>
      <c r="E44" s="41" t="s">
        <v>4171</v>
      </c>
      <c r="F44" s="94"/>
      <c r="G44" s="94"/>
      <c r="H44" s="94"/>
      <c r="I44" s="94"/>
      <c r="J44" s="94"/>
      <c r="K44" s="94"/>
      <c r="L44" s="94"/>
      <c r="M44" s="94"/>
      <c r="N44" s="94"/>
      <c r="O44" s="94"/>
      <c r="P44" s="94"/>
      <c r="Q44" s="94"/>
      <c r="R44" s="94"/>
      <c r="S44" s="94"/>
      <c r="T44" s="94"/>
    </row>
    <row r="45" spans="1:20">
      <c r="A45" s="94"/>
      <c r="B45" s="94"/>
      <c r="C45" s="94"/>
      <c r="D45" s="112">
        <v>178000</v>
      </c>
      <c r="E45" s="41" t="s">
        <v>4173</v>
      </c>
      <c r="F45" s="94"/>
      <c r="G45" s="94"/>
      <c r="H45" s="94"/>
      <c r="I45" s="94"/>
      <c r="J45" s="94"/>
      <c r="K45" s="94"/>
      <c r="L45" s="94"/>
      <c r="M45" s="94"/>
      <c r="N45" s="94"/>
      <c r="O45" s="94"/>
      <c r="P45" s="94"/>
      <c r="Q45" s="94"/>
      <c r="R45" s="94"/>
      <c r="S45" s="94"/>
      <c r="T45" s="94"/>
    </row>
    <row r="46" spans="1:20">
      <c r="A46" s="94"/>
      <c r="B46" s="94"/>
      <c r="C46" s="94"/>
      <c r="D46" s="112">
        <v>45610</v>
      </c>
      <c r="E46" s="41" t="s">
        <v>4175</v>
      </c>
      <c r="F46" s="94"/>
      <c r="G46" s="94"/>
      <c r="H46" s="94"/>
      <c r="I46" s="94"/>
      <c r="J46" s="94"/>
      <c r="K46" s="94"/>
      <c r="L46" s="94"/>
      <c r="M46" s="94"/>
      <c r="N46" s="94"/>
      <c r="O46" s="94"/>
      <c r="P46" s="94"/>
      <c r="Q46" s="94"/>
      <c r="R46" s="94"/>
      <c r="S46" s="94"/>
      <c r="T46" s="94"/>
    </row>
    <row r="47" spans="1:20">
      <c r="A47" s="94"/>
      <c r="B47" s="94"/>
      <c r="C47" s="94"/>
      <c r="D47" s="112">
        <v>84000</v>
      </c>
      <c r="E47" s="41" t="s">
        <v>4177</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4177</v>
      </c>
      <c r="F48" s="112"/>
      <c r="G48" s="41"/>
      <c r="H48" s="94"/>
      <c r="I48" s="94"/>
      <c r="J48" s="94"/>
      <c r="K48" s="94"/>
      <c r="L48" s="94"/>
      <c r="M48" s="94"/>
      <c r="N48" s="94"/>
      <c r="O48" s="94"/>
      <c r="P48" s="94"/>
      <c r="Q48" s="94"/>
      <c r="R48" s="94"/>
      <c r="S48" s="94"/>
      <c r="T48" s="94"/>
    </row>
    <row r="49" spans="1:20">
      <c r="A49" s="94"/>
      <c r="B49" s="94"/>
      <c r="C49" s="94"/>
      <c r="D49" s="112">
        <v>-64000</v>
      </c>
      <c r="E49" s="41" t="s">
        <v>4179</v>
      </c>
      <c r="F49" s="112"/>
      <c r="G49" s="41"/>
      <c r="H49" s="94"/>
      <c r="I49" s="94"/>
      <c r="J49" s="94"/>
      <c r="K49" s="94"/>
      <c r="L49" s="94"/>
      <c r="M49" s="94"/>
      <c r="N49" s="94"/>
      <c r="O49" s="94"/>
      <c r="P49" s="94"/>
      <c r="Q49" s="94"/>
      <c r="R49" s="94"/>
      <c r="S49" s="94"/>
      <c r="T49" s="94"/>
    </row>
    <row r="50" spans="1:20">
      <c r="A50" s="94"/>
      <c r="B50" s="94"/>
      <c r="C50" s="94"/>
      <c r="D50" s="112">
        <v>-50000</v>
      </c>
      <c r="E50" s="41" t="s">
        <v>4181</v>
      </c>
      <c r="F50" s="112"/>
      <c r="G50" s="41"/>
      <c r="H50" s="94"/>
      <c r="I50" s="94"/>
      <c r="J50" s="94"/>
      <c r="K50" s="94"/>
      <c r="L50" s="94"/>
      <c r="M50" s="94"/>
      <c r="N50" s="94"/>
      <c r="O50" s="94"/>
      <c r="P50" s="94"/>
      <c r="Q50" s="94"/>
      <c r="R50" s="94"/>
      <c r="S50" s="94"/>
      <c r="T50" s="94"/>
    </row>
    <row r="51" spans="1:20">
      <c r="A51" s="94"/>
      <c r="B51" s="94"/>
      <c r="C51" s="94"/>
      <c r="D51" s="112">
        <v>67000</v>
      </c>
      <c r="E51" s="41" t="s">
        <v>4184</v>
      </c>
      <c r="F51" s="94"/>
      <c r="G51" s="94"/>
      <c r="H51" s="94"/>
      <c r="I51" s="94"/>
      <c r="J51" s="94"/>
      <c r="K51" s="94"/>
      <c r="L51" s="94"/>
      <c r="M51" s="94"/>
      <c r="N51" s="94"/>
      <c r="O51" s="94"/>
      <c r="P51" s="94"/>
      <c r="Q51" s="94"/>
      <c r="R51" s="94"/>
      <c r="S51" s="94"/>
      <c r="T51" s="94"/>
    </row>
    <row r="52" spans="1:20">
      <c r="A52" s="94"/>
      <c r="B52" s="94"/>
      <c r="C52" s="94"/>
      <c r="D52" s="112">
        <v>500000</v>
      </c>
      <c r="E52" s="41" t="s">
        <v>4212</v>
      </c>
      <c r="F52" s="94"/>
      <c r="G52" s="94"/>
      <c r="H52" s="94"/>
      <c r="I52" s="94"/>
      <c r="J52" s="94"/>
      <c r="K52" s="94"/>
      <c r="L52" s="94"/>
      <c r="M52" s="94"/>
      <c r="N52" s="94"/>
      <c r="O52" s="94"/>
      <c r="P52" s="94"/>
      <c r="Q52" s="94"/>
      <c r="R52" s="94"/>
      <c r="S52" s="94"/>
      <c r="T52" s="94"/>
    </row>
    <row r="53" spans="1:20">
      <c r="A53" s="94"/>
      <c r="B53" s="94"/>
      <c r="C53" s="94"/>
      <c r="D53" s="112">
        <v>-89370</v>
      </c>
      <c r="E53" s="41" t="s">
        <v>4217</v>
      </c>
      <c r="F53" s="94"/>
      <c r="G53" s="94"/>
      <c r="H53" s="94"/>
      <c r="I53" s="94"/>
      <c r="J53" s="94"/>
      <c r="K53" s="94"/>
      <c r="L53" s="94"/>
      <c r="M53" s="94"/>
      <c r="N53" s="94"/>
      <c r="O53" s="94"/>
      <c r="P53" s="94"/>
      <c r="Q53" s="94"/>
      <c r="R53" s="94"/>
      <c r="S53" s="94"/>
      <c r="T53" s="94"/>
    </row>
    <row r="54" spans="1:20">
      <c r="A54" s="94"/>
      <c r="B54" s="94"/>
      <c r="C54" s="94"/>
      <c r="D54" s="112">
        <v>-91734</v>
      </c>
      <c r="E54" s="41" t="s">
        <v>4218</v>
      </c>
      <c r="F54" s="94"/>
      <c r="G54" s="94"/>
      <c r="H54" s="94"/>
      <c r="I54" s="94"/>
      <c r="J54" s="94"/>
      <c r="K54" s="94"/>
      <c r="L54" s="94"/>
      <c r="M54" s="94"/>
      <c r="N54" s="94"/>
      <c r="O54" s="94"/>
      <c r="P54" s="94"/>
      <c r="Q54" s="94"/>
      <c r="R54" s="94"/>
      <c r="S54" s="94"/>
      <c r="T54" s="94"/>
    </row>
    <row r="55" spans="1:20">
      <c r="A55" s="94"/>
      <c r="B55" s="94"/>
      <c r="C55" s="94"/>
      <c r="D55" s="112">
        <v>-3541</v>
      </c>
      <c r="E55" s="41" t="s">
        <v>4229</v>
      </c>
      <c r="F55" s="94"/>
      <c r="G55" s="94"/>
      <c r="H55" s="94"/>
      <c r="I55" s="94"/>
      <c r="J55" s="94"/>
      <c r="K55" s="94"/>
      <c r="L55" s="94"/>
      <c r="M55" s="94"/>
      <c r="N55" s="94"/>
      <c r="O55" s="94"/>
      <c r="P55" s="94"/>
      <c r="Q55" s="94"/>
      <c r="R55" s="94"/>
      <c r="S55" s="94"/>
      <c r="T55" s="94"/>
    </row>
    <row r="56" spans="1:20">
      <c r="A56" s="94"/>
      <c r="B56" s="94"/>
      <c r="C56" s="94"/>
      <c r="D56" s="112">
        <v>-124000</v>
      </c>
      <c r="E56" s="41" t="s">
        <v>4230</v>
      </c>
      <c r="F56" s="94"/>
      <c r="G56" s="94"/>
      <c r="H56" s="94"/>
      <c r="I56" s="94"/>
      <c r="J56" s="94"/>
      <c r="K56" s="94"/>
      <c r="L56" s="94"/>
      <c r="M56" s="94"/>
      <c r="N56" s="94"/>
      <c r="O56" s="94"/>
      <c r="P56" s="94"/>
      <c r="Q56" s="94"/>
      <c r="R56" s="94"/>
      <c r="S56" s="94"/>
      <c r="T56" s="94"/>
    </row>
    <row r="57" spans="1:20">
      <c r="A57" s="94"/>
      <c r="B57" s="94"/>
      <c r="C57" s="94"/>
      <c r="D57" s="112">
        <v>793000</v>
      </c>
      <c r="E57" s="41" t="s">
        <v>4234</v>
      </c>
      <c r="F57" s="94"/>
      <c r="G57" s="94"/>
      <c r="H57" s="94"/>
      <c r="I57" s="94"/>
      <c r="J57" s="94"/>
      <c r="K57" s="94"/>
      <c r="L57" s="94"/>
      <c r="M57" s="94"/>
      <c r="N57" s="94"/>
      <c r="O57" s="94"/>
      <c r="P57" s="94"/>
      <c r="Q57" s="94"/>
      <c r="R57" s="94"/>
      <c r="S57" s="94"/>
      <c r="T57" s="94"/>
    </row>
    <row r="58" spans="1:20">
      <c r="A58" s="94"/>
      <c r="B58" s="94"/>
      <c r="C58" s="94"/>
      <c r="D58" s="112">
        <v>-150000</v>
      </c>
      <c r="E58" s="41" t="s">
        <v>4235</v>
      </c>
      <c r="F58" s="94"/>
      <c r="G58" s="94"/>
      <c r="H58" s="94"/>
      <c r="I58" s="94"/>
      <c r="J58" s="94"/>
      <c r="K58" s="94"/>
      <c r="L58" s="94"/>
      <c r="M58" s="94"/>
      <c r="N58" s="94"/>
      <c r="O58" s="94"/>
      <c r="P58" s="94"/>
      <c r="Q58" s="94"/>
      <c r="R58" s="94"/>
      <c r="S58" s="94"/>
      <c r="T58" s="94"/>
    </row>
    <row r="59" spans="1:20">
      <c r="A59" s="94"/>
      <c r="B59" s="94"/>
      <c r="C59" s="94"/>
      <c r="D59" s="112">
        <v>-164000</v>
      </c>
      <c r="E59" s="41" t="s">
        <v>4236</v>
      </c>
      <c r="F59" s="94"/>
      <c r="G59" s="94"/>
      <c r="H59" s="94"/>
      <c r="I59" s="94"/>
      <c r="J59" s="94"/>
      <c r="K59" s="94"/>
      <c r="L59" s="94"/>
      <c r="M59" s="94"/>
      <c r="N59" s="94"/>
      <c r="O59" s="94"/>
      <c r="P59" s="94"/>
      <c r="Q59" s="94"/>
      <c r="R59" s="94"/>
      <c r="S59" s="94"/>
      <c r="T59" s="94"/>
    </row>
    <row r="60" spans="1:20">
      <c r="A60" s="94"/>
      <c r="B60" s="94"/>
      <c r="C60" s="94"/>
      <c r="D60" s="112">
        <v>2574</v>
      </c>
      <c r="E60" s="41" t="s">
        <v>4237</v>
      </c>
      <c r="F60" s="94"/>
      <c r="G60" s="94"/>
      <c r="H60" s="94"/>
      <c r="I60" s="94"/>
      <c r="J60" s="94"/>
      <c r="K60" s="94"/>
      <c r="L60" s="94"/>
      <c r="M60" s="94"/>
      <c r="N60" s="94"/>
      <c r="O60" s="94"/>
      <c r="P60" s="94"/>
      <c r="Q60" s="94"/>
      <c r="R60" s="94"/>
      <c r="S60" s="94"/>
      <c r="T60" s="94"/>
    </row>
    <row r="61" spans="1:20">
      <c r="A61" s="94"/>
      <c r="B61" s="94"/>
      <c r="C61" s="94"/>
      <c r="D61" s="112">
        <v>-85000</v>
      </c>
      <c r="E61" s="41" t="s">
        <v>4238</v>
      </c>
      <c r="F61" s="94"/>
      <c r="G61" s="94"/>
      <c r="H61" s="94"/>
      <c r="I61" s="94"/>
      <c r="J61" s="94"/>
      <c r="K61" s="94"/>
      <c r="L61" s="94"/>
      <c r="M61" s="94"/>
      <c r="N61" s="94"/>
      <c r="O61" s="94"/>
      <c r="P61" s="94"/>
      <c r="Q61" s="94"/>
      <c r="R61" s="94"/>
      <c r="S61" s="94"/>
      <c r="T61" s="94"/>
    </row>
    <row r="62" spans="1:20">
      <c r="A62" s="94"/>
      <c r="B62" s="94"/>
      <c r="C62" s="94"/>
      <c r="D62" s="112">
        <v>-18500</v>
      </c>
      <c r="E62" s="41" t="s">
        <v>4239</v>
      </c>
      <c r="F62" s="94"/>
      <c r="G62" s="94"/>
      <c r="H62" s="94"/>
      <c r="I62" s="94"/>
      <c r="J62" s="94"/>
      <c r="K62" s="94"/>
      <c r="L62" s="94"/>
      <c r="M62" s="94"/>
      <c r="N62" s="94"/>
      <c r="O62" s="94"/>
      <c r="P62" s="94"/>
      <c r="Q62" s="94"/>
      <c r="R62" s="94"/>
      <c r="S62" s="94"/>
      <c r="T62" s="94"/>
    </row>
    <row r="63" spans="1:20">
      <c r="A63" s="94"/>
      <c r="B63" s="94"/>
      <c r="C63" s="94"/>
      <c r="D63" s="112">
        <v>25000</v>
      </c>
      <c r="E63" s="41" t="s">
        <v>4240</v>
      </c>
      <c r="F63" s="94"/>
      <c r="G63" s="94"/>
      <c r="H63" s="94"/>
      <c r="I63" s="94"/>
      <c r="J63" s="94"/>
      <c r="K63" s="94"/>
      <c r="L63" s="94"/>
      <c r="M63" s="94"/>
      <c r="N63" s="94"/>
      <c r="O63" s="94"/>
      <c r="P63" s="94"/>
      <c r="Q63" s="94"/>
      <c r="R63" s="94"/>
      <c r="S63" s="94"/>
      <c r="T63" s="94"/>
    </row>
    <row r="64" spans="1:20">
      <c r="A64" s="94"/>
      <c r="B64" s="94"/>
      <c r="C64" s="94"/>
      <c r="D64" s="112">
        <v>170000</v>
      </c>
      <c r="E64" s="41" t="s">
        <v>4242</v>
      </c>
      <c r="F64" s="94"/>
      <c r="G64" s="94"/>
      <c r="H64" s="94" t="s">
        <v>25</v>
      </c>
      <c r="I64" s="94"/>
      <c r="J64" s="94"/>
      <c r="K64" s="94"/>
      <c r="L64" s="94"/>
      <c r="M64" s="94"/>
      <c r="N64" s="94"/>
      <c r="O64" s="94"/>
      <c r="P64" s="94"/>
      <c r="Q64" s="94"/>
      <c r="R64" s="94"/>
      <c r="S64" s="94"/>
      <c r="T64" s="94"/>
    </row>
    <row r="65" spans="1:20">
      <c r="A65" s="94"/>
      <c r="B65" s="94"/>
      <c r="C65" s="94"/>
      <c r="D65" s="112">
        <v>-45000</v>
      </c>
      <c r="E65" s="41" t="s">
        <v>4243</v>
      </c>
      <c r="F65" s="94"/>
      <c r="G65" s="94"/>
      <c r="H65" s="94"/>
      <c r="I65" s="94"/>
      <c r="J65" s="94"/>
      <c r="K65" s="94"/>
      <c r="L65" s="94"/>
      <c r="M65" s="94"/>
      <c r="N65" s="94"/>
      <c r="O65" s="94"/>
      <c r="P65" s="94"/>
      <c r="Q65" s="94"/>
      <c r="R65" s="94"/>
      <c r="S65" s="94"/>
      <c r="T65" s="94"/>
    </row>
    <row r="66" spans="1:20">
      <c r="A66" s="94"/>
      <c r="B66" s="94"/>
      <c r="C66" s="94"/>
      <c r="D66" s="112">
        <v>-89000</v>
      </c>
      <c r="E66" s="41" t="s">
        <v>4244</v>
      </c>
      <c r="F66" s="94"/>
      <c r="G66" s="94"/>
      <c r="H66" s="94"/>
      <c r="I66" s="94"/>
      <c r="J66" s="94"/>
      <c r="K66" s="94"/>
      <c r="L66" s="94"/>
      <c r="M66" s="94"/>
      <c r="N66" s="94"/>
      <c r="O66" s="94"/>
      <c r="P66" s="94"/>
      <c r="Q66" s="94"/>
      <c r="R66" s="94"/>
      <c r="S66" s="94"/>
      <c r="T66" s="94"/>
    </row>
    <row r="67" spans="1:20">
      <c r="A67" s="94"/>
      <c r="B67" s="94"/>
      <c r="C67" s="94"/>
      <c r="D67" s="112">
        <v>300000</v>
      </c>
      <c r="E67" s="41" t="s">
        <v>4254</v>
      </c>
      <c r="F67" s="94"/>
      <c r="G67" s="94"/>
      <c r="H67" s="94"/>
      <c r="I67" s="94"/>
      <c r="J67" s="94"/>
      <c r="K67" s="94"/>
      <c r="L67" s="94"/>
      <c r="M67" s="94"/>
      <c r="N67" s="94"/>
      <c r="O67" s="94"/>
      <c r="P67" s="94"/>
      <c r="Q67" s="94"/>
      <c r="R67" s="94"/>
      <c r="S67" s="94"/>
      <c r="T67" s="94"/>
    </row>
    <row r="68" spans="1:20">
      <c r="A68" s="94"/>
      <c r="B68" s="94"/>
      <c r="C68" s="94"/>
      <c r="D68" s="112">
        <v>-1690740</v>
      </c>
      <c r="E68" s="41" t="s">
        <v>4256</v>
      </c>
      <c r="F68" s="94"/>
      <c r="G68" s="94"/>
      <c r="H68" s="94"/>
      <c r="I68" s="94"/>
      <c r="J68" s="94"/>
      <c r="K68" s="94"/>
      <c r="L68" s="94"/>
      <c r="M68" s="94"/>
      <c r="N68" s="94"/>
      <c r="O68" s="94"/>
      <c r="P68" s="94"/>
      <c r="Q68" s="94"/>
      <c r="R68" s="94"/>
      <c r="S68" s="94"/>
      <c r="T68" s="94"/>
    </row>
    <row r="69" spans="1:20">
      <c r="A69" s="94"/>
      <c r="B69" s="94"/>
      <c r="C69" s="94"/>
      <c r="D69" s="112">
        <v>-226000</v>
      </c>
      <c r="E69" s="41" t="s">
        <v>4257</v>
      </c>
      <c r="F69" s="94"/>
      <c r="G69" s="94"/>
      <c r="H69" s="94"/>
      <c r="I69" s="94"/>
      <c r="J69" s="94"/>
      <c r="K69" s="94"/>
      <c r="L69" s="94"/>
      <c r="M69" s="94"/>
      <c r="N69" s="94"/>
      <c r="O69" s="94"/>
      <c r="P69" s="94"/>
      <c r="Q69" s="94"/>
      <c r="R69" s="94"/>
      <c r="S69" s="94"/>
      <c r="T69" s="94"/>
    </row>
    <row r="70" spans="1:20" ht="45">
      <c r="A70" s="94"/>
      <c r="B70" s="94"/>
      <c r="C70" s="94"/>
      <c r="D70" s="112">
        <v>505000</v>
      </c>
      <c r="E70" s="52" t="s">
        <v>4259</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4258</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4276</v>
      </c>
      <c r="B3" s="18">
        <v>5000000</v>
      </c>
      <c r="C3" s="18">
        <v>0</v>
      </c>
      <c r="D3" s="115">
        <f t="shared" ref="D3:D26" si="0">B3-C3</f>
        <v>5000000</v>
      </c>
      <c r="E3" s="20" t="s">
        <v>3873</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4281</v>
      </c>
      <c r="B4" s="18">
        <v>-3200000</v>
      </c>
      <c r="C4" s="18">
        <v>0</v>
      </c>
      <c r="D4" s="111">
        <f t="shared" si="0"/>
        <v>-3200000</v>
      </c>
      <c r="E4" s="97" t="s">
        <v>4289</v>
      </c>
      <c r="F4" s="94">
        <v>24</v>
      </c>
      <c r="G4" s="94">
        <f t="shared" si="1"/>
        <v>-76800000</v>
      </c>
      <c r="H4" s="94">
        <f t="shared" si="2"/>
        <v>0</v>
      </c>
      <c r="I4" s="94">
        <f t="shared" si="3"/>
        <v>-76800000</v>
      </c>
      <c r="J4" s="94"/>
      <c r="K4" s="94"/>
      <c r="L4" s="94"/>
      <c r="M4" s="94"/>
      <c r="N4" s="94"/>
      <c r="O4" s="94"/>
      <c r="P4" s="94"/>
      <c r="Q4" s="94"/>
      <c r="R4" s="94"/>
      <c r="S4" s="94"/>
    </row>
    <row r="5" spans="1:19">
      <c r="A5" s="30" t="s">
        <v>4281</v>
      </c>
      <c r="B5" s="18">
        <v>2400000</v>
      </c>
      <c r="C5" s="18">
        <v>0</v>
      </c>
      <c r="D5" s="111">
        <f t="shared" si="0"/>
        <v>2400000</v>
      </c>
      <c r="E5" s="20" t="s">
        <v>4291</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4299</v>
      </c>
      <c r="B6" s="18">
        <v>-2000700</v>
      </c>
      <c r="C6" s="18">
        <v>0</v>
      </c>
      <c r="D6" s="111">
        <f t="shared" si="0"/>
        <v>-2000700</v>
      </c>
      <c r="E6" s="19" t="s">
        <v>4300</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4299</v>
      </c>
      <c r="B7" s="18">
        <v>-200000</v>
      </c>
      <c r="C7" s="18">
        <v>0</v>
      </c>
      <c r="D7" s="111">
        <f t="shared" si="0"/>
        <v>-200000</v>
      </c>
      <c r="E7" s="19" t="s">
        <v>4301</v>
      </c>
      <c r="F7" s="94">
        <v>21</v>
      </c>
      <c r="G7" s="94">
        <f t="shared" si="1"/>
        <v>-4200000</v>
      </c>
      <c r="H7" s="94">
        <f t="shared" si="2"/>
        <v>0</v>
      </c>
      <c r="I7" s="94">
        <f t="shared" si="3"/>
        <v>-4200000</v>
      </c>
      <c r="J7" s="94"/>
      <c r="K7" s="94"/>
      <c r="L7" s="94"/>
      <c r="M7" s="94"/>
      <c r="N7" s="94"/>
      <c r="O7" s="94">
        <v>3</v>
      </c>
      <c r="P7" s="94">
        <v>27</v>
      </c>
      <c r="Q7" s="94">
        <v>28</v>
      </c>
      <c r="R7" s="94"/>
      <c r="S7" s="94"/>
    </row>
    <row r="8" spans="1:19">
      <c r="A8" s="17" t="s">
        <v>4299</v>
      </c>
      <c r="B8" s="18">
        <v>-1900000</v>
      </c>
      <c r="C8" s="18">
        <v>0</v>
      </c>
      <c r="D8" s="111">
        <f t="shared" si="0"/>
        <v>-1900000</v>
      </c>
      <c r="E8" s="19" t="s">
        <v>4302</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4305</v>
      </c>
      <c r="B9" s="18">
        <v>-50000</v>
      </c>
      <c r="C9" s="18">
        <v>0</v>
      </c>
      <c r="D9" s="111">
        <f t="shared" si="0"/>
        <v>-50000</v>
      </c>
      <c r="E9" s="21" t="s">
        <v>4306</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4313</v>
      </c>
      <c r="B10" s="18">
        <v>9700000</v>
      </c>
      <c r="C10" s="18">
        <v>0</v>
      </c>
      <c r="D10" s="111">
        <f t="shared" si="0"/>
        <v>9700000</v>
      </c>
      <c r="E10" s="19" t="s">
        <v>3873</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4313</v>
      </c>
      <c r="B11" s="18">
        <v>-3000900</v>
      </c>
      <c r="C11" s="18">
        <v>0</v>
      </c>
      <c r="D11" s="111">
        <f t="shared" si="0"/>
        <v>-3000900</v>
      </c>
      <c r="E11" s="19" t="s">
        <v>4321</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4314</v>
      </c>
      <c r="B12" s="18">
        <v>-3000900</v>
      </c>
      <c r="C12" s="18">
        <v>0</v>
      </c>
      <c r="D12" s="111">
        <f t="shared" si="0"/>
        <v>-3000900</v>
      </c>
      <c r="E12" s="20" t="s">
        <v>4321</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4314</v>
      </c>
      <c r="B13" s="18">
        <v>-555000</v>
      </c>
      <c r="C13" s="18">
        <v>0</v>
      </c>
      <c r="D13" s="111">
        <f t="shared" si="0"/>
        <v>-555000</v>
      </c>
      <c r="E13" s="20" t="s">
        <v>4232</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4333</v>
      </c>
      <c r="B14" s="18">
        <v>-138360</v>
      </c>
      <c r="C14" s="18">
        <v>0</v>
      </c>
      <c r="D14" s="111">
        <f t="shared" si="0"/>
        <v>-138360</v>
      </c>
      <c r="E14" s="20" t="s">
        <v>4334</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4336</v>
      </c>
      <c r="B15" s="18">
        <v>-3000900</v>
      </c>
      <c r="C15" s="18">
        <v>0</v>
      </c>
      <c r="D15" s="115">
        <f t="shared" si="0"/>
        <v>-3000900</v>
      </c>
      <c r="E15" s="20" t="s">
        <v>4321</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4342</v>
      </c>
      <c r="B16" s="18">
        <v>-55000</v>
      </c>
      <c r="C16" s="18">
        <v>0</v>
      </c>
      <c r="D16" s="111">
        <f t="shared" si="0"/>
        <v>-55000</v>
      </c>
      <c r="E16" s="20" t="s">
        <v>4131</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4356</v>
      </c>
      <c r="B17" s="18">
        <v>6035000</v>
      </c>
      <c r="C17" s="18">
        <v>0</v>
      </c>
      <c r="D17" s="111">
        <f t="shared" si="0"/>
        <v>6035000</v>
      </c>
      <c r="E17" s="20" t="s">
        <v>3873</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4365</v>
      </c>
      <c r="B18" s="18">
        <v>-4098523</v>
      </c>
      <c r="C18" s="18">
        <v>0</v>
      </c>
      <c r="D18" s="111">
        <f t="shared" si="0"/>
        <v>-4098523</v>
      </c>
      <c r="E18" s="20" t="s">
        <v>4364</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4365</v>
      </c>
      <c r="B19" s="18">
        <v>-33225</v>
      </c>
      <c r="C19" s="18">
        <v>0</v>
      </c>
      <c r="D19" s="111">
        <f t="shared" si="0"/>
        <v>-33225</v>
      </c>
      <c r="E19" s="20" t="s">
        <v>4232</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4365</v>
      </c>
      <c r="B20" s="18">
        <v>-1895000</v>
      </c>
      <c r="C20" s="18">
        <v>0</v>
      </c>
      <c r="D20" s="111">
        <f t="shared" si="0"/>
        <v>-1895000</v>
      </c>
      <c r="E20" s="19" t="s">
        <v>3752</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4361</v>
      </c>
      <c r="B21" s="18">
        <v>-7500</v>
      </c>
      <c r="C21" s="18">
        <v>0</v>
      </c>
      <c r="D21" s="111">
        <f t="shared" si="0"/>
        <v>-7500</v>
      </c>
      <c r="E21" s="19" t="s">
        <v>4362</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4392</v>
      </c>
      <c r="B22" s="18">
        <v>7964</v>
      </c>
      <c r="C22" s="18">
        <v>65497</v>
      </c>
      <c r="D22" s="111">
        <f t="shared" si="0"/>
        <v>-57533</v>
      </c>
      <c r="E22" s="19" t="s">
        <v>4393</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4261</v>
      </c>
      <c r="F34" s="94"/>
      <c r="G34" s="9" t="s">
        <v>1020</v>
      </c>
      <c r="H34" s="9" t="s">
        <v>38</v>
      </c>
      <c r="I34" s="9" t="s">
        <v>39</v>
      </c>
      <c r="J34" s="94"/>
      <c r="K34" s="94"/>
      <c r="L34" s="94"/>
      <c r="M34" s="94"/>
      <c r="N34" s="94"/>
      <c r="O34" s="94">
        <v>30</v>
      </c>
      <c r="P34" s="94">
        <v>0</v>
      </c>
      <c r="Q34" s="94">
        <v>1</v>
      </c>
      <c r="R34" s="94"/>
      <c r="S34" s="94"/>
    </row>
    <row r="35" spans="1:19">
      <c r="A35" s="94"/>
      <c r="B35" s="112"/>
      <c r="C35" s="94"/>
      <c r="D35" s="112">
        <v>-500000</v>
      </c>
      <c r="E35" s="52" t="s">
        <v>4260</v>
      </c>
      <c r="F35" s="94"/>
      <c r="G35" s="94"/>
      <c r="H35" s="94"/>
      <c r="I35" s="94"/>
      <c r="J35" s="94"/>
      <c r="K35" s="94"/>
      <c r="L35" s="94"/>
      <c r="M35" s="94"/>
      <c r="N35" s="94"/>
      <c r="O35" s="94"/>
      <c r="P35" s="94" t="s">
        <v>60</v>
      </c>
      <c r="Q35" s="94" t="s">
        <v>61</v>
      </c>
      <c r="R35" s="94"/>
      <c r="S35" s="94"/>
    </row>
    <row r="36" spans="1:19">
      <c r="A36" s="94"/>
      <c r="B36" s="94"/>
      <c r="C36" s="94"/>
      <c r="D36" s="112">
        <v>-11316095</v>
      </c>
      <c r="E36" s="52" t="s">
        <v>4262</v>
      </c>
      <c r="F36" s="94"/>
      <c r="G36" s="94"/>
      <c r="H36" s="94"/>
      <c r="I36" s="94"/>
      <c r="J36" s="94"/>
      <c r="K36" s="94"/>
      <c r="L36" s="94"/>
      <c r="M36" s="94"/>
      <c r="N36" s="94"/>
      <c r="O36" s="94"/>
      <c r="P36" s="94"/>
      <c r="Q36" s="94"/>
      <c r="R36" s="94"/>
      <c r="S36" s="94"/>
    </row>
    <row r="37" spans="1:19">
      <c r="A37" s="94"/>
      <c r="B37" s="94"/>
      <c r="C37" s="94"/>
      <c r="D37" s="112">
        <v>-137223</v>
      </c>
      <c r="E37" s="52" t="s">
        <v>4263</v>
      </c>
      <c r="F37" s="94"/>
      <c r="G37" s="94"/>
      <c r="H37" s="94"/>
      <c r="I37" s="94"/>
      <c r="J37" s="94"/>
      <c r="K37" s="94"/>
      <c r="L37" s="94"/>
      <c r="M37" s="94"/>
      <c r="N37" s="94"/>
      <c r="O37" s="94"/>
      <c r="P37" s="94"/>
      <c r="Q37" s="94"/>
      <c r="R37" s="94"/>
      <c r="S37" s="94"/>
    </row>
    <row r="38" spans="1:19">
      <c r="A38" s="94"/>
      <c r="B38" s="94"/>
      <c r="C38" s="94"/>
      <c r="D38" s="112">
        <v>-234246</v>
      </c>
      <c r="E38" s="52" t="s">
        <v>4266</v>
      </c>
      <c r="F38" s="94"/>
      <c r="G38" s="94"/>
      <c r="H38" s="94"/>
      <c r="I38" s="94"/>
      <c r="J38" s="94"/>
      <c r="K38" s="94"/>
      <c r="L38" s="94"/>
      <c r="M38" s="94"/>
      <c r="N38" s="94"/>
      <c r="O38" s="94"/>
      <c r="P38" s="94"/>
      <c r="Q38" s="94"/>
      <c r="R38" s="94"/>
      <c r="S38" s="94"/>
    </row>
    <row r="39" spans="1:19">
      <c r="A39" s="94"/>
      <c r="B39" s="94"/>
      <c r="C39" s="94"/>
      <c r="D39" s="112">
        <v>-22574</v>
      </c>
      <c r="E39" s="52" t="s">
        <v>4269</v>
      </c>
      <c r="F39" s="94"/>
      <c r="G39" s="94"/>
      <c r="H39" s="94"/>
      <c r="I39" s="94"/>
      <c r="J39" s="94"/>
      <c r="K39" s="94"/>
      <c r="L39" s="94"/>
      <c r="M39" s="94"/>
      <c r="N39" s="94"/>
      <c r="O39" s="94"/>
      <c r="P39" s="94"/>
      <c r="Q39" s="94"/>
      <c r="R39" s="94"/>
      <c r="S39" s="94"/>
    </row>
    <row r="40" spans="1:19">
      <c r="A40" s="94"/>
      <c r="B40" s="94"/>
      <c r="C40" s="94"/>
      <c r="D40" s="112">
        <v>-48894</v>
      </c>
      <c r="E40" s="52" t="s">
        <v>4270</v>
      </c>
      <c r="F40" s="94"/>
      <c r="G40" s="94" t="s">
        <v>25</v>
      </c>
      <c r="H40" s="94"/>
      <c r="I40" s="94"/>
      <c r="J40" s="94"/>
      <c r="K40" s="94"/>
      <c r="L40" s="94"/>
      <c r="M40" s="94"/>
      <c r="N40" s="94"/>
      <c r="O40" s="94"/>
      <c r="P40" s="94"/>
      <c r="Q40" s="94"/>
      <c r="R40" s="94"/>
      <c r="S40" s="94"/>
    </row>
    <row r="41" spans="1:19">
      <c r="A41" s="94"/>
      <c r="B41" s="94"/>
      <c r="C41" s="94"/>
      <c r="D41" s="112">
        <v>-25000</v>
      </c>
      <c r="E41" s="52" t="s">
        <v>4273</v>
      </c>
      <c r="F41" s="94"/>
      <c r="G41" s="94"/>
      <c r="H41" s="94"/>
      <c r="I41" s="94"/>
      <c r="J41" s="94"/>
      <c r="K41" s="94"/>
      <c r="L41" s="94"/>
      <c r="M41" s="94"/>
      <c r="N41" s="94"/>
      <c r="O41" s="94"/>
      <c r="P41" s="94"/>
      <c r="Q41" s="94"/>
      <c r="R41" s="94"/>
      <c r="S41" s="94"/>
    </row>
    <row r="42" spans="1:19">
      <c r="A42" s="94"/>
      <c r="B42" s="94"/>
      <c r="C42" s="94"/>
      <c r="D42" s="112">
        <v>1000000</v>
      </c>
      <c r="E42" s="52" t="s">
        <v>4274</v>
      </c>
      <c r="F42" s="94"/>
      <c r="G42" s="94"/>
      <c r="H42" s="94"/>
      <c r="I42" s="94"/>
      <c r="J42" s="94"/>
      <c r="K42" s="94"/>
      <c r="L42" s="94"/>
      <c r="M42" s="94"/>
      <c r="N42" s="94"/>
      <c r="O42" s="94"/>
      <c r="P42" s="94"/>
      <c r="Q42" s="94"/>
      <c r="R42" s="94"/>
      <c r="S42" s="94"/>
    </row>
    <row r="43" spans="1:19">
      <c r="A43" s="94"/>
      <c r="B43" s="94"/>
      <c r="C43" s="94"/>
      <c r="D43" s="112">
        <v>-5000000</v>
      </c>
      <c r="E43" s="52" t="s">
        <v>4275</v>
      </c>
      <c r="F43" s="94"/>
      <c r="G43" s="94"/>
      <c r="H43" s="94"/>
      <c r="I43" s="94"/>
      <c r="J43" s="94"/>
      <c r="K43" s="94"/>
      <c r="L43" s="94"/>
      <c r="M43" s="94"/>
      <c r="N43" s="94"/>
      <c r="O43" s="94"/>
      <c r="P43" s="94"/>
      <c r="Q43" s="94"/>
      <c r="R43" s="94"/>
      <c r="S43" s="94"/>
    </row>
    <row r="44" spans="1:19">
      <c r="A44" s="94"/>
      <c r="B44" s="94"/>
      <c r="C44" s="94"/>
      <c r="D44" s="112">
        <v>-400000</v>
      </c>
      <c r="E44" s="52" t="s">
        <v>4277</v>
      </c>
      <c r="F44" s="94"/>
      <c r="G44" s="94"/>
      <c r="H44" s="94"/>
      <c r="I44" s="94"/>
      <c r="J44" s="94"/>
      <c r="K44" s="94"/>
      <c r="L44" s="94"/>
      <c r="M44" s="94"/>
      <c r="N44" s="94"/>
      <c r="O44" s="94"/>
      <c r="P44" s="94"/>
      <c r="Q44" s="94"/>
      <c r="R44" s="94"/>
      <c r="S44" s="94"/>
    </row>
    <row r="45" spans="1:19">
      <c r="A45" s="94"/>
      <c r="B45" s="94"/>
      <c r="C45" s="94"/>
      <c r="D45" s="112">
        <v>-20000</v>
      </c>
      <c r="E45" s="52" t="s">
        <v>4278</v>
      </c>
      <c r="F45" s="94"/>
      <c r="G45" s="94"/>
      <c r="H45" s="94"/>
      <c r="I45" s="94"/>
      <c r="J45" s="94"/>
      <c r="K45" s="94"/>
      <c r="L45" s="94"/>
      <c r="M45" s="94"/>
      <c r="N45" s="94"/>
      <c r="O45" s="94"/>
      <c r="P45" s="94"/>
      <c r="Q45" s="94"/>
      <c r="R45" s="94"/>
      <c r="S45" s="94"/>
    </row>
    <row r="46" spans="1:19">
      <c r="A46" s="94"/>
      <c r="B46" s="94"/>
      <c r="C46" s="94"/>
      <c r="D46" s="112">
        <v>-33087</v>
      </c>
      <c r="E46" s="52" t="s">
        <v>4279</v>
      </c>
      <c r="F46" s="94"/>
      <c r="G46" s="94"/>
      <c r="H46" s="94"/>
      <c r="I46" s="94"/>
      <c r="J46" s="94"/>
      <c r="K46" s="94"/>
      <c r="L46" s="94"/>
      <c r="M46" s="94"/>
      <c r="N46" s="94"/>
      <c r="O46" s="94"/>
      <c r="P46" s="94"/>
      <c r="Q46" s="94"/>
      <c r="R46" s="94"/>
      <c r="S46" s="94"/>
    </row>
    <row r="47" spans="1:19">
      <c r="A47" s="94"/>
      <c r="B47" s="94"/>
      <c r="C47" s="94"/>
      <c r="D47" s="112">
        <v>-73818</v>
      </c>
      <c r="E47" s="52" t="s">
        <v>4282</v>
      </c>
      <c r="F47" s="112" t="s">
        <v>25</v>
      </c>
      <c r="G47" s="41" t="s">
        <v>25</v>
      </c>
      <c r="H47" s="94"/>
      <c r="I47" s="94"/>
      <c r="J47" s="94"/>
      <c r="K47" s="94"/>
      <c r="L47" s="94"/>
      <c r="M47" s="94"/>
      <c r="N47" s="94"/>
      <c r="O47" s="94"/>
      <c r="P47" s="94"/>
      <c r="Q47" s="94"/>
      <c r="R47" s="94"/>
      <c r="S47" s="94"/>
    </row>
    <row r="48" spans="1:19">
      <c r="A48" s="94"/>
      <c r="B48" s="94"/>
      <c r="C48" s="94"/>
      <c r="D48" s="112">
        <v>200000</v>
      </c>
      <c r="E48" s="52" t="s">
        <v>4288</v>
      </c>
      <c r="F48" s="112"/>
      <c r="G48" s="41"/>
      <c r="H48" s="94"/>
      <c r="I48" s="94"/>
      <c r="J48" s="94"/>
      <c r="K48" s="94"/>
      <c r="L48" s="94"/>
      <c r="M48" s="94"/>
      <c r="N48" s="94"/>
      <c r="O48" s="94"/>
      <c r="P48" s="94"/>
      <c r="Q48" s="94"/>
      <c r="R48" s="94"/>
      <c r="S48" s="94"/>
    </row>
    <row r="49" spans="1:19">
      <c r="A49" s="94"/>
      <c r="B49" s="94"/>
      <c r="C49" s="94"/>
      <c r="D49" s="112">
        <v>-2400000</v>
      </c>
      <c r="E49" s="52" t="s">
        <v>4292</v>
      </c>
      <c r="F49" s="112"/>
      <c r="G49" s="41"/>
      <c r="H49" s="94"/>
      <c r="I49" s="94"/>
      <c r="J49" s="94"/>
      <c r="K49" s="94"/>
      <c r="L49" s="94"/>
      <c r="M49" s="94"/>
      <c r="N49" s="94"/>
      <c r="O49" s="94"/>
      <c r="P49" s="94"/>
      <c r="Q49" s="94"/>
      <c r="R49" s="94"/>
      <c r="S49" s="94"/>
    </row>
    <row r="50" spans="1:19">
      <c r="A50" s="94"/>
      <c r="B50" s="94"/>
      <c r="C50" s="94"/>
      <c r="D50" s="112">
        <v>50000</v>
      </c>
      <c r="E50" s="52" t="s">
        <v>4307</v>
      </c>
      <c r="F50" s="112"/>
      <c r="G50" s="41"/>
      <c r="H50" s="94"/>
      <c r="I50" s="94"/>
      <c r="J50" s="94"/>
      <c r="K50" s="94"/>
      <c r="L50" s="94"/>
      <c r="M50" s="94"/>
      <c r="N50" s="94"/>
      <c r="O50" s="94"/>
      <c r="P50" s="94"/>
      <c r="Q50" s="94"/>
      <c r="R50" s="94"/>
      <c r="S50" s="94"/>
    </row>
    <row r="51" spans="1:19">
      <c r="A51" s="94"/>
      <c r="B51" s="94"/>
      <c r="C51" s="94"/>
      <c r="D51" s="112">
        <v>1000000</v>
      </c>
      <c r="E51" s="52" t="s">
        <v>4304</v>
      </c>
      <c r="F51" s="94"/>
      <c r="G51" s="94"/>
      <c r="H51" s="94"/>
      <c r="I51" s="94"/>
      <c r="J51" s="94"/>
      <c r="K51" s="94"/>
      <c r="L51" s="94"/>
      <c r="M51" s="94"/>
      <c r="N51" s="94"/>
      <c r="O51" s="94"/>
      <c r="P51" s="94"/>
      <c r="Q51" s="94"/>
      <c r="R51" s="94"/>
      <c r="S51" s="94"/>
    </row>
    <row r="52" spans="1:19">
      <c r="A52" s="94"/>
      <c r="B52" s="94"/>
      <c r="C52" s="94"/>
      <c r="D52" s="112">
        <v>-100000</v>
      </c>
      <c r="E52" s="52" t="s">
        <v>4303</v>
      </c>
      <c r="F52" s="94"/>
      <c r="G52" s="94"/>
      <c r="H52" s="94"/>
      <c r="I52" s="94"/>
      <c r="J52" s="94"/>
      <c r="K52" s="94"/>
      <c r="L52" s="94"/>
      <c r="M52" s="94"/>
      <c r="N52" s="94"/>
      <c r="O52" s="94"/>
      <c r="P52" s="94"/>
      <c r="Q52" s="94"/>
      <c r="R52" s="94"/>
      <c r="S52" s="94"/>
    </row>
    <row r="53" spans="1:19">
      <c r="A53" s="94"/>
      <c r="B53" s="94"/>
      <c r="C53" s="94"/>
      <c r="D53" s="112">
        <v>-300699</v>
      </c>
      <c r="E53" s="52" t="s">
        <v>4308</v>
      </c>
      <c r="F53" s="94"/>
      <c r="G53" s="94"/>
      <c r="H53" s="94"/>
      <c r="I53" s="94"/>
      <c r="J53" s="94"/>
      <c r="K53" s="94"/>
      <c r="L53" s="94"/>
      <c r="M53" s="94"/>
      <c r="N53" s="94"/>
      <c r="O53" s="94"/>
      <c r="P53" s="94"/>
      <c r="Q53" s="94"/>
      <c r="R53" s="94"/>
      <c r="S53" s="94"/>
    </row>
    <row r="54" spans="1:19">
      <c r="A54" s="94"/>
      <c r="B54" s="94"/>
      <c r="C54" s="94"/>
      <c r="D54" s="112">
        <v>250000</v>
      </c>
      <c r="E54" s="52" t="s">
        <v>4311</v>
      </c>
      <c r="F54" s="94"/>
      <c r="G54" s="94"/>
      <c r="H54" s="94"/>
      <c r="I54" s="94"/>
      <c r="J54" s="94"/>
      <c r="K54" s="94"/>
      <c r="L54" s="94"/>
      <c r="M54" s="94"/>
      <c r="N54" s="94"/>
      <c r="O54" s="94"/>
      <c r="P54" s="94"/>
      <c r="Q54" s="94"/>
      <c r="R54" s="94"/>
      <c r="S54" s="94"/>
    </row>
    <row r="55" spans="1:19">
      <c r="A55" s="94"/>
      <c r="B55" s="94"/>
      <c r="C55" s="94"/>
      <c r="D55" s="112">
        <v>-19615</v>
      </c>
      <c r="E55" s="52" t="s">
        <v>4312</v>
      </c>
      <c r="F55" s="94"/>
      <c r="G55" s="94"/>
      <c r="H55" s="94"/>
      <c r="I55" s="94"/>
      <c r="J55" s="94"/>
      <c r="K55" s="94"/>
      <c r="L55" s="94"/>
      <c r="M55" s="94"/>
      <c r="N55" s="94"/>
      <c r="O55" s="94"/>
      <c r="P55" s="94"/>
      <c r="Q55" s="94"/>
      <c r="R55" s="94"/>
      <c r="S55" s="94"/>
    </row>
    <row r="56" spans="1:19">
      <c r="A56" s="94"/>
      <c r="B56" s="94"/>
      <c r="C56" s="94"/>
      <c r="D56" s="112">
        <v>10000000</v>
      </c>
      <c r="E56" s="52" t="s">
        <v>4317</v>
      </c>
      <c r="F56" s="94"/>
      <c r="G56" s="94"/>
      <c r="H56" s="94"/>
      <c r="I56" s="94"/>
      <c r="J56" s="94"/>
      <c r="K56" s="94"/>
      <c r="L56" s="94"/>
      <c r="M56" s="94"/>
      <c r="N56" s="94"/>
      <c r="O56" s="94"/>
      <c r="P56" s="94"/>
      <c r="Q56" s="94"/>
      <c r="R56" s="94"/>
      <c r="S56" s="94"/>
    </row>
    <row r="57" spans="1:19">
      <c r="A57" s="94"/>
      <c r="B57" s="94"/>
      <c r="C57" s="94"/>
      <c r="D57" s="112">
        <v>-9413000</v>
      </c>
      <c r="E57" s="52" t="s">
        <v>4318</v>
      </c>
      <c r="F57" s="94"/>
      <c r="G57" s="94"/>
      <c r="H57" s="94"/>
      <c r="I57" s="94"/>
      <c r="J57" s="94"/>
      <c r="K57" s="94"/>
      <c r="L57" s="94"/>
      <c r="M57" s="94"/>
      <c r="N57" s="94"/>
      <c r="O57" s="94"/>
      <c r="P57" s="94"/>
      <c r="Q57" s="94"/>
      <c r="R57" s="94"/>
      <c r="S57" s="94"/>
    </row>
    <row r="58" spans="1:19">
      <c r="A58" s="94"/>
      <c r="B58" s="94"/>
      <c r="C58" s="94"/>
      <c r="D58" s="112">
        <v>8736514</v>
      </c>
      <c r="E58" s="52" t="s">
        <v>4319</v>
      </c>
      <c r="F58" s="94"/>
      <c r="G58" s="94"/>
      <c r="H58" s="94"/>
      <c r="I58" s="94"/>
      <c r="J58" s="94"/>
      <c r="K58" s="94"/>
      <c r="L58" s="94"/>
      <c r="M58" s="94"/>
      <c r="N58" s="94"/>
      <c r="O58" s="94"/>
      <c r="P58" s="94"/>
      <c r="Q58" s="94"/>
      <c r="R58" s="94"/>
      <c r="S58" s="94"/>
    </row>
    <row r="59" spans="1:19">
      <c r="A59" s="94"/>
      <c r="B59" s="94"/>
      <c r="C59" s="94"/>
      <c r="D59" s="112">
        <v>-9700000</v>
      </c>
      <c r="E59" s="52" t="s">
        <v>4320</v>
      </c>
      <c r="F59" s="94"/>
      <c r="G59" s="94"/>
      <c r="H59" s="94"/>
      <c r="I59" s="94"/>
      <c r="J59" s="94"/>
      <c r="K59" s="94"/>
      <c r="L59" s="94"/>
      <c r="M59" s="94"/>
      <c r="N59" s="94"/>
      <c r="O59" s="94"/>
      <c r="P59" s="94"/>
      <c r="Q59" s="94"/>
      <c r="R59" s="94"/>
      <c r="S59" s="94"/>
    </row>
    <row r="60" spans="1:19">
      <c r="A60" s="94"/>
      <c r="B60" s="94"/>
      <c r="C60" s="94"/>
      <c r="D60" s="112">
        <v>2450000</v>
      </c>
      <c r="E60" s="52" t="s">
        <v>4317</v>
      </c>
      <c r="F60" s="94"/>
      <c r="G60" s="94"/>
      <c r="H60" s="94" t="s">
        <v>25</v>
      </c>
      <c r="I60" s="94"/>
      <c r="J60" s="94"/>
      <c r="K60" s="94"/>
      <c r="L60" s="94"/>
      <c r="M60" s="94"/>
      <c r="N60" s="94"/>
      <c r="O60" s="94"/>
      <c r="P60" s="94"/>
      <c r="Q60" s="94"/>
      <c r="R60" s="94"/>
      <c r="S60" s="94"/>
    </row>
    <row r="61" spans="1:19">
      <c r="A61" s="94"/>
      <c r="B61" s="94"/>
      <c r="C61" s="94"/>
      <c r="D61" s="112">
        <v>-250000</v>
      </c>
      <c r="E61" s="52" t="s">
        <v>4322</v>
      </c>
      <c r="F61" s="94"/>
      <c r="G61" s="94"/>
      <c r="H61" s="94"/>
      <c r="I61" s="94"/>
      <c r="J61" s="94"/>
      <c r="K61" s="94"/>
      <c r="L61" s="94"/>
      <c r="M61" s="94"/>
      <c r="N61" s="94"/>
      <c r="O61" s="94"/>
      <c r="P61" s="94"/>
      <c r="Q61" s="94"/>
      <c r="R61" s="94"/>
      <c r="S61" s="94"/>
    </row>
    <row r="62" spans="1:19">
      <c r="A62" s="94"/>
      <c r="B62" s="94"/>
      <c r="C62" s="94"/>
      <c r="D62" s="112">
        <v>-2000000</v>
      </c>
      <c r="E62" s="52" t="s">
        <v>4327</v>
      </c>
      <c r="F62" s="94"/>
      <c r="G62" s="94"/>
      <c r="H62" s="94"/>
      <c r="I62" s="94"/>
      <c r="J62" s="94"/>
      <c r="K62" s="94"/>
      <c r="L62" s="94"/>
      <c r="M62" s="94"/>
      <c r="N62" s="94"/>
      <c r="O62" s="94"/>
      <c r="P62" s="94"/>
      <c r="Q62" s="94"/>
      <c r="R62" s="94"/>
      <c r="S62" s="94"/>
    </row>
    <row r="63" spans="1:19">
      <c r="A63" s="94"/>
      <c r="B63" s="94"/>
      <c r="C63" s="94"/>
      <c r="D63" s="112">
        <v>-25000</v>
      </c>
      <c r="E63" s="52" t="s">
        <v>4328</v>
      </c>
      <c r="F63" s="94"/>
      <c r="G63" s="94"/>
      <c r="H63" s="94"/>
      <c r="I63" s="94"/>
      <c r="J63" s="94"/>
      <c r="K63" s="94"/>
      <c r="L63" s="94"/>
      <c r="M63" s="94"/>
      <c r="N63" s="94"/>
      <c r="O63" s="94"/>
      <c r="P63" s="94"/>
      <c r="Q63" s="94"/>
      <c r="R63" s="94"/>
      <c r="S63" s="94"/>
    </row>
    <row r="64" spans="1:19">
      <c r="A64" s="94"/>
      <c r="B64" s="94"/>
      <c r="C64" s="94"/>
      <c r="D64" s="112">
        <v>138360</v>
      </c>
      <c r="E64" s="52" t="s">
        <v>4332</v>
      </c>
      <c r="F64" s="94"/>
      <c r="G64" s="94"/>
      <c r="H64" s="94" t="s">
        <v>25</v>
      </c>
      <c r="I64" s="94"/>
      <c r="J64" s="94"/>
      <c r="K64" s="94"/>
      <c r="L64" s="94"/>
      <c r="M64" s="94"/>
      <c r="N64" s="94"/>
      <c r="O64" s="94"/>
      <c r="P64" s="94"/>
      <c r="Q64" s="94"/>
      <c r="R64" s="94"/>
      <c r="S64" s="94"/>
    </row>
    <row r="65" spans="1:21">
      <c r="A65" s="94"/>
      <c r="B65" s="94"/>
      <c r="C65" s="94"/>
      <c r="D65" s="112">
        <v>-69003</v>
      </c>
      <c r="E65" s="52" t="s">
        <v>4337</v>
      </c>
      <c r="F65" s="94"/>
      <c r="G65" s="94"/>
      <c r="H65" s="94"/>
      <c r="I65" s="94"/>
      <c r="J65" s="94"/>
      <c r="K65" s="94"/>
      <c r="L65" s="94"/>
      <c r="M65" s="94"/>
      <c r="N65" s="94"/>
      <c r="O65" s="94"/>
      <c r="P65" s="94"/>
      <c r="Q65" s="94"/>
      <c r="R65" s="94"/>
      <c r="S65" s="94"/>
    </row>
    <row r="66" spans="1:21">
      <c r="A66" s="94"/>
      <c r="B66" s="94"/>
      <c r="C66" s="94"/>
      <c r="D66" s="112">
        <v>456081</v>
      </c>
      <c r="E66" s="52" t="s">
        <v>4339</v>
      </c>
      <c r="F66" s="94"/>
      <c r="G66" s="94"/>
      <c r="H66" s="94"/>
      <c r="I66" s="94"/>
      <c r="J66" s="94"/>
      <c r="K66" s="94"/>
      <c r="L66" s="94"/>
      <c r="M66" s="94"/>
      <c r="N66" s="94"/>
      <c r="O66" s="94"/>
      <c r="P66" s="94"/>
      <c r="Q66" s="94"/>
      <c r="R66" s="94"/>
      <c r="S66" s="94"/>
    </row>
    <row r="67" spans="1:21">
      <c r="A67" s="94"/>
      <c r="B67" s="94"/>
      <c r="C67" s="94"/>
      <c r="D67" s="112">
        <v>500000</v>
      </c>
      <c r="E67" s="52" t="s">
        <v>4341</v>
      </c>
      <c r="F67" s="94"/>
      <c r="G67" s="94"/>
      <c r="H67" s="94"/>
      <c r="I67" s="94"/>
      <c r="J67" s="94"/>
      <c r="K67" s="94"/>
      <c r="L67" s="94"/>
      <c r="M67" s="94"/>
      <c r="N67" s="94"/>
      <c r="O67" s="94"/>
      <c r="P67" s="94"/>
      <c r="Q67" s="94"/>
      <c r="R67" s="94"/>
      <c r="S67" s="94"/>
    </row>
    <row r="68" spans="1:21">
      <c r="A68" s="94"/>
      <c r="B68" s="94"/>
      <c r="C68" s="94"/>
      <c r="D68" s="112">
        <v>-65500</v>
      </c>
      <c r="E68" s="52" t="s">
        <v>4343</v>
      </c>
      <c r="F68" s="112"/>
      <c r="G68" s="52"/>
      <c r="H68" s="94"/>
      <c r="I68" s="94"/>
      <c r="J68" s="94"/>
      <c r="K68" s="94"/>
      <c r="L68" s="94"/>
      <c r="M68" s="94"/>
      <c r="N68" s="94"/>
      <c r="O68" s="94"/>
      <c r="P68" s="94"/>
      <c r="Q68" s="94"/>
      <c r="R68" s="94"/>
      <c r="S68" s="94"/>
      <c r="T68" s="94"/>
      <c r="U68" s="94"/>
    </row>
    <row r="69" spans="1:21">
      <c r="A69" s="94"/>
      <c r="B69" s="94"/>
      <c r="C69" s="94"/>
      <c r="D69" s="112">
        <v>-65000</v>
      </c>
      <c r="E69" s="52" t="s">
        <v>4344</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4345</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4346</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4347</v>
      </c>
      <c r="F72" s="94"/>
      <c r="G72" s="94"/>
      <c r="H72" s="94"/>
      <c r="I72" s="94"/>
      <c r="J72" s="94"/>
      <c r="K72" s="94"/>
      <c r="L72" s="94"/>
      <c r="M72" s="94"/>
      <c r="N72" s="94"/>
      <c r="O72" s="94"/>
      <c r="P72" s="94"/>
      <c r="Q72" s="94"/>
      <c r="R72" s="94"/>
      <c r="S72" s="94"/>
    </row>
    <row r="73" spans="1:21">
      <c r="A73" s="94"/>
      <c r="B73" s="94"/>
      <c r="C73" s="94"/>
      <c r="D73" s="112">
        <v>-6701</v>
      </c>
      <c r="E73" s="52" t="s">
        <v>4346</v>
      </c>
      <c r="F73" s="94"/>
      <c r="G73" s="94"/>
      <c r="H73" s="94"/>
      <c r="I73" s="94"/>
      <c r="J73" s="94"/>
      <c r="K73" s="94"/>
      <c r="L73" s="94"/>
      <c r="M73" s="94"/>
      <c r="N73" s="94"/>
      <c r="O73" s="94"/>
      <c r="P73" s="94"/>
      <c r="Q73" s="94"/>
      <c r="R73" s="94"/>
      <c r="S73" s="94"/>
    </row>
    <row r="74" spans="1:21">
      <c r="A74" s="94"/>
      <c r="B74" s="94"/>
      <c r="C74" s="94"/>
      <c r="D74" s="112">
        <v>-8929</v>
      </c>
      <c r="E74" s="52" t="s">
        <v>4348</v>
      </c>
      <c r="F74" s="94"/>
      <c r="G74" s="94"/>
      <c r="H74" s="94"/>
      <c r="I74" s="94"/>
      <c r="J74" s="94"/>
      <c r="K74" s="94"/>
      <c r="L74" s="94"/>
      <c r="M74" s="94"/>
      <c r="N74" s="94"/>
      <c r="O74" s="94"/>
      <c r="P74" s="94"/>
      <c r="Q74" s="94"/>
      <c r="R74" s="94"/>
      <c r="S74" s="94"/>
    </row>
    <row r="75" spans="1:21">
      <c r="A75" s="94"/>
      <c r="B75" s="94"/>
      <c r="C75" s="94"/>
      <c r="D75" s="112">
        <v>448308</v>
      </c>
      <c r="E75" s="52" t="s">
        <v>4349</v>
      </c>
      <c r="F75" s="94"/>
      <c r="G75" s="94" t="s">
        <v>25</v>
      </c>
      <c r="H75" s="94"/>
      <c r="I75" s="94"/>
      <c r="J75" s="94"/>
      <c r="K75" s="94"/>
      <c r="L75" s="94"/>
      <c r="M75" s="94"/>
      <c r="N75" s="94"/>
      <c r="O75" s="94"/>
      <c r="P75" s="94"/>
      <c r="Q75" s="94"/>
      <c r="R75" s="94"/>
      <c r="S75" s="94"/>
    </row>
    <row r="76" spans="1:21">
      <c r="A76" s="94"/>
      <c r="B76" s="94"/>
      <c r="C76" s="94"/>
      <c r="D76" s="112">
        <v>-904500</v>
      </c>
      <c r="E76" s="52" t="s">
        <v>4350</v>
      </c>
      <c r="F76" s="94"/>
      <c r="G76" s="94"/>
      <c r="H76" s="94"/>
      <c r="I76" s="94"/>
      <c r="J76" s="94"/>
      <c r="K76" s="94"/>
      <c r="L76" s="94"/>
      <c r="M76" s="94"/>
      <c r="N76" s="94"/>
      <c r="O76" s="94"/>
      <c r="P76" s="94"/>
      <c r="Q76" s="94"/>
      <c r="R76" s="94"/>
      <c r="S76" s="94"/>
    </row>
    <row r="77" spans="1:21">
      <c r="A77" s="94"/>
      <c r="B77" s="94"/>
      <c r="C77" s="94"/>
      <c r="D77" s="112">
        <v>-180000</v>
      </c>
      <c r="E77" s="52" t="s">
        <v>4351</v>
      </c>
      <c r="F77" s="94"/>
      <c r="G77" s="94"/>
      <c r="H77" s="94"/>
      <c r="I77" s="94"/>
      <c r="J77" s="94"/>
      <c r="K77" s="94"/>
      <c r="L77" s="94"/>
      <c r="M77" s="94"/>
      <c r="N77" s="94"/>
      <c r="O77" s="94"/>
      <c r="P77" s="94"/>
      <c r="Q77" s="94"/>
      <c r="R77" s="94"/>
      <c r="S77" s="94"/>
    </row>
    <row r="78" spans="1:21">
      <c r="A78" s="94"/>
      <c r="B78" s="94"/>
      <c r="C78" s="94"/>
      <c r="D78" s="112">
        <v>-13583</v>
      </c>
      <c r="E78" s="52" t="s">
        <v>4352</v>
      </c>
      <c r="F78" s="94"/>
      <c r="G78" s="94"/>
      <c r="H78" s="94"/>
      <c r="I78" s="94"/>
      <c r="J78" s="94"/>
      <c r="K78" s="94"/>
      <c r="L78" s="94"/>
      <c r="M78" s="94"/>
      <c r="N78" s="94"/>
      <c r="O78" s="94"/>
      <c r="P78" s="94"/>
      <c r="Q78" s="94"/>
      <c r="R78" s="94"/>
      <c r="S78" s="94"/>
    </row>
    <row r="79" spans="1:21">
      <c r="A79" s="94"/>
      <c r="B79" s="94"/>
      <c r="C79" s="94"/>
      <c r="D79" s="112">
        <v>-52388</v>
      </c>
      <c r="E79" s="52" t="s">
        <v>4353</v>
      </c>
      <c r="F79" s="94"/>
      <c r="G79" s="94"/>
      <c r="H79" s="94"/>
      <c r="I79" s="94"/>
      <c r="J79" s="94"/>
      <c r="K79" s="94"/>
      <c r="L79" s="94"/>
      <c r="M79" s="94"/>
      <c r="N79" s="94"/>
      <c r="O79" s="94"/>
      <c r="P79" s="94"/>
      <c r="Q79" s="94"/>
      <c r="R79" s="94"/>
      <c r="S79" s="94"/>
    </row>
    <row r="80" spans="1:21">
      <c r="A80" s="94"/>
      <c r="B80" s="94"/>
      <c r="C80" s="94"/>
      <c r="D80" s="112">
        <v>-133838</v>
      </c>
      <c r="E80" s="52" t="s">
        <v>4355</v>
      </c>
      <c r="F80" s="94"/>
      <c r="G80" s="94"/>
      <c r="H80" s="94"/>
      <c r="I80" s="94"/>
      <c r="J80" s="94"/>
      <c r="K80" s="94"/>
      <c r="L80" s="94"/>
      <c r="M80" s="94"/>
      <c r="N80" s="94"/>
      <c r="O80" s="94"/>
      <c r="P80" s="94"/>
      <c r="Q80" s="94"/>
      <c r="R80" s="94"/>
      <c r="S80" s="94"/>
    </row>
    <row r="81" spans="4:5">
      <c r="D81" s="112">
        <v>6234370</v>
      </c>
      <c r="E81" s="52" t="s">
        <v>4357</v>
      </c>
    </row>
    <row r="82" spans="4:5">
      <c r="D82" s="112">
        <v>-142143</v>
      </c>
      <c r="E82" s="52" t="s">
        <v>4360</v>
      </c>
    </row>
    <row r="83" spans="4:5">
      <c r="D83" s="112">
        <v>-128352</v>
      </c>
      <c r="E83" s="52" t="s">
        <v>4359</v>
      </c>
    </row>
    <row r="84" spans="4:5">
      <c r="D84" s="112">
        <v>-6035000</v>
      </c>
      <c r="E84" s="52" t="s">
        <v>4368</v>
      </c>
    </row>
    <row r="85" spans="4:5">
      <c r="D85" s="112">
        <v>-55957</v>
      </c>
      <c r="E85" s="52" t="s">
        <v>4367</v>
      </c>
    </row>
    <row r="86" spans="4:5">
      <c r="D86" s="112">
        <v>7500</v>
      </c>
      <c r="E86" s="52" t="s">
        <v>4366</v>
      </c>
    </row>
    <row r="87" spans="4:5">
      <c r="D87" s="112">
        <v>1700000</v>
      </c>
      <c r="E87" s="52" t="s">
        <v>4369</v>
      </c>
    </row>
    <row r="88" spans="4:5">
      <c r="D88" s="112">
        <v>129648</v>
      </c>
      <c r="E88" s="52" t="s">
        <v>4370</v>
      </c>
    </row>
    <row r="89" spans="4:5">
      <c r="D89" s="112">
        <v>1000000</v>
      </c>
      <c r="E89" s="52" t="s">
        <v>4373</v>
      </c>
    </row>
    <row r="90" spans="4:5">
      <c r="D90" s="112">
        <v>-53003</v>
      </c>
      <c r="E90" s="52" t="s">
        <v>4374</v>
      </c>
    </row>
    <row r="91" spans="4:5">
      <c r="D91" s="112">
        <v>-23690</v>
      </c>
      <c r="E91" s="52" t="s">
        <v>4374</v>
      </c>
    </row>
    <row r="92" spans="4:5">
      <c r="D92" s="112">
        <v>-216910</v>
      </c>
      <c r="E92" s="52" t="s">
        <v>4375</v>
      </c>
    </row>
    <row r="93" spans="4:5">
      <c r="D93" s="112">
        <v>-30304</v>
      </c>
      <c r="E93" s="52" t="s">
        <v>4377</v>
      </c>
    </row>
    <row r="94" spans="4:5">
      <c r="D94" s="112">
        <v>-10067</v>
      </c>
      <c r="E94" s="52" t="s">
        <v>4378</v>
      </c>
    </row>
    <row r="95" spans="4:5">
      <c r="D95" s="112">
        <v>-16248</v>
      </c>
      <c r="E95" s="52" t="s">
        <v>4379</v>
      </c>
    </row>
    <row r="96" spans="4:5">
      <c r="D96" s="112">
        <v>-87695</v>
      </c>
      <c r="E96" s="52" t="s">
        <v>4380</v>
      </c>
    </row>
    <row r="97" spans="4:7">
      <c r="D97" s="112">
        <v>-29231</v>
      </c>
      <c r="E97" s="52" t="s">
        <v>4381</v>
      </c>
    </row>
    <row r="98" spans="4:7">
      <c r="D98" s="112">
        <v>1000000</v>
      </c>
      <c r="E98" s="52" t="s">
        <v>4382</v>
      </c>
    </row>
    <row r="99" spans="4:7">
      <c r="D99" s="112">
        <v>-35250</v>
      </c>
      <c r="E99" s="52" t="s">
        <v>4383</v>
      </c>
    </row>
    <row r="100" spans="4:7">
      <c r="D100" s="112">
        <v>-57477</v>
      </c>
      <c r="E100" s="52" t="s">
        <v>4384</v>
      </c>
    </row>
    <row r="101" spans="4:7">
      <c r="D101" s="112">
        <v>-13565</v>
      </c>
      <c r="E101" s="52" t="s">
        <v>4385</v>
      </c>
    </row>
    <row r="102" spans="4:7">
      <c r="D102" s="112">
        <v>-9429</v>
      </c>
      <c r="E102" s="52" t="s">
        <v>4386</v>
      </c>
    </row>
    <row r="103" spans="4:7">
      <c r="D103" s="112">
        <v>-600000</v>
      </c>
      <c r="E103" s="52" t="s">
        <v>4387</v>
      </c>
    </row>
    <row r="104" spans="4:7">
      <c r="D104" s="112">
        <v>335</v>
      </c>
      <c r="E104" s="52" t="s">
        <v>4389</v>
      </c>
    </row>
    <row r="105" spans="4:7">
      <c r="D105" s="112">
        <v>31026</v>
      </c>
      <c r="E105" s="52" t="s">
        <v>4390</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4388</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4394</v>
      </c>
      <c r="B3" s="18">
        <v>2500000</v>
      </c>
      <c r="C3" s="18">
        <v>0</v>
      </c>
      <c r="D3" s="115">
        <f t="shared" ref="D3:D31" si="0">B3-C3</f>
        <v>2500000</v>
      </c>
      <c r="E3" s="20" t="s">
        <v>3873</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4396</v>
      </c>
      <c r="B4" s="18">
        <v>-2500000</v>
      </c>
      <c r="C4" s="18">
        <v>0</v>
      </c>
      <c r="D4" s="111">
        <f t="shared" si="0"/>
        <v>-2500000</v>
      </c>
      <c r="E4" s="97" t="s">
        <v>3752</v>
      </c>
      <c r="F4" s="94">
        <v>26</v>
      </c>
      <c r="G4" s="94">
        <f t="shared" si="1"/>
        <v>-65000000</v>
      </c>
      <c r="H4" s="94">
        <f t="shared" si="2"/>
        <v>0</v>
      </c>
      <c r="I4" s="94">
        <f t="shared" si="3"/>
        <v>-65000000</v>
      </c>
      <c r="J4" s="94"/>
      <c r="K4" s="94"/>
      <c r="L4" s="94"/>
      <c r="M4" s="94"/>
      <c r="N4" s="94"/>
      <c r="O4" s="94"/>
      <c r="P4" s="94"/>
      <c r="Q4" s="94"/>
      <c r="R4" s="94"/>
      <c r="S4" s="94"/>
      <c r="T4" s="94"/>
    </row>
    <row r="5" spans="1:20">
      <c r="A5" s="30" t="s">
        <v>4400</v>
      </c>
      <c r="B5" s="18">
        <v>1100000</v>
      </c>
      <c r="C5" s="18">
        <v>0</v>
      </c>
      <c r="D5" s="111">
        <f t="shared" si="0"/>
        <v>1100000</v>
      </c>
      <c r="E5" s="20" t="s">
        <v>4291</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4402</v>
      </c>
      <c r="B6" s="18">
        <v>3000000</v>
      </c>
      <c r="C6" s="18">
        <v>0</v>
      </c>
      <c r="D6" s="111">
        <f t="shared" si="0"/>
        <v>3000000</v>
      </c>
      <c r="E6" s="19" t="s">
        <v>4403</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4399</v>
      </c>
      <c r="B7" s="18">
        <v>-2000700</v>
      </c>
      <c r="C7" s="18">
        <v>0</v>
      </c>
      <c r="D7" s="111">
        <f t="shared" si="0"/>
        <v>-2000700</v>
      </c>
      <c r="E7" s="19" t="s">
        <v>4422</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4399</v>
      </c>
      <c r="B8" s="18">
        <v>-40000</v>
      </c>
      <c r="C8" s="18">
        <v>0</v>
      </c>
      <c r="D8" s="111">
        <f t="shared" si="0"/>
        <v>-40000</v>
      </c>
      <c r="E8" s="19" t="s">
        <v>1116</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4399</v>
      </c>
      <c r="B9" s="18">
        <v>-2000000</v>
      </c>
      <c r="C9" s="18">
        <v>0</v>
      </c>
      <c r="D9" s="111">
        <f t="shared" si="0"/>
        <v>-2000000</v>
      </c>
      <c r="E9" s="21" t="s">
        <v>3752</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4399</v>
      </c>
      <c r="B10" s="18">
        <v>490000</v>
      </c>
      <c r="C10" s="18">
        <v>0</v>
      </c>
      <c r="D10" s="111">
        <f t="shared" si="0"/>
        <v>490000</v>
      </c>
      <c r="E10" s="19" t="s">
        <v>3873</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4429</v>
      </c>
      <c r="B11" s="18">
        <v>1400000</v>
      </c>
      <c r="C11" s="18">
        <v>0</v>
      </c>
      <c r="D11" s="111">
        <f t="shared" si="0"/>
        <v>1400000</v>
      </c>
      <c r="E11" s="19" t="s">
        <v>3873</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4429</v>
      </c>
      <c r="B12" s="18">
        <v>-1500000</v>
      </c>
      <c r="C12" s="18">
        <v>0</v>
      </c>
      <c r="D12" s="111">
        <f t="shared" si="0"/>
        <v>-1500000</v>
      </c>
      <c r="E12" s="20" t="s">
        <v>3752</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4435</v>
      </c>
      <c r="B13" s="18">
        <v>-100000</v>
      </c>
      <c r="C13" s="18">
        <v>0</v>
      </c>
      <c r="D13" s="111">
        <f t="shared" si="0"/>
        <v>-100000</v>
      </c>
      <c r="E13" s="20" t="s">
        <v>3752</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4205</v>
      </c>
      <c r="B14" s="18">
        <v>-13900</v>
      </c>
      <c r="C14" s="18">
        <v>0</v>
      </c>
      <c r="D14" s="111">
        <f t="shared" si="0"/>
        <v>-13900</v>
      </c>
      <c r="E14" s="20" t="s">
        <v>3996</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4205</v>
      </c>
      <c r="B15" s="18">
        <v>300000</v>
      </c>
      <c r="C15" s="18">
        <v>0</v>
      </c>
      <c r="D15" s="115">
        <f t="shared" si="0"/>
        <v>300000</v>
      </c>
      <c r="E15" s="20" t="s">
        <v>3873</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4442</v>
      </c>
      <c r="B16" s="18">
        <v>12000000</v>
      </c>
      <c r="C16" s="18">
        <v>0</v>
      </c>
      <c r="D16" s="111">
        <f t="shared" si="0"/>
        <v>12000000</v>
      </c>
      <c r="E16" s="20" t="s">
        <v>4443</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4444</v>
      </c>
      <c r="B17" s="18">
        <v>3000000</v>
      </c>
      <c r="C17" s="18">
        <v>0</v>
      </c>
      <c r="D17" s="111">
        <f t="shared" si="0"/>
        <v>3000000</v>
      </c>
      <c r="E17" s="20" t="s">
        <v>3873</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4446</v>
      </c>
      <c r="B18" s="18">
        <v>-14000000</v>
      </c>
      <c r="C18" s="18">
        <v>0</v>
      </c>
      <c r="D18" s="111">
        <f t="shared" si="0"/>
        <v>-14000000</v>
      </c>
      <c r="E18" s="20" t="s">
        <v>3752</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4447</v>
      </c>
      <c r="B19" s="18">
        <v>-124969</v>
      </c>
      <c r="C19" s="18">
        <v>0</v>
      </c>
      <c r="D19" s="111">
        <f t="shared" si="0"/>
        <v>-124969</v>
      </c>
      <c r="E19" s="20" t="s">
        <v>3996</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4447</v>
      </c>
      <c r="B20" s="18">
        <v>0</v>
      </c>
      <c r="C20" s="18">
        <v>-8034286</v>
      </c>
      <c r="D20" s="111">
        <f t="shared" si="0"/>
        <v>8034286</v>
      </c>
      <c r="E20" s="19" t="s">
        <v>4448</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4447</v>
      </c>
      <c r="B21" s="18">
        <v>-10000</v>
      </c>
      <c r="C21" s="18">
        <v>0</v>
      </c>
      <c r="D21" s="111">
        <f t="shared" si="0"/>
        <v>-10000</v>
      </c>
      <c r="E21" s="19" t="s">
        <v>4449</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4450</v>
      </c>
      <c r="B22" s="18">
        <v>-1313000</v>
      </c>
      <c r="C22" s="18">
        <v>0</v>
      </c>
      <c r="D22" s="111">
        <f t="shared" si="0"/>
        <v>-1313000</v>
      </c>
      <c r="E22" s="19" t="s">
        <v>3752</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4454</v>
      </c>
      <c r="B23" s="18">
        <v>2000000</v>
      </c>
      <c r="C23" s="18">
        <v>0</v>
      </c>
      <c r="D23" s="111">
        <f t="shared" si="0"/>
        <v>2000000</v>
      </c>
      <c r="E23" s="19" t="s">
        <v>3873</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4455</v>
      </c>
      <c r="B24" s="18">
        <v>-1900000</v>
      </c>
      <c r="C24" s="18">
        <v>0</v>
      </c>
      <c r="D24" s="111">
        <f t="shared" si="0"/>
        <v>-1900000</v>
      </c>
      <c r="E24" s="19" t="s">
        <v>3752</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4455</v>
      </c>
      <c r="B25" s="18">
        <v>-100500</v>
      </c>
      <c r="C25" s="18">
        <v>0</v>
      </c>
      <c r="D25" s="111">
        <f t="shared" si="0"/>
        <v>-100500</v>
      </c>
      <c r="E25" s="19" t="s">
        <v>4457</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4455</v>
      </c>
      <c r="B26" s="18">
        <v>-68670</v>
      </c>
      <c r="C26" s="18">
        <v>0</v>
      </c>
      <c r="D26" s="111">
        <f t="shared" si="0"/>
        <v>-68670</v>
      </c>
      <c r="E26" s="19" t="s">
        <v>4461</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4458</v>
      </c>
      <c r="B27" s="18">
        <v>-118600</v>
      </c>
      <c r="C27" s="18">
        <v>0</v>
      </c>
      <c r="D27" s="111">
        <f t="shared" si="0"/>
        <v>-118600</v>
      </c>
      <c r="E27" s="19" t="s">
        <v>4463</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4468</v>
      </c>
      <c r="B28" s="18">
        <v>6779000</v>
      </c>
      <c r="C28" s="18">
        <v>0</v>
      </c>
      <c r="D28" s="111">
        <f t="shared" si="0"/>
        <v>6779000</v>
      </c>
      <c r="E28" s="19" t="s">
        <v>3873</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4468</v>
      </c>
      <c r="B29" s="18">
        <v>-6400000</v>
      </c>
      <c r="C29" s="18">
        <v>0</v>
      </c>
      <c r="D29" s="111">
        <f t="shared" si="0"/>
        <v>-6400000</v>
      </c>
      <c r="E29" s="19" t="s">
        <v>3752</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4468</v>
      </c>
      <c r="B30" s="18">
        <v>-389000</v>
      </c>
      <c r="C30" s="18">
        <v>0</v>
      </c>
      <c r="D30" s="111">
        <f t="shared" si="0"/>
        <v>-389000</v>
      </c>
      <c r="E30" s="19" t="s">
        <v>4470</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4146</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4420</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4423</v>
      </c>
      <c r="F39" s="94"/>
      <c r="G39" s="9" t="s">
        <v>1020</v>
      </c>
      <c r="H39" s="9" t="s">
        <v>38</v>
      </c>
      <c r="I39" s="9" t="s">
        <v>39</v>
      </c>
      <c r="J39" s="94"/>
      <c r="K39" s="94"/>
      <c r="L39" s="94"/>
      <c r="M39" s="94"/>
      <c r="N39" s="94"/>
      <c r="O39" s="94"/>
      <c r="P39" s="94"/>
      <c r="Q39" s="94"/>
      <c r="R39" s="94"/>
      <c r="S39" s="94"/>
      <c r="T39" s="94"/>
    </row>
    <row r="40" spans="1:20">
      <c r="A40" s="94"/>
      <c r="B40" s="112"/>
      <c r="C40" s="94"/>
      <c r="D40" s="112">
        <v>189200</v>
      </c>
      <c r="E40" s="52" t="s">
        <v>4425</v>
      </c>
      <c r="F40" s="94"/>
      <c r="G40" s="94"/>
      <c r="H40" s="94"/>
      <c r="I40" s="94"/>
      <c r="J40" s="94"/>
      <c r="K40" s="94"/>
      <c r="L40" s="94"/>
      <c r="M40" s="94"/>
      <c r="N40" s="94"/>
      <c r="O40" s="94"/>
      <c r="P40" s="94"/>
      <c r="Q40" s="94"/>
      <c r="R40" s="94"/>
      <c r="S40" s="94"/>
      <c r="T40" s="94"/>
    </row>
    <row r="41" spans="1:20">
      <c r="A41" s="94"/>
      <c r="B41" s="94"/>
      <c r="C41" s="94"/>
      <c r="D41" s="112">
        <v>40000</v>
      </c>
      <c r="E41" s="52" t="s">
        <v>4424</v>
      </c>
      <c r="F41" s="94"/>
      <c r="G41" s="94"/>
      <c r="H41" s="94"/>
      <c r="I41" s="94"/>
      <c r="J41" s="94"/>
      <c r="K41" s="94"/>
      <c r="L41" s="94"/>
      <c r="M41" s="94"/>
      <c r="N41" s="94"/>
      <c r="O41" s="94"/>
      <c r="P41" s="94"/>
      <c r="Q41" s="94"/>
      <c r="R41" s="94"/>
      <c r="S41" s="94"/>
      <c r="T41" s="94"/>
    </row>
    <row r="42" spans="1:20">
      <c r="A42" s="94"/>
      <c r="B42" s="94"/>
      <c r="C42" s="94"/>
      <c r="D42" s="112">
        <v>-490000</v>
      </c>
      <c r="E42" s="52" t="s">
        <v>4428</v>
      </c>
      <c r="F42" s="94"/>
      <c r="G42" s="94"/>
      <c r="H42" s="94"/>
      <c r="I42" s="94"/>
      <c r="J42" s="94"/>
      <c r="K42" s="94"/>
      <c r="L42" s="94"/>
      <c r="M42" s="94"/>
      <c r="N42" s="94"/>
      <c r="O42" s="94"/>
      <c r="P42" s="94"/>
      <c r="Q42" s="94"/>
      <c r="R42" s="94"/>
      <c r="S42" s="94"/>
      <c r="T42" s="94"/>
    </row>
    <row r="43" spans="1:20">
      <c r="A43" s="94"/>
      <c r="B43" s="94"/>
      <c r="C43" s="94"/>
      <c r="D43" s="112">
        <v>-597051</v>
      </c>
      <c r="E43" s="52" t="s">
        <v>4437</v>
      </c>
      <c r="F43" s="94"/>
      <c r="G43" s="94"/>
      <c r="H43" s="94"/>
      <c r="I43" s="94"/>
      <c r="J43" s="94"/>
      <c r="K43" s="94"/>
      <c r="L43" s="94"/>
      <c r="M43" s="94"/>
      <c r="N43" s="94"/>
      <c r="O43" s="94"/>
      <c r="P43" s="94"/>
      <c r="Q43" s="94"/>
      <c r="R43" s="94"/>
      <c r="S43" s="94"/>
      <c r="T43" s="94"/>
    </row>
    <row r="44" spans="1:20">
      <c r="A44" s="94"/>
      <c r="B44" s="94"/>
      <c r="C44" s="94"/>
      <c r="D44" s="112">
        <v>13900</v>
      </c>
      <c r="E44" s="52" t="s">
        <v>4438</v>
      </c>
      <c r="F44" s="94"/>
      <c r="G44" s="94"/>
      <c r="H44" s="94"/>
      <c r="I44" s="94"/>
      <c r="J44" s="94"/>
      <c r="K44" s="94"/>
      <c r="L44" s="94"/>
      <c r="M44" s="94"/>
      <c r="N44" s="94"/>
      <c r="O44" s="94"/>
      <c r="P44" s="94"/>
      <c r="Q44" s="94"/>
      <c r="R44" s="94"/>
      <c r="S44" s="94"/>
      <c r="T44" s="94"/>
    </row>
    <row r="45" spans="1:20">
      <c r="A45" s="94"/>
      <c r="B45" s="94"/>
      <c r="C45" s="94"/>
      <c r="D45" s="112">
        <v>2000000</v>
      </c>
      <c r="E45" s="52" t="s">
        <v>4439</v>
      </c>
      <c r="F45" s="94"/>
      <c r="G45" s="94" t="s">
        <v>25</v>
      </c>
      <c r="H45" s="94"/>
      <c r="I45" s="94"/>
      <c r="J45" s="94"/>
      <c r="K45" s="94"/>
      <c r="L45" s="94"/>
      <c r="M45" s="94"/>
      <c r="N45" s="94"/>
      <c r="O45" s="94"/>
      <c r="P45" s="94"/>
      <c r="Q45" s="94"/>
      <c r="R45" s="94"/>
      <c r="S45" s="94"/>
      <c r="T45" s="94"/>
    </row>
    <row r="46" spans="1:20">
      <c r="A46" s="94"/>
      <c r="B46" s="94"/>
      <c r="C46" s="94"/>
      <c r="D46" s="112">
        <v>-300000</v>
      </c>
      <c r="E46" s="52" t="s">
        <v>4440</v>
      </c>
      <c r="F46" s="94"/>
      <c r="G46" s="94" t="s">
        <v>25</v>
      </c>
      <c r="H46" s="94"/>
      <c r="I46" s="94"/>
      <c r="J46" s="94"/>
      <c r="K46" s="94"/>
      <c r="L46" s="94"/>
      <c r="M46" s="94"/>
      <c r="N46" s="94"/>
      <c r="O46" s="94"/>
      <c r="P46" s="94"/>
      <c r="Q46" s="94"/>
      <c r="R46" s="94"/>
      <c r="S46" s="94"/>
      <c r="T46" s="94"/>
    </row>
    <row r="47" spans="1:20" ht="30">
      <c r="A47" s="94"/>
      <c r="B47" s="94"/>
      <c r="C47" s="94"/>
      <c r="D47" s="112">
        <v>300000</v>
      </c>
      <c r="E47" s="52" t="s">
        <v>4445</v>
      </c>
      <c r="F47" s="94" t="s">
        <v>25</v>
      </c>
      <c r="G47" s="94"/>
      <c r="H47" s="94"/>
      <c r="I47" s="94"/>
      <c r="J47" s="94"/>
      <c r="K47" s="94"/>
      <c r="L47" s="94"/>
      <c r="M47" s="94"/>
      <c r="N47" s="94"/>
      <c r="O47" s="94"/>
      <c r="P47" s="94"/>
      <c r="Q47" s="94"/>
      <c r="R47" s="94"/>
      <c r="S47" s="94"/>
      <c r="T47" s="94"/>
    </row>
    <row r="48" spans="1:20">
      <c r="A48" s="94"/>
      <c r="B48" s="94"/>
      <c r="C48" s="94"/>
      <c r="D48" s="112">
        <v>124969</v>
      </c>
      <c r="E48" s="52" t="s">
        <v>3996</v>
      </c>
      <c r="F48" s="94"/>
      <c r="G48" s="94"/>
      <c r="H48" s="94"/>
      <c r="I48" s="94"/>
      <c r="J48" s="94"/>
      <c r="K48" s="94"/>
      <c r="L48" s="94"/>
      <c r="M48" s="94"/>
      <c r="N48" s="94"/>
      <c r="O48" s="94"/>
      <c r="P48" s="94"/>
      <c r="Q48" s="94"/>
      <c r="R48" s="94"/>
      <c r="S48" s="94"/>
      <c r="T48" s="94"/>
    </row>
    <row r="49" spans="1:20">
      <c r="A49" s="94"/>
      <c r="B49" s="94"/>
      <c r="C49" s="94"/>
      <c r="D49" s="112">
        <v>12661</v>
      </c>
      <c r="E49" s="52" t="s">
        <v>4451</v>
      </c>
      <c r="F49" s="94"/>
      <c r="G49" s="94"/>
      <c r="H49" s="94" t="s">
        <v>25</v>
      </c>
      <c r="I49" s="94"/>
      <c r="J49" s="94"/>
      <c r="K49" s="94"/>
      <c r="L49" s="94"/>
      <c r="M49" s="94"/>
      <c r="N49" s="94"/>
      <c r="O49" s="94"/>
      <c r="P49" s="94"/>
      <c r="Q49" s="94"/>
      <c r="R49" s="94"/>
      <c r="S49" s="94"/>
      <c r="T49" s="94"/>
    </row>
    <row r="50" spans="1:20">
      <c r="A50" s="94"/>
      <c r="B50" s="94"/>
      <c r="C50" s="94"/>
      <c r="D50" s="112">
        <v>-55000</v>
      </c>
      <c r="E50" s="52" t="s">
        <v>4453</v>
      </c>
      <c r="F50" s="94"/>
      <c r="G50" s="94"/>
      <c r="H50" s="94"/>
      <c r="I50" s="94"/>
      <c r="J50" s="94"/>
      <c r="K50" s="94"/>
      <c r="L50" s="94"/>
      <c r="M50" s="94"/>
      <c r="N50" s="94"/>
      <c r="O50" s="94"/>
      <c r="P50" s="94"/>
      <c r="Q50" s="94"/>
      <c r="R50" s="94"/>
      <c r="S50" s="94"/>
      <c r="T50" s="94"/>
    </row>
    <row r="51" spans="1:20">
      <c r="A51" s="94"/>
      <c r="B51" s="94"/>
      <c r="C51" s="94"/>
      <c r="D51" s="112">
        <v>100500</v>
      </c>
      <c r="E51" s="52" t="s">
        <v>4457</v>
      </c>
      <c r="F51" s="94"/>
      <c r="G51" s="94"/>
      <c r="H51" s="94"/>
      <c r="I51" s="94"/>
      <c r="J51" s="94"/>
      <c r="K51" s="94"/>
      <c r="L51" s="94"/>
      <c r="M51" s="94"/>
      <c r="N51" s="94"/>
      <c r="O51" s="94"/>
      <c r="P51" s="94"/>
      <c r="Q51" s="94"/>
      <c r="R51" s="94"/>
      <c r="S51" s="94"/>
      <c r="T51" s="94"/>
    </row>
    <row r="52" spans="1:20">
      <c r="A52" s="94"/>
      <c r="B52" s="94"/>
      <c r="C52" s="94"/>
      <c r="D52" s="112">
        <v>68670</v>
      </c>
      <c r="E52" s="52" t="s">
        <v>4462</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c r="A54" s="94"/>
      <c r="B54" s="94"/>
      <c r="C54" s="94"/>
      <c r="D54" s="112">
        <v>1000</v>
      </c>
      <c r="E54" s="52" t="s">
        <v>4469</v>
      </c>
      <c r="F54" s="112"/>
      <c r="G54" s="41"/>
      <c r="H54" s="94"/>
      <c r="I54" s="94"/>
      <c r="J54" s="94"/>
      <c r="K54" s="94"/>
      <c r="L54" s="94"/>
      <c r="M54" s="94"/>
      <c r="N54" s="94"/>
      <c r="O54" s="94"/>
      <c r="P54" s="94"/>
      <c r="Q54" s="94"/>
      <c r="R54" s="94"/>
      <c r="S54" s="94"/>
      <c r="T54" s="94"/>
    </row>
    <row r="55" spans="1:20">
      <c r="A55" s="94"/>
      <c r="B55" s="94"/>
      <c r="C55" s="94"/>
      <c r="D55" s="112">
        <v>389000</v>
      </c>
      <c r="E55" s="52" t="s">
        <v>4018</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4392</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4490</v>
      </c>
      <c r="B3" s="18">
        <v>220000</v>
      </c>
      <c r="C3" s="18">
        <v>0</v>
      </c>
      <c r="D3" s="111">
        <f t="shared" ref="D3:D30" si="0">B3-C3</f>
        <v>220000</v>
      </c>
      <c r="E3" s="20" t="s">
        <v>3873</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4490</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4494</v>
      </c>
      <c r="B5" s="18">
        <v>100000</v>
      </c>
      <c r="C5" s="18">
        <v>0</v>
      </c>
      <c r="D5" s="111">
        <f t="shared" si="0"/>
        <v>100000</v>
      </c>
      <c r="E5" s="20" t="s">
        <v>3873</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4494</v>
      </c>
      <c r="B6" s="18">
        <v>2600000</v>
      </c>
      <c r="C6" s="18">
        <v>0</v>
      </c>
      <c r="D6" s="111">
        <f t="shared" si="0"/>
        <v>2600000</v>
      </c>
      <c r="E6" s="19" t="s">
        <v>3873</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4497</v>
      </c>
      <c r="B7" s="18">
        <v>4400000</v>
      </c>
      <c r="C7" s="18">
        <v>0</v>
      </c>
      <c r="D7" s="111">
        <f t="shared" si="0"/>
        <v>4400000</v>
      </c>
      <c r="E7" s="19" t="s">
        <v>3873</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4497</v>
      </c>
      <c r="B8" s="18">
        <v>-95000</v>
      </c>
      <c r="C8" s="18">
        <v>0</v>
      </c>
      <c r="D8" s="111">
        <f t="shared" si="0"/>
        <v>-95000</v>
      </c>
      <c r="E8" s="19" t="s">
        <v>1116</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4500</v>
      </c>
      <c r="B9" s="18">
        <v>3000000</v>
      </c>
      <c r="C9" s="18">
        <v>0</v>
      </c>
      <c r="D9" s="111">
        <f t="shared" si="0"/>
        <v>3000000</v>
      </c>
      <c r="E9" s="21" t="s">
        <v>3873</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4503</v>
      </c>
      <c r="B10" s="18">
        <v>2500000</v>
      </c>
      <c r="C10" s="18">
        <v>0</v>
      </c>
      <c r="D10" s="111">
        <f t="shared" si="0"/>
        <v>2500000</v>
      </c>
      <c r="E10" s="19" t="s">
        <v>3873</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4503</v>
      </c>
      <c r="B11" s="18">
        <v>-1287000</v>
      </c>
      <c r="C11" s="18">
        <v>0</v>
      </c>
      <c r="D11" s="111">
        <f t="shared" si="0"/>
        <v>-1287000</v>
      </c>
      <c r="E11" s="19" t="s">
        <v>4504</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4500</v>
      </c>
      <c r="B12" s="18">
        <v>-3900000</v>
      </c>
      <c r="C12" s="18">
        <v>0</v>
      </c>
      <c r="D12" s="111">
        <f t="shared" si="0"/>
        <v>-3900000</v>
      </c>
      <c r="E12" s="20" t="s">
        <v>3752</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4501</v>
      </c>
      <c r="B13" s="18">
        <v>3800000</v>
      </c>
      <c r="C13" s="18">
        <v>0</v>
      </c>
      <c r="D13" s="111">
        <f t="shared" si="0"/>
        <v>3800000</v>
      </c>
      <c r="E13" s="20" t="s">
        <v>3873</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4511</v>
      </c>
      <c r="B14" s="18">
        <v>21000000</v>
      </c>
      <c r="C14" s="18">
        <v>0</v>
      </c>
      <c r="D14" s="111">
        <f t="shared" si="0"/>
        <v>21000000</v>
      </c>
      <c r="E14" s="20" t="s">
        <v>3873</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977</v>
      </c>
      <c r="B15" s="18">
        <v>3000000</v>
      </c>
      <c r="C15" s="18">
        <v>0</v>
      </c>
      <c r="D15" s="111">
        <f t="shared" si="0"/>
        <v>3000000</v>
      </c>
      <c r="E15" s="20" t="s">
        <v>3873</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977</v>
      </c>
      <c r="B16" s="18">
        <v>2000000</v>
      </c>
      <c r="C16" s="18">
        <v>0</v>
      </c>
      <c r="D16" s="111">
        <f t="shared" si="0"/>
        <v>2000000</v>
      </c>
      <c r="E16" s="20" t="s">
        <v>3873</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4514</v>
      </c>
      <c r="B17" s="18">
        <v>-2000000</v>
      </c>
      <c r="C17" s="18">
        <v>0</v>
      </c>
      <c r="D17" s="111">
        <f t="shared" si="0"/>
        <v>-2000000</v>
      </c>
      <c r="E17" s="20" t="s">
        <v>3752</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4515</v>
      </c>
      <c r="B18" s="18">
        <v>-10000000</v>
      </c>
      <c r="C18" s="18">
        <v>0</v>
      </c>
      <c r="D18" s="111">
        <f t="shared" si="0"/>
        <v>-10000000</v>
      </c>
      <c r="E18" s="20" t="s">
        <v>3752</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4517</v>
      </c>
      <c r="B19" s="18">
        <v>-16700000</v>
      </c>
      <c r="C19" s="18">
        <v>0</v>
      </c>
      <c r="D19" s="111">
        <f t="shared" si="0"/>
        <v>-16700000</v>
      </c>
      <c r="E19" s="20" t="s">
        <v>3752</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4524</v>
      </c>
      <c r="B20" s="18">
        <v>12000000</v>
      </c>
      <c r="C20" s="18">
        <v>0</v>
      </c>
      <c r="D20" s="111">
        <f t="shared" si="0"/>
        <v>12000000</v>
      </c>
      <c r="E20" s="19" t="s">
        <v>3873</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4527</v>
      </c>
      <c r="B21" s="18">
        <v>1900000</v>
      </c>
      <c r="C21" s="18">
        <v>0</v>
      </c>
      <c r="D21" s="111">
        <f t="shared" si="0"/>
        <v>1900000</v>
      </c>
      <c r="E21" s="19" t="s">
        <v>3873</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4450</v>
      </c>
      <c r="B22" s="18">
        <v>-3995000</v>
      </c>
      <c r="C22" s="18">
        <v>0</v>
      </c>
      <c r="D22" s="111">
        <f t="shared" si="0"/>
        <v>-3995000</v>
      </c>
      <c r="E22" s="19" t="s">
        <v>4528</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4454</v>
      </c>
      <c r="B23" s="18">
        <v>-2010700</v>
      </c>
      <c r="C23" s="18">
        <v>0</v>
      </c>
      <c r="D23" s="111">
        <f t="shared" si="0"/>
        <v>-2010700</v>
      </c>
      <c r="E23" s="19" t="s">
        <v>4537</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4536</v>
      </c>
      <c r="B24" s="18">
        <v>-4000000</v>
      </c>
      <c r="C24" s="18">
        <v>0</v>
      </c>
      <c r="D24" s="111">
        <f t="shared" si="0"/>
        <v>-4000000</v>
      </c>
      <c r="E24" s="19" t="s">
        <v>3752</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4540</v>
      </c>
      <c r="B25" s="18">
        <v>-5700000</v>
      </c>
      <c r="C25" s="18">
        <v>0</v>
      </c>
      <c r="D25" s="111">
        <f t="shared" si="0"/>
        <v>-5700000</v>
      </c>
      <c r="E25" s="19" t="s">
        <v>3752</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4544</v>
      </c>
      <c r="B26" s="18">
        <v>8000000</v>
      </c>
      <c r="C26" s="18">
        <v>0</v>
      </c>
      <c r="D26" s="111">
        <f t="shared" si="0"/>
        <v>8000000</v>
      </c>
      <c r="E26" s="19" t="s">
        <v>3873</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3673</v>
      </c>
      <c r="B27" s="18">
        <v>-8000000</v>
      </c>
      <c r="C27" s="18">
        <v>0</v>
      </c>
      <c r="D27" s="111">
        <f t="shared" si="0"/>
        <v>-8000000</v>
      </c>
      <c r="E27" s="19" t="s">
        <v>3752</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4548</v>
      </c>
      <c r="B28" s="18">
        <v>-6000000</v>
      </c>
      <c r="C28" s="18">
        <v>0</v>
      </c>
      <c r="D28" s="111">
        <f t="shared" si="0"/>
        <v>-6000000</v>
      </c>
      <c r="E28" s="19" t="s">
        <v>3752</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4548</v>
      </c>
      <c r="B29" s="18">
        <v>-77315</v>
      </c>
      <c r="C29" s="18">
        <v>0</v>
      </c>
      <c r="D29" s="111">
        <f t="shared" si="0"/>
        <v>-77315</v>
      </c>
      <c r="E29" s="19" t="s">
        <v>4550</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4552</v>
      </c>
      <c r="B30" s="18">
        <v>-66850</v>
      </c>
      <c r="C30" s="18">
        <v>0</v>
      </c>
      <c r="D30" s="111">
        <f t="shared" si="0"/>
        <v>-66850</v>
      </c>
      <c r="E30" s="19" t="s">
        <v>4555</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4552</v>
      </c>
      <c r="B31" s="166">
        <v>-30000</v>
      </c>
      <c r="C31" s="166">
        <v>0</v>
      </c>
      <c r="D31" s="166">
        <f>B31-C31</f>
        <v>-30000</v>
      </c>
      <c r="E31" s="166" t="s">
        <v>4554</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4492</v>
      </c>
      <c r="F39" s="94"/>
      <c r="G39" s="9" t="s">
        <v>1020</v>
      </c>
      <c r="H39" s="9" t="s">
        <v>38</v>
      </c>
      <c r="I39" s="9" t="s">
        <v>39</v>
      </c>
      <c r="J39" s="94"/>
      <c r="K39" s="94"/>
      <c r="L39" s="94"/>
      <c r="M39" s="94"/>
      <c r="N39" s="94"/>
      <c r="O39" s="94"/>
      <c r="P39" s="94"/>
      <c r="Q39" s="94"/>
      <c r="R39" s="94"/>
      <c r="S39" s="94"/>
    </row>
    <row r="40" spans="1:19" ht="19.5" customHeight="1">
      <c r="A40" s="94"/>
      <c r="B40" s="112"/>
      <c r="C40" s="94"/>
      <c r="D40" s="18">
        <v>-1297612</v>
      </c>
      <c r="E40" s="120" t="s">
        <v>4496</v>
      </c>
      <c r="F40" s="94"/>
      <c r="G40" s="94"/>
      <c r="H40" s="94"/>
      <c r="I40" s="94"/>
      <c r="J40" s="94"/>
      <c r="K40" s="94"/>
      <c r="L40" s="94"/>
      <c r="M40" s="94"/>
      <c r="N40" s="94"/>
      <c r="O40" s="94"/>
      <c r="P40" s="94"/>
      <c r="Q40" s="94"/>
      <c r="R40" s="94"/>
      <c r="S40" s="94"/>
    </row>
    <row r="41" spans="1:19" ht="24.75" customHeight="1">
      <c r="A41" s="94"/>
      <c r="B41" s="94"/>
      <c r="C41" s="94"/>
      <c r="D41" s="18">
        <v>3576</v>
      </c>
      <c r="E41" s="120" t="s">
        <v>4498</v>
      </c>
      <c r="F41" s="94"/>
      <c r="G41" s="94"/>
      <c r="H41" s="94"/>
      <c r="I41" s="94"/>
      <c r="J41" s="94"/>
      <c r="K41" s="94"/>
      <c r="L41" s="94"/>
      <c r="M41" s="94"/>
      <c r="N41" s="94"/>
      <c r="O41" s="94"/>
      <c r="P41" s="94"/>
      <c r="Q41" s="94"/>
      <c r="R41" s="94"/>
      <c r="S41" s="94"/>
    </row>
    <row r="42" spans="1:19" ht="30.75" customHeight="1">
      <c r="A42" s="94"/>
      <c r="B42" s="94"/>
      <c r="C42" s="94"/>
      <c r="D42" s="18">
        <v>-400000</v>
      </c>
      <c r="E42" s="120" t="s">
        <v>4499</v>
      </c>
      <c r="F42" s="94"/>
      <c r="G42" s="94"/>
      <c r="H42" s="94"/>
      <c r="I42" s="94"/>
      <c r="J42" s="94"/>
      <c r="K42" s="94"/>
      <c r="L42" s="94"/>
      <c r="M42" s="94"/>
      <c r="N42" s="94"/>
      <c r="O42" s="94"/>
      <c r="P42" s="94"/>
      <c r="Q42" s="94"/>
      <c r="R42" s="94"/>
      <c r="S42" s="94"/>
    </row>
    <row r="43" spans="1:19" ht="24.75" customHeight="1">
      <c r="A43" s="94"/>
      <c r="B43" s="94"/>
      <c r="C43" s="94"/>
      <c r="D43" s="18">
        <v>30000</v>
      </c>
      <c r="E43" s="120" t="s">
        <v>3757</v>
      </c>
      <c r="F43" s="94"/>
      <c r="G43" s="94"/>
      <c r="H43" s="94"/>
      <c r="I43" s="94"/>
      <c r="J43" s="94"/>
      <c r="K43" s="94"/>
      <c r="L43" s="94"/>
      <c r="M43" s="94"/>
      <c r="N43" s="94"/>
      <c r="O43" s="94"/>
      <c r="P43" s="94"/>
      <c r="Q43" s="94"/>
      <c r="R43" s="94"/>
      <c r="S43" s="94"/>
    </row>
    <row r="44" spans="1:19" ht="21.75" customHeight="1">
      <c r="A44" s="94"/>
      <c r="B44" s="94"/>
      <c r="C44" s="94"/>
      <c r="D44" s="18">
        <v>57000</v>
      </c>
      <c r="E44" s="120" t="s">
        <v>4505</v>
      </c>
      <c r="F44" s="94"/>
      <c r="G44" s="94"/>
      <c r="H44" s="94"/>
      <c r="I44" s="94"/>
      <c r="J44" s="94"/>
      <c r="K44" s="94"/>
      <c r="L44" s="94"/>
      <c r="M44" s="94"/>
      <c r="N44" s="94"/>
      <c r="O44" s="94"/>
      <c r="P44" s="94"/>
      <c r="Q44" s="94"/>
      <c r="R44" s="94"/>
      <c r="S44" s="94"/>
    </row>
    <row r="45" spans="1:19" ht="24.75" customHeight="1">
      <c r="A45" s="94"/>
      <c r="B45" s="94"/>
      <c r="C45" s="94"/>
      <c r="D45" s="18">
        <v>-200000</v>
      </c>
      <c r="E45" s="120" t="s">
        <v>4512</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4538</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4545</v>
      </c>
      <c r="F47" s="94" t="s">
        <v>25</v>
      </c>
      <c r="G47" s="94"/>
      <c r="H47" s="94"/>
      <c r="I47" s="94"/>
      <c r="J47" s="94"/>
      <c r="K47" s="94"/>
      <c r="L47" s="94"/>
      <c r="M47" s="94"/>
      <c r="N47" s="94"/>
      <c r="O47" s="94"/>
      <c r="P47" s="94"/>
      <c r="Q47" s="94"/>
      <c r="R47" s="94"/>
      <c r="S47" s="94"/>
    </row>
    <row r="48" spans="1:19">
      <c r="A48" s="94"/>
      <c r="B48" s="94"/>
      <c r="C48" s="94"/>
      <c r="D48" s="18">
        <v>49315</v>
      </c>
      <c r="E48" s="120" t="s">
        <v>4551</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4552</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4558</v>
      </c>
      <c r="B3" s="18">
        <v>-45000</v>
      </c>
      <c r="C3" s="18">
        <v>0</v>
      </c>
      <c r="D3" s="111">
        <f t="shared" ref="D3:D31" si="0">B3-C3</f>
        <v>-45000</v>
      </c>
      <c r="E3" s="20" t="s">
        <v>3752</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4558</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4569</v>
      </c>
      <c r="B5" s="18">
        <v>-200000</v>
      </c>
      <c r="C5" s="18">
        <v>0</v>
      </c>
      <c r="D5" s="111">
        <f t="shared" si="0"/>
        <v>-200000</v>
      </c>
      <c r="E5" s="20" t="s">
        <v>4566</v>
      </c>
      <c r="F5" s="94">
        <v>28</v>
      </c>
      <c r="G5" s="94">
        <f t="shared" si="1"/>
        <v>-5600000</v>
      </c>
      <c r="H5" s="94">
        <f t="shared" si="2"/>
        <v>0</v>
      </c>
      <c r="I5" s="94">
        <f t="shared" si="3"/>
        <v>-5600000</v>
      </c>
      <c r="J5" s="94"/>
      <c r="K5" s="94"/>
      <c r="L5" s="94"/>
      <c r="M5" s="94"/>
      <c r="N5" s="94"/>
      <c r="O5" s="94">
        <v>1</v>
      </c>
      <c r="P5" s="94">
        <v>29</v>
      </c>
      <c r="Q5" s="94">
        <v>30</v>
      </c>
      <c r="R5" s="94"/>
      <c r="S5" s="94"/>
    </row>
    <row r="6" spans="1:19">
      <c r="A6" s="17" t="s">
        <v>4579</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4581</v>
      </c>
      <c r="B7" s="18">
        <v>-60000</v>
      </c>
      <c r="C7" s="18">
        <v>0</v>
      </c>
      <c r="D7" s="111">
        <f t="shared" si="0"/>
        <v>-60000</v>
      </c>
      <c r="E7" s="19" t="s">
        <v>3752</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4581</v>
      </c>
      <c r="B8" s="18">
        <v>2400000</v>
      </c>
      <c r="C8" s="18">
        <v>0</v>
      </c>
      <c r="D8" s="111">
        <f t="shared" si="0"/>
        <v>2400000</v>
      </c>
      <c r="E8" s="19" t="s">
        <v>3873</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4581</v>
      </c>
      <c r="B9" s="18">
        <v>-135487</v>
      </c>
      <c r="C9" s="18">
        <v>0</v>
      </c>
      <c r="D9" s="111">
        <f t="shared" si="0"/>
        <v>-135487</v>
      </c>
      <c r="E9" s="21" t="s">
        <v>3996</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4581</v>
      </c>
      <c r="B10" s="18">
        <v>-51400</v>
      </c>
      <c r="C10" s="18">
        <v>0</v>
      </c>
      <c r="D10" s="111">
        <f t="shared" si="0"/>
        <v>-51400</v>
      </c>
      <c r="E10" s="19" t="s">
        <v>4587</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4590</v>
      </c>
      <c r="B11" s="18">
        <v>-2250000</v>
      </c>
      <c r="C11" s="18">
        <v>0</v>
      </c>
      <c r="D11" s="111">
        <f t="shared" si="0"/>
        <v>-2250000</v>
      </c>
      <c r="E11" s="19" t="s">
        <v>3752</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4590</v>
      </c>
      <c r="B12" s="18">
        <v>700000</v>
      </c>
      <c r="C12" s="18">
        <v>0</v>
      </c>
      <c r="D12" s="111">
        <f t="shared" si="0"/>
        <v>700000</v>
      </c>
      <c r="E12" s="20" t="s">
        <v>3873</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4600</v>
      </c>
      <c r="B13" s="18">
        <v>570000</v>
      </c>
      <c r="C13" s="18">
        <v>0</v>
      </c>
      <c r="D13" s="111">
        <f t="shared" si="0"/>
        <v>570000</v>
      </c>
      <c r="E13" s="20" t="s">
        <v>3873</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4600</v>
      </c>
      <c r="B14" s="18">
        <v>-80000</v>
      </c>
      <c r="C14" s="18">
        <v>0</v>
      </c>
      <c r="D14" s="111">
        <f t="shared" si="0"/>
        <v>-80000</v>
      </c>
      <c r="E14" s="20" t="s">
        <v>1116</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4600</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4603</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4608</v>
      </c>
      <c r="B17" s="18">
        <v>-1000</v>
      </c>
      <c r="C17" s="18">
        <v>0</v>
      </c>
      <c r="D17" s="111">
        <f t="shared" si="0"/>
        <v>-1000</v>
      </c>
      <c r="E17" s="20" t="s">
        <v>3752</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4614</v>
      </c>
      <c r="B18" s="18">
        <v>250000</v>
      </c>
      <c r="C18" s="18">
        <v>0</v>
      </c>
      <c r="D18" s="111">
        <f t="shared" si="0"/>
        <v>250000</v>
      </c>
      <c r="E18" s="20" t="s">
        <v>3873</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4614</v>
      </c>
      <c r="B19" s="18">
        <v>-55120</v>
      </c>
      <c r="C19" s="18">
        <v>0</v>
      </c>
      <c r="D19" s="111">
        <f t="shared" si="0"/>
        <v>-55120</v>
      </c>
      <c r="E19" s="20" t="s">
        <v>3996</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4623</v>
      </c>
      <c r="B20" s="18">
        <v>-115000</v>
      </c>
      <c r="C20" s="18">
        <v>0</v>
      </c>
      <c r="D20" s="111">
        <f t="shared" si="0"/>
        <v>-115000</v>
      </c>
      <c r="E20" s="19" t="s">
        <v>805</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4616</v>
      </c>
      <c r="B21" s="18">
        <v>-214549</v>
      </c>
      <c r="C21" s="18">
        <v>0</v>
      </c>
      <c r="D21" s="111">
        <f t="shared" si="0"/>
        <v>-214549</v>
      </c>
      <c r="E21" s="19" t="s">
        <v>3909</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4617</v>
      </c>
      <c r="B22" s="18">
        <v>-324747</v>
      </c>
      <c r="C22" s="18">
        <v>0</v>
      </c>
      <c r="D22" s="111">
        <f t="shared" si="0"/>
        <v>-324747</v>
      </c>
      <c r="E22" s="19" t="s">
        <v>4624</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4631</v>
      </c>
      <c r="B23" s="18">
        <v>-297992</v>
      </c>
      <c r="C23" s="18">
        <v>0</v>
      </c>
      <c r="D23" s="111">
        <f t="shared" si="0"/>
        <v>-297992</v>
      </c>
      <c r="E23" s="19" t="s">
        <v>4632</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3666</v>
      </c>
      <c r="B24" s="18">
        <v>-130000</v>
      </c>
      <c r="C24" s="18">
        <v>0</v>
      </c>
      <c r="D24" s="111">
        <f t="shared" si="0"/>
        <v>-130000</v>
      </c>
      <c r="E24" s="19" t="s">
        <v>3909</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4639</v>
      </c>
      <c r="B25" s="18">
        <v>-40000</v>
      </c>
      <c r="C25" s="18">
        <v>0</v>
      </c>
      <c r="D25" s="111">
        <f t="shared" si="0"/>
        <v>-40000</v>
      </c>
      <c r="E25" s="19" t="s">
        <v>1116</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4544</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3673</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4548</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4548</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4552</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4552</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4562</v>
      </c>
      <c r="F39" s="94"/>
      <c r="G39" s="9" t="s">
        <v>1020</v>
      </c>
      <c r="H39" s="9" t="s">
        <v>38</v>
      </c>
      <c r="I39" s="9" t="s">
        <v>39</v>
      </c>
      <c r="J39" s="94"/>
      <c r="K39" s="94"/>
      <c r="L39" s="94"/>
      <c r="M39" s="94"/>
      <c r="N39" s="94"/>
      <c r="O39" s="94"/>
      <c r="P39" s="94"/>
      <c r="Q39" s="94"/>
      <c r="R39" s="94"/>
      <c r="S39" s="94"/>
    </row>
    <row r="40" spans="1:19">
      <c r="A40" s="94"/>
      <c r="B40" s="112"/>
      <c r="C40" s="94"/>
      <c r="D40" s="18">
        <v>-200000</v>
      </c>
      <c r="E40" s="120" t="s">
        <v>4563</v>
      </c>
      <c r="F40" s="94"/>
      <c r="G40" s="94"/>
      <c r="H40" s="94"/>
      <c r="I40" s="94"/>
      <c r="J40" s="94"/>
      <c r="K40" s="94"/>
      <c r="L40" s="94"/>
      <c r="M40" s="94"/>
      <c r="N40" s="94"/>
      <c r="O40" s="94"/>
      <c r="P40" s="94"/>
      <c r="Q40" s="94"/>
      <c r="R40" s="94"/>
      <c r="S40" s="94"/>
    </row>
    <row r="41" spans="1:19">
      <c r="A41" s="94"/>
      <c r="B41" s="94"/>
      <c r="C41" s="94"/>
      <c r="D41" s="18">
        <v>47848</v>
      </c>
      <c r="E41" s="120" t="s">
        <v>4567</v>
      </c>
      <c r="F41" s="94"/>
      <c r="G41" s="94"/>
      <c r="H41" s="94"/>
      <c r="I41" s="94"/>
      <c r="J41" s="94"/>
      <c r="K41" s="94"/>
      <c r="L41" s="94"/>
      <c r="M41" s="94"/>
      <c r="N41" s="94"/>
      <c r="O41" s="94"/>
      <c r="P41" s="94"/>
      <c r="Q41" s="94"/>
      <c r="R41" s="94"/>
      <c r="S41" s="94"/>
    </row>
    <row r="42" spans="1:19">
      <c r="A42" s="94"/>
      <c r="B42" s="94"/>
      <c r="C42" s="94"/>
      <c r="D42" s="18">
        <v>200000</v>
      </c>
      <c r="E42" s="120" t="s">
        <v>4568</v>
      </c>
      <c r="F42" s="94"/>
      <c r="G42" s="94"/>
      <c r="H42" s="94"/>
      <c r="I42" s="94"/>
      <c r="J42" s="94"/>
      <c r="K42" s="94"/>
      <c r="L42" s="94"/>
      <c r="M42" s="94"/>
      <c r="N42" s="94"/>
      <c r="O42" s="94"/>
      <c r="P42" s="94"/>
      <c r="Q42" s="94"/>
      <c r="R42" s="94"/>
      <c r="S42" s="94"/>
    </row>
    <row r="43" spans="1:19">
      <c r="A43" s="94"/>
      <c r="B43" s="94"/>
      <c r="C43" s="94"/>
      <c r="D43" s="18">
        <v>60460</v>
      </c>
      <c r="E43" s="120" t="s">
        <v>4583</v>
      </c>
      <c r="F43" s="94"/>
      <c r="G43" s="94"/>
      <c r="H43" s="94"/>
      <c r="I43" s="94"/>
      <c r="J43" s="94"/>
      <c r="K43" s="94"/>
      <c r="L43" s="94"/>
      <c r="M43" s="94"/>
      <c r="N43" s="94"/>
      <c r="O43" s="94"/>
      <c r="P43" s="94"/>
      <c r="Q43" s="94"/>
      <c r="R43" s="94"/>
      <c r="S43" s="94"/>
    </row>
    <row r="44" spans="1:19">
      <c r="A44" s="94"/>
      <c r="B44" s="94"/>
      <c r="C44" s="94"/>
      <c r="D44" s="18">
        <v>-2400000</v>
      </c>
      <c r="E44" s="120" t="s">
        <v>4584</v>
      </c>
      <c r="F44" s="94"/>
      <c r="G44" s="94"/>
      <c r="H44" s="94"/>
      <c r="I44" s="94"/>
      <c r="J44" s="94"/>
      <c r="K44" s="94"/>
      <c r="L44" s="94"/>
      <c r="M44" s="94"/>
      <c r="N44" s="94"/>
      <c r="O44" s="94"/>
      <c r="P44" s="94"/>
      <c r="Q44" s="94"/>
      <c r="R44" s="94"/>
      <c r="S44" s="94"/>
    </row>
    <row r="45" spans="1:19">
      <c r="A45" s="94"/>
      <c r="B45" s="94"/>
      <c r="C45" s="94"/>
      <c r="D45" s="18">
        <v>135487</v>
      </c>
      <c r="E45" s="120" t="s">
        <v>4585</v>
      </c>
      <c r="F45" s="94"/>
      <c r="G45" s="94" t="s">
        <v>25</v>
      </c>
      <c r="H45" s="94"/>
      <c r="I45" s="94"/>
      <c r="J45" s="94"/>
      <c r="K45" s="94"/>
      <c r="L45" s="94"/>
      <c r="M45" s="94"/>
      <c r="N45" s="94"/>
      <c r="O45" s="94"/>
      <c r="P45" s="94"/>
      <c r="Q45" s="94"/>
      <c r="R45" s="94"/>
      <c r="S45" s="94"/>
    </row>
    <row r="46" spans="1:19">
      <c r="A46" s="94"/>
      <c r="B46" s="94"/>
      <c r="C46" s="94"/>
      <c r="D46" s="18">
        <v>347153</v>
      </c>
      <c r="E46" s="120" t="s">
        <v>4586</v>
      </c>
      <c r="F46" s="94"/>
      <c r="G46" s="94" t="s">
        <v>25</v>
      </c>
      <c r="H46" s="94"/>
      <c r="I46" s="94"/>
      <c r="J46" s="94"/>
      <c r="K46" s="94"/>
      <c r="L46" s="94"/>
      <c r="M46" s="94"/>
      <c r="N46" s="94"/>
      <c r="O46" s="94"/>
      <c r="P46" s="94"/>
      <c r="Q46" s="94"/>
      <c r="R46" s="94"/>
      <c r="S46" s="94"/>
    </row>
    <row r="47" spans="1:19">
      <c r="A47" s="94"/>
      <c r="B47" s="94"/>
      <c r="C47" s="94"/>
      <c r="D47" s="18">
        <v>51400</v>
      </c>
      <c r="E47" s="120" t="s">
        <v>4587</v>
      </c>
      <c r="F47" s="94" t="s">
        <v>25</v>
      </c>
      <c r="G47" s="94"/>
      <c r="H47" s="94"/>
      <c r="I47" s="94"/>
      <c r="J47" s="94"/>
      <c r="K47" s="94"/>
      <c r="L47" s="94"/>
      <c r="M47" s="94"/>
      <c r="N47" s="94"/>
      <c r="O47" s="94"/>
      <c r="P47" s="94"/>
      <c r="Q47" s="94"/>
      <c r="R47" s="94"/>
      <c r="S47" s="94"/>
    </row>
    <row r="48" spans="1:19">
      <c r="A48" s="94"/>
      <c r="B48" s="94"/>
      <c r="C48" s="94"/>
      <c r="D48" s="18">
        <v>-200000</v>
      </c>
      <c r="E48" s="120" t="s">
        <v>4591</v>
      </c>
      <c r="F48" s="94"/>
      <c r="G48" s="94"/>
      <c r="H48" s="94"/>
      <c r="I48" s="94"/>
      <c r="J48" s="94"/>
      <c r="K48" s="94"/>
      <c r="L48" s="94"/>
      <c r="M48" s="94"/>
      <c r="N48" s="94"/>
      <c r="O48" s="94"/>
      <c r="P48" s="94"/>
      <c r="Q48" s="94"/>
      <c r="R48" s="94"/>
      <c r="S48" s="94"/>
    </row>
    <row r="49" spans="1:19">
      <c r="A49" s="94"/>
      <c r="B49" s="94"/>
      <c r="C49" s="94"/>
      <c r="D49" s="18">
        <v>-400000</v>
      </c>
      <c r="E49" s="120" t="s">
        <v>4597</v>
      </c>
      <c r="F49" s="94"/>
      <c r="G49" s="94"/>
      <c r="H49" s="94" t="s">
        <v>25</v>
      </c>
      <c r="I49" s="94"/>
      <c r="J49" s="94"/>
      <c r="K49" s="94"/>
      <c r="L49" s="94"/>
      <c r="M49" s="94"/>
      <c r="N49" s="94"/>
      <c r="O49" s="94"/>
      <c r="P49" s="94"/>
      <c r="Q49" s="94"/>
      <c r="R49" s="94"/>
      <c r="S49" s="94"/>
    </row>
    <row r="50" spans="1:19">
      <c r="A50" s="94"/>
      <c r="B50" s="94"/>
      <c r="C50" s="94"/>
      <c r="D50" s="18">
        <v>-200000</v>
      </c>
      <c r="E50" s="120" t="s">
        <v>4598</v>
      </c>
      <c r="F50" s="94"/>
      <c r="G50" s="94"/>
      <c r="H50" s="94"/>
      <c r="I50" s="94"/>
      <c r="J50" s="94"/>
      <c r="K50" s="94"/>
      <c r="L50" s="94"/>
      <c r="M50" s="94"/>
      <c r="N50" s="94"/>
      <c r="O50" s="94"/>
      <c r="P50" s="94"/>
      <c r="Q50" s="94"/>
      <c r="R50" s="94"/>
      <c r="S50" s="94"/>
    </row>
    <row r="51" spans="1:19">
      <c r="A51" s="94"/>
      <c r="B51" s="94"/>
      <c r="C51" s="94"/>
      <c r="D51" s="18">
        <v>276773</v>
      </c>
      <c r="E51" s="120" t="s">
        <v>4601</v>
      </c>
      <c r="F51" s="94"/>
      <c r="G51" s="94"/>
      <c r="H51" s="94"/>
      <c r="I51" s="94"/>
      <c r="J51" s="94"/>
      <c r="K51" s="94"/>
      <c r="L51" s="94"/>
      <c r="M51" s="94"/>
      <c r="N51" s="94"/>
      <c r="O51" s="94"/>
      <c r="P51" s="94"/>
      <c r="Q51" s="94"/>
      <c r="R51" s="94"/>
      <c r="S51" s="94"/>
    </row>
    <row r="52" spans="1:19">
      <c r="A52" s="94"/>
      <c r="B52" s="94"/>
      <c r="C52" s="94"/>
      <c r="D52" s="18">
        <v>114710</v>
      </c>
      <c r="E52" s="120" t="s">
        <v>4604</v>
      </c>
      <c r="F52" s="112" t="s">
        <v>25</v>
      </c>
      <c r="G52" s="41" t="s">
        <v>25</v>
      </c>
      <c r="H52" s="94"/>
      <c r="I52" s="94"/>
      <c r="J52" s="94"/>
      <c r="K52" s="94"/>
      <c r="L52" s="94"/>
      <c r="M52" s="94"/>
      <c r="N52" s="94"/>
      <c r="O52" s="94"/>
      <c r="P52" s="94"/>
      <c r="Q52" s="94"/>
      <c r="R52" s="94"/>
      <c r="S52" s="94"/>
    </row>
    <row r="53" spans="1:19">
      <c r="A53" s="94"/>
      <c r="B53" s="94"/>
      <c r="C53" s="94"/>
      <c r="D53" s="18">
        <v>55120</v>
      </c>
      <c r="E53" s="120" t="s">
        <v>4615</v>
      </c>
      <c r="F53" s="112"/>
      <c r="G53" s="41"/>
      <c r="H53" s="94"/>
      <c r="I53" s="94"/>
      <c r="J53" s="94"/>
      <c r="K53" s="94"/>
      <c r="L53" s="94"/>
      <c r="M53" s="94"/>
      <c r="N53" s="94"/>
      <c r="O53" s="94"/>
      <c r="P53" s="94"/>
      <c r="Q53" s="94"/>
      <c r="R53" s="94"/>
      <c r="S53" s="94"/>
    </row>
    <row r="54" spans="1:19">
      <c r="A54" s="94"/>
      <c r="B54" s="94"/>
      <c r="C54" s="94"/>
      <c r="D54" s="18">
        <v>115000</v>
      </c>
      <c r="E54" s="120" t="s">
        <v>4620</v>
      </c>
      <c r="F54" s="112"/>
      <c r="G54" s="41"/>
      <c r="H54" s="94"/>
      <c r="I54" s="94"/>
      <c r="J54" s="94"/>
      <c r="K54" s="94"/>
      <c r="L54" s="94"/>
      <c r="M54" s="94"/>
      <c r="N54" s="94"/>
      <c r="O54" s="94"/>
      <c r="P54" s="94"/>
      <c r="Q54" s="94"/>
      <c r="R54" s="94"/>
      <c r="S54" s="94"/>
    </row>
    <row r="55" spans="1:19">
      <c r="A55" s="94"/>
      <c r="B55" s="94"/>
      <c r="C55" s="94"/>
      <c r="D55" s="18">
        <v>247560</v>
      </c>
      <c r="E55" s="120" t="s">
        <v>4621</v>
      </c>
      <c r="F55" s="112"/>
      <c r="G55" s="41"/>
      <c r="H55" s="94"/>
      <c r="I55" s="94"/>
      <c r="J55" s="94"/>
      <c r="K55" s="94"/>
      <c r="L55" s="94"/>
      <c r="M55" s="94"/>
      <c r="N55" s="94"/>
      <c r="O55" s="94"/>
      <c r="P55" s="94"/>
      <c r="Q55" s="94"/>
      <c r="R55" s="94"/>
      <c r="S55" s="94"/>
    </row>
    <row r="56" spans="1:19">
      <c r="A56" s="94"/>
      <c r="B56" s="94"/>
      <c r="C56" s="94"/>
      <c r="D56" s="18">
        <v>77187</v>
      </c>
      <c r="E56" s="120" t="s">
        <v>4622</v>
      </c>
      <c r="F56" s="94"/>
      <c r="G56" s="94"/>
      <c r="H56" s="94" t="s">
        <v>25</v>
      </c>
      <c r="I56" s="94"/>
      <c r="J56" s="94"/>
      <c r="K56" s="94"/>
      <c r="L56" s="94"/>
      <c r="M56" s="94"/>
      <c r="N56" s="94"/>
      <c r="O56" s="94"/>
      <c r="P56" s="94"/>
      <c r="Q56" s="94"/>
      <c r="R56" s="94"/>
      <c r="S56" s="94"/>
    </row>
    <row r="57" spans="1:19">
      <c r="A57" s="94"/>
      <c r="B57" s="94"/>
      <c r="C57" s="94"/>
      <c r="D57" s="18">
        <v>-140000</v>
      </c>
      <c r="E57" s="120" t="s">
        <v>4625</v>
      </c>
      <c r="F57" s="94"/>
      <c r="G57" s="94"/>
      <c r="H57" s="94"/>
      <c r="I57" s="94"/>
      <c r="J57" s="94"/>
      <c r="K57" s="94"/>
      <c r="L57" s="94"/>
      <c r="M57" s="94"/>
      <c r="N57" s="94"/>
      <c r="O57" s="94"/>
      <c r="P57" s="94"/>
      <c r="Q57" s="94"/>
      <c r="R57" s="94"/>
      <c r="S57" s="94"/>
    </row>
    <row r="58" spans="1:19">
      <c r="A58" s="94"/>
      <c r="B58" s="94"/>
      <c r="C58" s="94"/>
      <c r="D58" s="18">
        <v>-1600000</v>
      </c>
      <c r="E58" s="120" t="s">
        <v>4626</v>
      </c>
      <c r="F58" s="94"/>
      <c r="G58" s="94"/>
      <c r="H58" s="94"/>
      <c r="I58" s="94"/>
      <c r="J58" s="94"/>
      <c r="K58" s="94"/>
      <c r="L58" s="94"/>
      <c r="M58" s="94"/>
      <c r="N58" s="94"/>
      <c r="O58" s="94"/>
      <c r="P58" s="94"/>
      <c r="Q58" s="94"/>
      <c r="R58" s="94"/>
      <c r="S58" s="94"/>
    </row>
    <row r="59" spans="1:19">
      <c r="A59" s="94"/>
      <c r="B59" s="94"/>
      <c r="C59" s="94"/>
      <c r="D59" s="18">
        <v>-2000</v>
      </c>
      <c r="E59" s="120" t="s">
        <v>4633</v>
      </c>
      <c r="F59" s="94"/>
      <c r="G59" s="94"/>
      <c r="H59" s="94"/>
      <c r="I59" s="94"/>
      <c r="J59" s="94"/>
      <c r="K59" s="94"/>
      <c r="L59" s="94"/>
      <c r="M59" s="94"/>
      <c r="N59" s="94"/>
      <c r="O59" s="94"/>
      <c r="P59" s="94"/>
      <c r="Q59" s="94"/>
      <c r="R59" s="94"/>
      <c r="S59" s="94"/>
    </row>
    <row r="60" spans="1:19">
      <c r="A60" s="94"/>
      <c r="B60" s="94"/>
      <c r="C60" s="94"/>
      <c r="D60" s="18">
        <v>40000</v>
      </c>
      <c r="E60" s="120" t="s">
        <v>4643</v>
      </c>
      <c r="F60" s="94"/>
      <c r="G60" s="94"/>
      <c r="H60" s="94"/>
      <c r="I60" s="94"/>
      <c r="J60" s="94"/>
      <c r="K60" s="94"/>
      <c r="L60" s="94"/>
      <c r="M60" s="94"/>
      <c r="N60" s="94"/>
      <c r="O60" s="94"/>
      <c r="P60" s="94"/>
      <c r="Q60" s="94"/>
      <c r="R60" s="94"/>
      <c r="S60" s="94"/>
    </row>
    <row r="61" spans="1:19">
      <c r="A61" s="94"/>
      <c r="B61" s="94"/>
      <c r="C61" s="94"/>
      <c r="D61" s="18">
        <v>-146877</v>
      </c>
      <c r="E61" s="120" t="s">
        <v>4644</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5" t="s">
        <v>0</v>
      </c>
      <c r="B1" s="205" t="s">
        <v>1</v>
      </c>
      <c r="C1" s="205" t="s">
        <v>4</v>
      </c>
      <c r="D1" s="205" t="s">
        <v>5</v>
      </c>
      <c r="E1" s="205"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5" t="s">
        <v>4642</v>
      </c>
      <c r="B2" s="111">
        <f>'بهمن 97'!B32</f>
        <v>54414</v>
      </c>
      <c r="C2" s="1">
        <f>'بهمن 97'!C32</f>
        <v>0</v>
      </c>
      <c r="D2" s="111">
        <f>B2-C2</f>
        <v>54414</v>
      </c>
      <c r="E2" s="205" t="s">
        <v>59</v>
      </c>
      <c r="F2" s="94">
        <v>30</v>
      </c>
      <c r="G2" s="94">
        <f>B2*F2</f>
        <v>1632420</v>
      </c>
      <c r="H2" s="94">
        <f>C2*F2</f>
        <v>0</v>
      </c>
      <c r="I2" s="94">
        <f>D2*F2</f>
        <v>1632420</v>
      </c>
      <c r="J2" s="94"/>
      <c r="K2" s="94"/>
      <c r="L2" s="94"/>
      <c r="M2" s="94"/>
      <c r="N2" s="94"/>
      <c r="O2" s="94"/>
      <c r="P2" s="94"/>
      <c r="Q2" s="94"/>
      <c r="R2" s="94"/>
      <c r="S2" s="94"/>
      <c r="T2" s="94"/>
      <c r="U2" s="94"/>
      <c r="V2" s="94"/>
    </row>
    <row r="3" spans="1:22">
      <c r="A3" s="20" t="s">
        <v>4650</v>
      </c>
      <c r="B3" s="18">
        <v>1669690</v>
      </c>
      <c r="C3" s="18">
        <v>0</v>
      </c>
      <c r="D3" s="111">
        <f t="shared" ref="D3:D33" si="0">B3-C3</f>
        <v>1669690</v>
      </c>
      <c r="E3" s="20" t="s">
        <v>3873</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4667</v>
      </c>
      <c r="B4" s="18">
        <v>-548543</v>
      </c>
      <c r="C4" s="18">
        <v>0</v>
      </c>
      <c r="D4" s="111">
        <f t="shared" si="0"/>
        <v>-548543</v>
      </c>
      <c r="E4" s="97" t="s">
        <v>3909</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4673</v>
      </c>
      <c r="B5" s="18">
        <v>2450000</v>
      </c>
      <c r="C5" s="18">
        <v>0</v>
      </c>
      <c r="D5" s="111">
        <f t="shared" si="0"/>
        <v>2450000</v>
      </c>
      <c r="E5" s="20" t="s">
        <v>3873</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4673</v>
      </c>
      <c r="B6" s="18">
        <v>-1866154</v>
      </c>
      <c r="C6" s="18">
        <v>0</v>
      </c>
      <c r="D6" s="111">
        <f t="shared" si="0"/>
        <v>-1866154</v>
      </c>
      <c r="E6" s="19" t="s">
        <v>4679</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4673</v>
      </c>
      <c r="B7" s="18">
        <v>-36600</v>
      </c>
      <c r="C7" s="18">
        <v>0</v>
      </c>
      <c r="D7" s="111">
        <f t="shared" si="0"/>
        <v>-36600</v>
      </c>
      <c r="E7" s="19" t="s">
        <v>4680</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4681</v>
      </c>
      <c r="B8" s="18">
        <v>-492000</v>
      </c>
      <c r="C8" s="18">
        <v>0</v>
      </c>
      <c r="D8" s="111">
        <f t="shared" si="0"/>
        <v>-492000</v>
      </c>
      <c r="E8" s="19" t="s">
        <v>4682</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4681</v>
      </c>
      <c r="B9" s="18">
        <v>-518000</v>
      </c>
      <c r="C9" s="18">
        <v>0</v>
      </c>
      <c r="D9" s="111">
        <f t="shared" si="0"/>
        <v>-518000</v>
      </c>
      <c r="E9" s="21" t="s">
        <v>3909</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4681</v>
      </c>
      <c r="B10" s="18">
        <v>-40000</v>
      </c>
      <c r="C10" s="18">
        <v>0</v>
      </c>
      <c r="D10" s="111">
        <f t="shared" si="0"/>
        <v>-40000</v>
      </c>
      <c r="E10" s="19" t="s">
        <v>4684</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4685</v>
      </c>
      <c r="B11" s="18">
        <v>-66000</v>
      </c>
      <c r="C11" s="18">
        <v>0</v>
      </c>
      <c r="D11" s="111">
        <f t="shared" si="0"/>
        <v>-66000</v>
      </c>
      <c r="E11" s="19" t="s">
        <v>4684</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4686</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4686</v>
      </c>
      <c r="B13" s="18">
        <v>-200500</v>
      </c>
      <c r="C13" s="18">
        <v>0</v>
      </c>
      <c r="D13" s="111">
        <f t="shared" si="0"/>
        <v>-200500</v>
      </c>
      <c r="E13" s="20" t="s">
        <v>4687</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4691</v>
      </c>
      <c r="B14" s="18">
        <v>1563000</v>
      </c>
      <c r="C14" s="18">
        <v>0</v>
      </c>
      <c r="D14" s="111">
        <f t="shared" si="0"/>
        <v>1563000</v>
      </c>
      <c r="E14" s="20" t="s">
        <v>4693</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4691</v>
      </c>
      <c r="B15" s="18">
        <v>-160000</v>
      </c>
      <c r="C15" s="18">
        <v>0</v>
      </c>
      <c r="D15" s="111">
        <f t="shared" si="0"/>
        <v>-160000</v>
      </c>
      <c r="E15" s="20" t="s">
        <v>4131</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4700</v>
      </c>
      <c r="B16" s="18">
        <v>-20000</v>
      </c>
      <c r="C16" s="18">
        <v>0</v>
      </c>
      <c r="D16" s="111">
        <f t="shared" si="0"/>
        <v>-20000</v>
      </c>
      <c r="E16" s="20" t="s">
        <v>4703</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957</v>
      </c>
      <c r="B17" s="18">
        <v>-30000</v>
      </c>
      <c r="C17" s="18">
        <v>0</v>
      </c>
      <c r="D17" s="111">
        <f t="shared" si="0"/>
        <v>-30000</v>
      </c>
      <c r="E17" s="20" t="s">
        <v>4712</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957</v>
      </c>
      <c r="B18" s="18">
        <v>-790500</v>
      </c>
      <c r="C18" s="18">
        <v>0</v>
      </c>
      <c r="D18" s="111">
        <f t="shared" si="0"/>
        <v>-790500</v>
      </c>
      <c r="E18" s="20" t="s">
        <v>4716</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4721</v>
      </c>
      <c r="B19" s="18">
        <v>-10932</v>
      </c>
      <c r="C19" s="18">
        <v>0</v>
      </c>
      <c r="D19" s="111">
        <f t="shared" si="0"/>
        <v>-10932</v>
      </c>
      <c r="E19" s="20" t="s">
        <v>3909</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4726</v>
      </c>
      <c r="B20" s="18">
        <v>400000</v>
      </c>
      <c r="C20" s="18">
        <v>0</v>
      </c>
      <c r="D20" s="111">
        <f t="shared" si="0"/>
        <v>400000</v>
      </c>
      <c r="E20" s="19" t="s">
        <v>4727</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4729</v>
      </c>
      <c r="B21" s="18">
        <v>360000</v>
      </c>
      <c r="C21" s="18">
        <v>0</v>
      </c>
      <c r="D21" s="111">
        <f t="shared" si="0"/>
        <v>360000</v>
      </c>
      <c r="E21" s="19" t="s">
        <v>3873</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4729</v>
      </c>
      <c r="B22" s="18">
        <v>-438200</v>
      </c>
      <c r="C22" s="18">
        <v>0</v>
      </c>
      <c r="D22" s="111">
        <f t="shared" si="0"/>
        <v>-438200</v>
      </c>
      <c r="E22" s="19" t="s">
        <v>3996</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4729</v>
      </c>
      <c r="B23" s="18">
        <v>-299000</v>
      </c>
      <c r="C23" s="18">
        <v>0</v>
      </c>
      <c r="D23" s="111">
        <f t="shared" si="0"/>
        <v>-299000</v>
      </c>
      <c r="E23" s="19" t="s">
        <v>3909</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4731</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4731</v>
      </c>
      <c r="B25" s="18">
        <v>-360000</v>
      </c>
      <c r="C25" s="18">
        <v>0</v>
      </c>
      <c r="D25" s="111">
        <f t="shared" si="0"/>
        <v>-360000</v>
      </c>
      <c r="E25" s="19" t="s">
        <v>3909</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4732</v>
      </c>
      <c r="B26" s="18">
        <v>-2000000</v>
      </c>
      <c r="C26" s="18">
        <v>0</v>
      </c>
      <c r="D26" s="111">
        <f t="shared" si="0"/>
        <v>-2000000</v>
      </c>
      <c r="E26" s="19" t="s">
        <v>4232</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4732</v>
      </c>
      <c r="B27" s="18">
        <v>280000</v>
      </c>
      <c r="C27" s="18">
        <v>0</v>
      </c>
      <c r="D27" s="111">
        <f t="shared" si="0"/>
        <v>280000</v>
      </c>
      <c r="E27" s="19" t="s">
        <v>3873</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4737</v>
      </c>
      <c r="B28" s="18">
        <v>433375</v>
      </c>
      <c r="C28" s="18">
        <v>0</v>
      </c>
      <c r="D28" s="111">
        <f t="shared" si="0"/>
        <v>433375</v>
      </c>
      <c r="E28" s="19" t="s">
        <v>4740</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4746</v>
      </c>
      <c r="B29" s="18">
        <v>2000000</v>
      </c>
      <c r="C29" s="18">
        <v>0</v>
      </c>
      <c r="D29" s="111">
        <f t="shared" si="0"/>
        <v>2000000</v>
      </c>
      <c r="E29" s="19" t="s">
        <v>3873</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4746</v>
      </c>
      <c r="B30" s="18">
        <v>-300000</v>
      </c>
      <c r="C30" s="18">
        <v>0</v>
      </c>
      <c r="D30" s="111">
        <f t="shared" si="0"/>
        <v>-300000</v>
      </c>
      <c r="E30" s="19" t="s">
        <v>4748</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4746</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964</v>
      </c>
      <c r="B32" s="18">
        <v>-1417727</v>
      </c>
      <c r="C32" s="18">
        <v>0</v>
      </c>
      <c r="D32" s="111">
        <f t="shared" si="0"/>
        <v>-1417727</v>
      </c>
      <c r="E32" s="19" t="s">
        <v>4750</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5" t="s">
        <v>4552</v>
      </c>
      <c r="B33" s="205">
        <v>0</v>
      </c>
      <c r="C33" s="205">
        <v>0</v>
      </c>
      <c r="D33" s="205">
        <f t="shared" si="0"/>
        <v>0</v>
      </c>
      <c r="E33" s="205"/>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5" t="s">
        <v>6</v>
      </c>
      <c r="B34" s="111">
        <f>SUM(B2:B33)</f>
        <v>1093523</v>
      </c>
      <c r="C34" s="111">
        <f>SUM(C2:C33)</f>
        <v>0</v>
      </c>
      <c r="D34" s="111">
        <f>SUM(D2:D33)</f>
        <v>1093523</v>
      </c>
      <c r="E34" s="205"/>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4648</v>
      </c>
      <c r="F41" s="94"/>
      <c r="G41" s="9" t="s">
        <v>1020</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4153</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4649</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4658</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4659</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4666</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4671</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4676</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4677</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4678</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4679</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4683</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4688</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4689</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4692</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4694</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4697</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4699</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4701</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4702</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4704</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4705</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4713</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4715</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4181</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4720</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4722</v>
      </c>
      <c r="F68" s="94"/>
      <c r="G68" s="94"/>
      <c r="H68" s="94"/>
      <c r="I68" s="94"/>
    </row>
    <row r="69" spans="1:22">
      <c r="A69" s="94"/>
      <c r="B69" s="94"/>
      <c r="C69" s="94"/>
      <c r="D69" s="18">
        <v>-67844</v>
      </c>
      <c r="E69" s="120" t="s">
        <v>4724</v>
      </c>
      <c r="F69" s="94"/>
      <c r="G69" s="94"/>
      <c r="H69" s="94"/>
      <c r="I69" s="94"/>
    </row>
    <row r="70" spans="1:22">
      <c r="D70" s="18">
        <v>-400000</v>
      </c>
      <c r="E70" s="120" t="s">
        <v>4728</v>
      </c>
      <c r="G70" t="s">
        <v>25</v>
      </c>
    </row>
    <row r="71" spans="1:22">
      <c r="D71" s="18">
        <v>463200</v>
      </c>
      <c r="E71" s="120" t="s">
        <v>4730</v>
      </c>
    </row>
    <row r="72" spans="1:22">
      <c r="D72" s="18">
        <v>2000000</v>
      </c>
      <c r="E72" s="94" t="s">
        <v>4733</v>
      </c>
    </row>
    <row r="73" spans="1:22">
      <c r="D73" s="18">
        <v>-280000</v>
      </c>
      <c r="E73" t="s">
        <v>4734</v>
      </c>
    </row>
    <row r="74" spans="1:22">
      <c r="D74" s="18">
        <v>-200000</v>
      </c>
      <c r="E74" s="94" t="s">
        <v>4741</v>
      </c>
    </row>
    <row r="75" spans="1:22">
      <c r="D75" s="18">
        <v>-2000000</v>
      </c>
      <c r="E75" s="94" t="s">
        <v>4747</v>
      </c>
    </row>
    <row r="76" spans="1:22">
      <c r="D76" s="18">
        <v>92800</v>
      </c>
      <c r="E76" s="94" t="s">
        <v>4749</v>
      </c>
    </row>
    <row r="77" spans="1:22">
      <c r="D77" s="18">
        <v>1417727</v>
      </c>
      <c r="E77" s="94" t="s">
        <v>4750</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8"/>
  <sheetViews>
    <sheetView workbookViewId="0">
      <selection activeCell="H16" sqref="H16"/>
    </sheetView>
  </sheetViews>
  <sheetFormatPr defaultRowHeight="15"/>
  <cols>
    <col min="1" max="1" width="20.140625" bestFit="1" customWidth="1"/>
    <col min="2" max="2" width="14.28515625" bestFit="1" customWidth="1"/>
    <col min="3" max="3" width="24.7109375" bestFit="1" customWidth="1"/>
    <col min="4" max="4" width="15" bestFit="1" customWidth="1"/>
    <col min="5" max="5" width="24.7109375" bestFit="1" customWidth="1"/>
    <col min="6" max="6" width="15.5703125" bestFit="1" customWidth="1"/>
    <col min="7" max="7" width="16.5703125" bestFit="1" customWidth="1"/>
    <col min="8" max="8" width="25.5703125" bestFit="1" customWidth="1"/>
    <col min="9" max="9" width="9.5703125" bestFit="1" customWidth="1"/>
    <col min="10" max="10" width="18.85546875" bestFit="1" customWidth="1"/>
    <col min="11" max="11" width="9" bestFit="1" customWidth="1"/>
    <col min="12" max="12" width="18.85546875" bestFit="1" customWidth="1"/>
    <col min="13" max="13" width="15.42578125" bestFit="1" customWidth="1"/>
  </cols>
  <sheetData>
    <row r="1" spans="1:13" ht="15.75">
      <c r="A1" s="176" t="s">
        <v>4821</v>
      </c>
      <c r="B1" s="176" t="s">
        <v>4822</v>
      </c>
      <c r="C1" s="367" t="s">
        <v>6706</v>
      </c>
      <c r="D1" s="176" t="s">
        <v>6705</v>
      </c>
      <c r="E1" s="367" t="s">
        <v>6707</v>
      </c>
      <c r="F1" s="176" t="s">
        <v>6708</v>
      </c>
      <c r="G1" s="176" t="s">
        <v>6228</v>
      </c>
      <c r="H1" s="176" t="s">
        <v>6262</v>
      </c>
      <c r="I1" s="176" t="s">
        <v>4245</v>
      </c>
      <c r="J1" s="176" t="s">
        <v>4905</v>
      </c>
      <c r="K1" s="176" t="s">
        <v>6704</v>
      </c>
      <c r="L1" s="176" t="s">
        <v>4905</v>
      </c>
      <c r="M1" s="356" t="s">
        <v>5259</v>
      </c>
    </row>
    <row r="2" spans="1:13" ht="15.75">
      <c r="A2" s="358" t="s">
        <v>6257</v>
      </c>
      <c r="B2" s="359">
        <v>5603317363</v>
      </c>
      <c r="C2" s="359">
        <f>'سهام بنیادی'!D19</f>
        <v>175</v>
      </c>
      <c r="D2" s="359">
        <f t="shared" ref="D2:D14" si="0">B2*C2/$M$2</f>
        <v>32.686017950833332</v>
      </c>
      <c r="E2" s="366">
        <f>'سهام بنیادی'!B19</f>
        <v>95</v>
      </c>
      <c r="F2" s="358">
        <f>0.75*B2*E2/$M$2</f>
        <v>13.307878737125</v>
      </c>
      <c r="G2" s="358">
        <f>'سهام بنیادی'!C19</f>
        <v>65</v>
      </c>
      <c r="H2" s="358">
        <f>0.75*B2*G2/$M$2</f>
        <v>9.105390714875</v>
      </c>
      <c r="I2" s="358">
        <f>'سهام بنیادی'!F19</f>
        <v>1298</v>
      </c>
      <c r="J2" s="358">
        <f t="shared" ref="J2:J14" si="1">B2*I2/$M$2</f>
        <v>242.43686457246667</v>
      </c>
      <c r="K2" s="358">
        <f>I2</f>
        <v>1298</v>
      </c>
      <c r="L2" s="358">
        <f t="shared" ref="L2:L15" si="2">B2*K2/$M$2</f>
        <v>242.43686457246667</v>
      </c>
      <c r="M2" s="359">
        <v>30000000000</v>
      </c>
    </row>
    <row r="3" spans="1:13" ht="23.25">
      <c r="A3" s="360" t="s">
        <v>4216</v>
      </c>
      <c r="B3" s="361">
        <v>3356161798</v>
      </c>
      <c r="C3" s="361">
        <f>'سهام بنیادی'!D30</f>
        <v>340</v>
      </c>
      <c r="D3" s="361">
        <f t="shared" si="0"/>
        <v>38.036500377333333</v>
      </c>
      <c r="E3" s="364">
        <f>'سهام بنیادی'!B30</f>
        <v>224</v>
      </c>
      <c r="F3" s="360">
        <f t="shared" ref="F3:F14" si="3">B3*E3/$M$2</f>
        <v>25.059341425066666</v>
      </c>
      <c r="G3" s="360">
        <f>'سهام بنیادی'!C30</f>
        <v>193</v>
      </c>
      <c r="H3" s="360">
        <f t="shared" ref="H3:H14" si="4">B3*G3/$M$2</f>
        <v>21.591307567133335</v>
      </c>
      <c r="I3" s="360">
        <f>'سهام بنیادی'!F30</f>
        <v>1328</v>
      </c>
      <c r="J3" s="360">
        <f t="shared" si="1"/>
        <v>148.56609559146668</v>
      </c>
      <c r="K3" s="372">
        <v>3300</v>
      </c>
      <c r="L3" s="365">
        <f t="shared" si="2"/>
        <v>369.17779777999999</v>
      </c>
      <c r="M3" s="94"/>
    </row>
    <row r="4" spans="1:13" ht="15.75">
      <c r="A4" s="358" t="s">
        <v>4508</v>
      </c>
      <c r="B4" s="359">
        <v>4007657980</v>
      </c>
      <c r="C4" s="359">
        <f>'سهام بنیادی'!D21</f>
        <v>140</v>
      </c>
      <c r="D4" s="359">
        <f t="shared" si="0"/>
        <v>18.702403906666667</v>
      </c>
      <c r="E4" s="366">
        <f>'سهام بنیادی'!B21</f>
        <v>65</v>
      </c>
      <c r="F4" s="358">
        <f t="shared" si="3"/>
        <v>8.6832589566666663</v>
      </c>
      <c r="G4" s="358">
        <f>'سهام بنیادی'!C21</f>
        <v>14</v>
      </c>
      <c r="H4" s="358">
        <f t="shared" si="4"/>
        <v>1.8702403906666667</v>
      </c>
      <c r="I4" s="358">
        <f>'سهام بنیادی'!F21</f>
        <v>712</v>
      </c>
      <c r="J4" s="358">
        <f t="shared" si="1"/>
        <v>95.115082725333338</v>
      </c>
      <c r="K4" s="358">
        <f t="shared" ref="K4:K14" si="5">I4</f>
        <v>712</v>
      </c>
      <c r="L4" s="358">
        <f t="shared" si="2"/>
        <v>95.115082725333338</v>
      </c>
      <c r="M4" s="94"/>
    </row>
    <row r="5" spans="1:13" ht="15.75">
      <c r="A5" s="360" t="s">
        <v>5785</v>
      </c>
      <c r="B5" s="361">
        <v>1068929995</v>
      </c>
      <c r="C5" s="361">
        <f>'سهام بنیادی'!D20</f>
        <v>210</v>
      </c>
      <c r="D5" s="361">
        <f t="shared" si="0"/>
        <v>7.4825099650000002</v>
      </c>
      <c r="E5" s="364">
        <f>'سهام بنیادی'!B20</f>
        <v>144</v>
      </c>
      <c r="F5" s="360">
        <f t="shared" si="3"/>
        <v>5.1308639759999997</v>
      </c>
      <c r="G5" s="360">
        <f>'سهام بنیادی'!C20</f>
        <v>100</v>
      </c>
      <c r="H5" s="360">
        <f>B5*G5/$M$2</f>
        <v>3.5630999833333332</v>
      </c>
      <c r="I5" s="360">
        <f>'سهام بنیادی'!F20</f>
        <v>1569</v>
      </c>
      <c r="J5" s="360">
        <f t="shared" si="1"/>
        <v>55.905038738499996</v>
      </c>
      <c r="K5" s="358">
        <f t="shared" si="5"/>
        <v>1569</v>
      </c>
      <c r="L5" s="360">
        <f t="shared" si="2"/>
        <v>55.905038738499996</v>
      </c>
      <c r="M5" s="94"/>
    </row>
    <row r="6" spans="1:13" ht="15.75">
      <c r="A6" s="358" t="s">
        <v>6259</v>
      </c>
      <c r="B6" s="359">
        <v>4161561525</v>
      </c>
      <c r="C6" s="359">
        <v>80</v>
      </c>
      <c r="D6" s="359">
        <f t="shared" si="0"/>
        <v>11.0974974</v>
      </c>
      <c r="E6" s="366">
        <v>66</v>
      </c>
      <c r="F6" s="358">
        <f t="shared" si="3"/>
        <v>9.1554353549999998</v>
      </c>
      <c r="G6" s="358">
        <v>6.6</v>
      </c>
      <c r="H6" s="358">
        <f t="shared" si="4"/>
        <v>0.91554353550000001</v>
      </c>
      <c r="I6" s="358">
        <v>332</v>
      </c>
      <c r="J6" s="358">
        <f t="shared" si="1"/>
        <v>46.054614209999997</v>
      </c>
      <c r="K6" s="358">
        <f t="shared" si="5"/>
        <v>332</v>
      </c>
      <c r="L6" s="358">
        <f t="shared" si="2"/>
        <v>46.054614209999997</v>
      </c>
      <c r="M6" s="94"/>
    </row>
    <row r="7" spans="1:13" ht="15.75">
      <c r="A7" s="360" t="s">
        <v>6258</v>
      </c>
      <c r="B7" s="361">
        <v>5610540000</v>
      </c>
      <c r="C7" s="361">
        <v>60</v>
      </c>
      <c r="D7" s="361">
        <f t="shared" si="0"/>
        <v>11.221080000000001</v>
      </c>
      <c r="E7" s="364">
        <v>58</v>
      </c>
      <c r="F7" s="360">
        <f t="shared" si="3"/>
        <v>10.847044</v>
      </c>
      <c r="G7" s="360">
        <v>15</v>
      </c>
      <c r="H7" s="360">
        <f t="shared" si="4"/>
        <v>2.8052700000000002</v>
      </c>
      <c r="I7" s="360">
        <v>216</v>
      </c>
      <c r="J7" s="360">
        <f t="shared" si="1"/>
        <v>40.395887999999999</v>
      </c>
      <c r="K7" s="358">
        <f t="shared" si="5"/>
        <v>216</v>
      </c>
      <c r="L7" s="360">
        <f t="shared" si="2"/>
        <v>40.395887999999999</v>
      </c>
      <c r="M7" s="94"/>
    </row>
    <row r="8" spans="1:13" ht="15.75">
      <c r="A8" s="358" t="s">
        <v>4519</v>
      </c>
      <c r="B8" s="359">
        <v>978026662</v>
      </c>
      <c r="C8" s="359">
        <v>140</v>
      </c>
      <c r="D8" s="359">
        <f t="shared" si="0"/>
        <v>4.5641244226666666</v>
      </c>
      <c r="E8" s="366">
        <v>50</v>
      </c>
      <c r="F8" s="358">
        <f t="shared" si="3"/>
        <v>1.6300444366666667</v>
      </c>
      <c r="G8" s="358">
        <v>50</v>
      </c>
      <c r="H8" s="358">
        <f t="shared" si="4"/>
        <v>1.6300444366666667</v>
      </c>
      <c r="I8" s="358">
        <v>648</v>
      </c>
      <c r="J8" s="358">
        <f t="shared" si="1"/>
        <v>21.125375899200002</v>
      </c>
      <c r="K8" s="358">
        <f t="shared" si="5"/>
        <v>648</v>
      </c>
      <c r="L8" s="358">
        <f t="shared" si="2"/>
        <v>21.125375899200002</v>
      </c>
      <c r="M8" s="94"/>
    </row>
    <row r="9" spans="1:13" ht="15.75">
      <c r="A9" s="358" t="s">
        <v>6260</v>
      </c>
      <c r="B9" s="359">
        <v>337500000</v>
      </c>
      <c r="C9" s="359">
        <v>280</v>
      </c>
      <c r="D9" s="359">
        <f t="shared" si="0"/>
        <v>3.15</v>
      </c>
      <c r="E9" s="366">
        <v>219.8</v>
      </c>
      <c r="F9" s="358">
        <f t="shared" si="3"/>
        <v>2.47275</v>
      </c>
      <c r="G9" s="358">
        <v>237</v>
      </c>
      <c r="H9" s="358">
        <f t="shared" si="4"/>
        <v>2.6662499999999998</v>
      </c>
      <c r="I9" s="358">
        <v>1641</v>
      </c>
      <c r="J9" s="358">
        <f t="shared" si="1"/>
        <v>18.46125</v>
      </c>
      <c r="K9" s="358">
        <f t="shared" si="5"/>
        <v>1641</v>
      </c>
      <c r="L9" s="358">
        <f t="shared" si="2"/>
        <v>18.46125</v>
      </c>
      <c r="M9" s="94"/>
    </row>
    <row r="10" spans="1:13" ht="15.75">
      <c r="A10" s="360" t="s">
        <v>5792</v>
      </c>
      <c r="B10" s="361">
        <v>35697979</v>
      </c>
      <c r="C10" s="361">
        <v>300</v>
      </c>
      <c r="D10" s="361">
        <f t="shared" si="0"/>
        <v>0.35697979000000002</v>
      </c>
      <c r="E10" s="364">
        <v>223</v>
      </c>
      <c r="F10" s="360">
        <f t="shared" si="3"/>
        <v>0.26535497723333334</v>
      </c>
      <c r="G10" s="360">
        <v>80</v>
      </c>
      <c r="H10" s="360">
        <f t="shared" si="4"/>
        <v>9.5194610666666665E-2</v>
      </c>
      <c r="I10" s="360">
        <v>1607</v>
      </c>
      <c r="J10" s="360">
        <f t="shared" si="1"/>
        <v>1.9122217417666667</v>
      </c>
      <c r="K10" s="358">
        <f t="shared" si="5"/>
        <v>1607</v>
      </c>
      <c r="L10" s="360">
        <f t="shared" si="2"/>
        <v>1.9122217417666667</v>
      </c>
      <c r="M10" s="94"/>
    </row>
    <row r="11" spans="1:13" ht="15.75">
      <c r="A11" s="358" t="s">
        <v>5936</v>
      </c>
      <c r="B11" s="359">
        <v>158220192</v>
      </c>
      <c r="C11" s="359">
        <v>800</v>
      </c>
      <c r="D11" s="359">
        <f t="shared" si="0"/>
        <v>4.2192051199999998</v>
      </c>
      <c r="E11" s="366">
        <v>578</v>
      </c>
      <c r="F11" s="358">
        <f t="shared" si="3"/>
        <v>3.0483756992000002</v>
      </c>
      <c r="G11" s="358">
        <v>300</v>
      </c>
      <c r="H11" s="358">
        <f t="shared" si="4"/>
        <v>1.5822019199999999</v>
      </c>
      <c r="I11" s="358">
        <v>1453</v>
      </c>
      <c r="J11" s="358">
        <f t="shared" si="1"/>
        <v>7.6631312991999998</v>
      </c>
      <c r="K11" s="358">
        <f t="shared" si="5"/>
        <v>1453</v>
      </c>
      <c r="L11" s="358">
        <f t="shared" si="2"/>
        <v>7.6631312991999998</v>
      </c>
      <c r="M11" s="94"/>
    </row>
    <row r="12" spans="1:13" ht="15.75">
      <c r="A12" s="360" t="s">
        <v>4371</v>
      </c>
      <c r="B12" s="361">
        <v>101805550</v>
      </c>
      <c r="C12" s="361">
        <v>800</v>
      </c>
      <c r="D12" s="361">
        <f t="shared" si="0"/>
        <v>2.7148146666666668</v>
      </c>
      <c r="E12" s="364">
        <v>424</v>
      </c>
      <c r="F12" s="360">
        <f t="shared" si="3"/>
        <v>1.4388517733333333</v>
      </c>
      <c r="G12" s="360">
        <v>370</v>
      </c>
      <c r="H12" s="360">
        <f t="shared" si="4"/>
        <v>1.2556017833333333</v>
      </c>
      <c r="I12" s="360">
        <v>4589</v>
      </c>
      <c r="J12" s="360">
        <f t="shared" si="1"/>
        <v>15.572855631666666</v>
      </c>
      <c r="K12" s="358">
        <f t="shared" si="5"/>
        <v>4589</v>
      </c>
      <c r="L12" s="360">
        <f t="shared" si="2"/>
        <v>15.572855631666666</v>
      </c>
      <c r="M12" s="94"/>
    </row>
    <row r="13" spans="1:13" ht="15.75">
      <c r="A13" s="358" t="s">
        <v>6703</v>
      </c>
      <c r="B13" s="359">
        <v>1</v>
      </c>
      <c r="C13" s="359">
        <v>1000000000000</v>
      </c>
      <c r="D13" s="359">
        <f t="shared" si="0"/>
        <v>33.333333333333336</v>
      </c>
      <c r="E13" s="359">
        <v>600000000000</v>
      </c>
      <c r="F13" s="358">
        <f t="shared" si="3"/>
        <v>20</v>
      </c>
      <c r="G13" s="359">
        <v>400000000000</v>
      </c>
      <c r="H13" s="358">
        <f t="shared" si="4"/>
        <v>13.333333333333334</v>
      </c>
      <c r="I13" s="358">
        <v>6000000000000</v>
      </c>
      <c r="J13" s="358">
        <f t="shared" si="1"/>
        <v>200</v>
      </c>
      <c r="K13" s="358">
        <f t="shared" si="5"/>
        <v>6000000000000</v>
      </c>
      <c r="L13" s="358">
        <f t="shared" si="2"/>
        <v>200</v>
      </c>
      <c r="M13" s="94"/>
    </row>
    <row r="14" spans="1:13" ht="15.75">
      <c r="A14" s="360" t="s">
        <v>6261</v>
      </c>
      <c r="B14" s="361">
        <v>1</v>
      </c>
      <c r="C14" s="361">
        <v>750000000000</v>
      </c>
      <c r="D14" s="361">
        <f t="shared" si="0"/>
        <v>25</v>
      </c>
      <c r="E14" s="361">
        <v>500000000000</v>
      </c>
      <c r="F14" s="360">
        <f t="shared" si="3"/>
        <v>16.666666666666668</v>
      </c>
      <c r="G14" s="361">
        <v>300000000000</v>
      </c>
      <c r="H14" s="360">
        <f t="shared" si="4"/>
        <v>10</v>
      </c>
      <c r="I14" s="360">
        <v>4000000000000</v>
      </c>
      <c r="J14" s="360">
        <f t="shared" si="1"/>
        <v>133.33333333333334</v>
      </c>
      <c r="K14" s="358">
        <f t="shared" si="5"/>
        <v>4000000000000</v>
      </c>
      <c r="L14" s="360">
        <f t="shared" si="2"/>
        <v>133.33333333333334</v>
      </c>
      <c r="M14" s="94"/>
    </row>
    <row r="15" spans="1:13" ht="15.75">
      <c r="A15" s="362"/>
      <c r="B15" s="355"/>
      <c r="C15" s="355"/>
      <c r="D15" s="355"/>
      <c r="E15" s="362"/>
      <c r="F15" s="362"/>
      <c r="G15" s="362"/>
      <c r="H15" s="362"/>
      <c r="I15" s="362"/>
      <c r="J15" s="362"/>
      <c r="K15" s="362"/>
      <c r="L15" s="358">
        <f t="shared" si="2"/>
        <v>0</v>
      </c>
      <c r="M15" s="94"/>
    </row>
    <row r="16" spans="1:13" ht="21">
      <c r="A16" s="362"/>
      <c r="B16" s="362"/>
      <c r="C16" s="362"/>
      <c r="D16" s="362">
        <f>SUM(D3:D15)</f>
        <v>159.87844898166668</v>
      </c>
      <c r="E16" s="362"/>
      <c r="F16" s="362">
        <f>SUM(F3:F15)</f>
        <v>104.39798726583334</v>
      </c>
      <c r="G16" s="362"/>
      <c r="H16" s="362">
        <f>SUM(H3:H15)</f>
        <v>61.308087560633339</v>
      </c>
      <c r="I16" s="363" t="s">
        <v>4432</v>
      </c>
      <c r="J16" s="363">
        <f>SUM(J2:J14)</f>
        <v>1026.5417517429332</v>
      </c>
      <c r="K16" s="363" t="s">
        <v>4432</v>
      </c>
      <c r="L16" s="368">
        <f>SUM(L2:L14)</f>
        <v>1247.1534539314664</v>
      </c>
      <c r="M16" s="94"/>
    </row>
    <row r="17" spans="1:13" ht="21">
      <c r="A17" s="362"/>
      <c r="B17" s="362"/>
      <c r="C17" s="362"/>
      <c r="D17" s="362" t="s">
        <v>6</v>
      </c>
      <c r="E17" s="362"/>
      <c r="F17" s="362" t="s">
        <v>6</v>
      </c>
      <c r="G17" s="362"/>
      <c r="H17" s="362" t="s">
        <v>6</v>
      </c>
      <c r="I17" s="363" t="s">
        <v>5007</v>
      </c>
      <c r="J17" s="363">
        <v>430</v>
      </c>
      <c r="K17" s="363"/>
      <c r="L17" s="368"/>
      <c r="M17" s="94"/>
    </row>
    <row r="18" spans="1:13" ht="21">
      <c r="A18" s="362"/>
      <c r="B18" s="362"/>
      <c r="C18" s="362"/>
      <c r="D18" s="362"/>
      <c r="E18" s="362"/>
      <c r="F18" s="362"/>
      <c r="G18" s="362"/>
      <c r="H18" s="362"/>
      <c r="I18" s="363" t="s">
        <v>5008</v>
      </c>
      <c r="J18" s="363">
        <f>J17/J16</f>
        <v>0.41888213437974287</v>
      </c>
      <c r="K18" s="363" t="s">
        <v>5008</v>
      </c>
      <c r="L18" s="368">
        <f>J17/L16</f>
        <v>0.34478515746758248</v>
      </c>
      <c r="M18" s="94"/>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922</v>
      </c>
      <c r="B1" s="11" t="s">
        <v>919</v>
      </c>
      <c r="C1" s="11" t="s">
        <v>920</v>
      </c>
      <c r="D1" s="11" t="s">
        <v>931</v>
      </c>
      <c r="E1" s="11" t="s">
        <v>933</v>
      </c>
      <c r="F1" s="11" t="s">
        <v>923</v>
      </c>
      <c r="G1" s="11" t="s">
        <v>183</v>
      </c>
      <c r="H1" s="11" t="s">
        <v>938</v>
      </c>
      <c r="I1" s="11" t="s">
        <v>928</v>
      </c>
      <c r="J1" s="11" t="s">
        <v>934</v>
      </c>
      <c r="K1" s="11" t="s">
        <v>935</v>
      </c>
      <c r="L1" s="11" t="s">
        <v>929</v>
      </c>
      <c r="M1" s="11" t="s">
        <v>936</v>
      </c>
      <c r="N1" s="11" t="s">
        <v>5</v>
      </c>
      <c r="O1" s="11" t="s">
        <v>480</v>
      </c>
      <c r="P1" s="97" t="s">
        <v>4</v>
      </c>
      <c r="Q1" s="11" t="s">
        <v>39</v>
      </c>
      <c r="R1" s="11" t="s">
        <v>997</v>
      </c>
      <c r="S1" s="97" t="s">
        <v>38</v>
      </c>
      <c r="T1" s="11" t="s">
        <v>939</v>
      </c>
      <c r="U1" s="72" t="s">
        <v>1014</v>
      </c>
      <c r="AE1" s="11" t="s">
        <v>938</v>
      </c>
      <c r="AF1" s="25"/>
    </row>
    <row r="2" spans="1:38">
      <c r="A2" s="73" t="s">
        <v>912</v>
      </c>
      <c r="B2" s="73" t="s">
        <v>930</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912</v>
      </c>
      <c r="B3" s="73" t="s">
        <v>930</v>
      </c>
      <c r="C3" s="73">
        <v>400</v>
      </c>
      <c r="D3" s="73" t="s">
        <v>932</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925</v>
      </c>
      <c r="Y3" s="105" t="s">
        <v>267</v>
      </c>
      <c r="Z3" s="105" t="s">
        <v>8</v>
      </c>
      <c r="AA3" s="105" t="s">
        <v>5</v>
      </c>
      <c r="AB3" s="105" t="s">
        <v>480</v>
      </c>
      <c r="AC3" s="105" t="s">
        <v>4</v>
      </c>
      <c r="AD3" s="105" t="s">
        <v>183</v>
      </c>
      <c r="AE3" s="105" t="s">
        <v>926</v>
      </c>
      <c r="AF3" s="105" t="s">
        <v>1003</v>
      </c>
      <c r="AG3" s="105" t="s">
        <v>1004</v>
      </c>
      <c r="AH3" s="105" t="s">
        <v>1103</v>
      </c>
      <c r="AI3" s="105" t="s">
        <v>1005</v>
      </c>
      <c r="AJ3" s="105" t="s">
        <v>1006</v>
      </c>
      <c r="AK3" s="105" t="s">
        <v>1104</v>
      </c>
      <c r="AL3" s="105" t="s">
        <v>927</v>
      </c>
    </row>
    <row r="4" spans="1:38">
      <c r="A4" s="76" t="s">
        <v>912</v>
      </c>
      <c r="B4" s="76" t="s">
        <v>921</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3690</v>
      </c>
      <c r="X4" s="105"/>
      <c r="Y4" s="107"/>
      <c r="Z4" s="105"/>
      <c r="AA4" s="107"/>
      <c r="AB4" s="108"/>
      <c r="AC4" s="108"/>
      <c r="AD4" s="105"/>
      <c r="AE4" s="107"/>
      <c r="AF4" s="107"/>
      <c r="AG4" s="107"/>
      <c r="AH4" s="107"/>
      <c r="AI4" s="107"/>
      <c r="AJ4" s="107"/>
      <c r="AK4" s="107"/>
      <c r="AL4" s="108"/>
    </row>
    <row r="5" spans="1:38">
      <c r="A5" s="76" t="s">
        <v>1000</v>
      </c>
      <c r="B5" s="76" t="s">
        <v>921</v>
      </c>
      <c r="C5" s="76">
        <v>3</v>
      </c>
      <c r="D5" s="76" t="s">
        <v>932</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912</v>
      </c>
      <c r="B6" s="73" t="s">
        <v>921</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1011</v>
      </c>
      <c r="B7" s="73" t="s">
        <v>921</v>
      </c>
      <c r="C7" s="73">
        <v>497</v>
      </c>
      <c r="D7" s="73" t="s">
        <v>932</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918</v>
      </c>
      <c r="B8" s="76" t="s">
        <v>937</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917</v>
      </c>
      <c r="B9" s="76" t="s">
        <v>937</v>
      </c>
      <c r="C9" s="76">
        <v>300</v>
      </c>
      <c r="D9" s="76" t="s">
        <v>932</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918</v>
      </c>
      <c r="B10" s="73" t="s">
        <v>937</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1011</v>
      </c>
      <c r="B11" s="73" t="s">
        <v>937</v>
      </c>
      <c r="C11" s="73">
        <v>100</v>
      </c>
      <c r="D11" s="73" t="s">
        <v>932</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917</v>
      </c>
      <c r="B12" s="76" t="s">
        <v>990</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917</v>
      </c>
      <c r="B13" s="76" t="s">
        <v>990</v>
      </c>
      <c r="C13" s="76">
        <v>200</v>
      </c>
      <c r="D13" s="76" t="s">
        <v>932</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917</v>
      </c>
      <c r="B14" s="73" t="s">
        <v>947</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1069</v>
      </c>
      <c r="AE14" s="94"/>
      <c r="AF14" s="94"/>
      <c r="AG14" s="94"/>
      <c r="AI14" s="94"/>
      <c r="AJ14" s="94"/>
      <c r="AL14" s="94"/>
    </row>
    <row r="15" spans="1:38">
      <c r="A15" s="73" t="s">
        <v>917</v>
      </c>
      <c r="B15" s="73" t="s">
        <v>947</v>
      </c>
      <c r="C15" s="73">
        <v>200</v>
      </c>
      <c r="D15" s="73" t="s">
        <v>932</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1007</v>
      </c>
      <c r="AB15" s="96">
        <f>AA12+Q70</f>
        <v>0</v>
      </c>
      <c r="AC15" s="112">
        <f>AB12+R70</f>
        <v>0</v>
      </c>
      <c r="AD15" s="112">
        <f>AC12+S70</f>
        <v>0</v>
      </c>
      <c r="AE15" s="94"/>
      <c r="AF15" s="94"/>
      <c r="AG15" s="94"/>
      <c r="AI15" s="94"/>
      <c r="AJ15" s="94"/>
      <c r="AL15" s="94"/>
    </row>
    <row r="16" spans="1:38">
      <c r="A16" s="76" t="s">
        <v>917</v>
      </c>
      <c r="B16" s="76" t="s">
        <v>930</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1008</v>
      </c>
      <c r="AB16" s="96">
        <f>AB15-AI12</f>
        <v>0</v>
      </c>
      <c r="AC16" s="112">
        <f>AC15-AJ12</f>
        <v>0</v>
      </c>
      <c r="AD16" s="112">
        <f>AD15-AK12</f>
        <v>0</v>
      </c>
      <c r="AE16" s="94"/>
      <c r="AF16" s="94"/>
      <c r="AG16" s="94"/>
      <c r="AI16" s="94"/>
      <c r="AJ16" s="94"/>
      <c r="AL16" s="94"/>
    </row>
    <row r="17" spans="1:33">
      <c r="A17" s="76" t="s">
        <v>1011</v>
      </c>
      <c r="B17" s="76" t="s">
        <v>930</v>
      </c>
      <c r="C17" s="76">
        <v>100</v>
      </c>
      <c r="D17" s="76" t="s">
        <v>932</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917</v>
      </c>
      <c r="B18" s="73" t="s">
        <v>930</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1038</v>
      </c>
      <c r="AB18" s="94">
        <v>8</v>
      </c>
      <c r="AD18" s="94"/>
      <c r="AE18" s="94"/>
      <c r="AF18" s="94"/>
      <c r="AG18" s="94"/>
    </row>
    <row r="19" spans="1:33">
      <c r="A19" s="73" t="s">
        <v>1011</v>
      </c>
      <c r="B19" s="73" t="s">
        <v>930</v>
      </c>
      <c r="C19" s="73">
        <v>100</v>
      </c>
      <c r="D19" s="73" t="s">
        <v>932</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1039</v>
      </c>
      <c r="AB19" s="94">
        <v>70</v>
      </c>
      <c r="AD19" s="94"/>
      <c r="AE19" s="94"/>
      <c r="AF19" s="94"/>
      <c r="AG19" s="94"/>
    </row>
    <row r="20" spans="1:33">
      <c r="A20" s="76" t="s">
        <v>917</v>
      </c>
      <c r="B20" s="76" t="s">
        <v>930</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1011</v>
      </c>
      <c r="B21" s="76" t="s">
        <v>930</v>
      </c>
      <c r="C21" s="76">
        <v>200</v>
      </c>
      <c r="D21" s="76" t="s">
        <v>932</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917</v>
      </c>
      <c r="B22" s="73" t="s">
        <v>943</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940</v>
      </c>
      <c r="Z22" s="97" t="s">
        <v>182</v>
      </c>
      <c r="AA22" s="94"/>
      <c r="AB22" s="94"/>
      <c r="AD22" s="94"/>
      <c r="AE22" s="94"/>
      <c r="AF22" s="94"/>
      <c r="AG22" s="94"/>
    </row>
    <row r="23" spans="1:33">
      <c r="A23" s="73" t="s">
        <v>1011</v>
      </c>
      <c r="B23" s="73" t="s">
        <v>943</v>
      </c>
      <c r="C23" s="73">
        <v>100</v>
      </c>
      <c r="D23" s="73" t="s">
        <v>932</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941</v>
      </c>
      <c r="Z23" s="95">
        <v>0</v>
      </c>
      <c r="AA23" s="94"/>
      <c r="AB23" s="94"/>
      <c r="AD23" s="94"/>
      <c r="AE23" s="94"/>
      <c r="AF23" s="94"/>
      <c r="AG23" s="94" t="s">
        <v>25</v>
      </c>
    </row>
    <row r="24" spans="1:33">
      <c r="A24" s="76" t="s">
        <v>917</v>
      </c>
      <c r="B24" s="76" t="s">
        <v>930</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1011</v>
      </c>
      <c r="B25" s="76" t="s">
        <v>930</v>
      </c>
      <c r="C25" s="76">
        <v>300</v>
      </c>
      <c r="D25" s="76" t="s">
        <v>932</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917</v>
      </c>
      <c r="B26" s="73" t="s">
        <v>943</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1011</v>
      </c>
      <c r="B27" s="73" t="s">
        <v>943</v>
      </c>
      <c r="C27" s="73">
        <v>200</v>
      </c>
      <c r="D27" s="73" t="s">
        <v>932</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917</v>
      </c>
      <c r="B28" s="85" t="s">
        <v>943</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1048</v>
      </c>
      <c r="B29" s="85" t="s">
        <v>943</v>
      </c>
      <c r="C29" s="85">
        <v>100</v>
      </c>
      <c r="D29" s="85" t="s">
        <v>932</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1000</v>
      </c>
      <c r="B30" s="76" t="s">
        <v>990</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1000</v>
      </c>
      <c r="B31" s="76" t="s">
        <v>990</v>
      </c>
      <c r="C31" s="76">
        <v>143</v>
      </c>
      <c r="D31" s="76" t="s">
        <v>932</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1000</v>
      </c>
      <c r="B32" s="73" t="s">
        <v>921</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1000</v>
      </c>
      <c r="B33" s="73" t="s">
        <v>921</v>
      </c>
      <c r="C33" s="73">
        <v>500</v>
      </c>
      <c r="D33" s="73" t="s">
        <v>932</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1000</v>
      </c>
      <c r="B34" s="76" t="s">
        <v>990</v>
      </c>
      <c r="C34" s="76">
        <v>140</v>
      </c>
      <c r="D34" s="76" t="s">
        <v>1002</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936</v>
      </c>
      <c r="Z34" s="95">
        <f>Z32-AL12</f>
        <v>0</v>
      </c>
    </row>
    <row r="35" spans="1:26">
      <c r="A35" s="76" t="s">
        <v>1000</v>
      </c>
      <c r="B35" s="76" t="s">
        <v>990</v>
      </c>
      <c r="C35" s="76">
        <v>140</v>
      </c>
      <c r="D35" s="76" t="s">
        <v>932</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1011</v>
      </c>
      <c r="B36" s="73" t="s">
        <v>937</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1011</v>
      </c>
      <c r="B37" s="73" t="s">
        <v>937</v>
      </c>
      <c r="C37" s="73">
        <v>100</v>
      </c>
      <c r="D37" s="73" t="s">
        <v>932</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1011</v>
      </c>
      <c r="B38" s="76" t="s">
        <v>944</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1011</v>
      </c>
      <c r="B39" s="76" t="s">
        <v>944</v>
      </c>
      <c r="C39" s="76">
        <v>500</v>
      </c>
      <c r="D39" s="76" t="s">
        <v>932</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1011</v>
      </c>
      <c r="B40" s="73" t="s">
        <v>921</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1048</v>
      </c>
      <c r="B41" s="73" t="s">
        <v>921</v>
      </c>
      <c r="C41" s="73">
        <v>8</v>
      </c>
      <c r="D41" s="73" t="s">
        <v>932</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1011</v>
      </c>
      <c r="B42" s="76" t="s">
        <v>947</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1049</v>
      </c>
      <c r="B43" s="76" t="s">
        <v>947</v>
      </c>
      <c r="C43" s="76">
        <v>1900</v>
      </c>
      <c r="D43" s="76" t="s">
        <v>932</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1092</v>
      </c>
      <c r="B44" s="116" t="s">
        <v>1106</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1107</v>
      </c>
      <c r="U44" s="74"/>
    </row>
    <row r="45" spans="1:26">
      <c r="A45" s="116" t="s">
        <v>1092</v>
      </c>
      <c r="B45" s="116" t="s">
        <v>1108</v>
      </c>
      <c r="C45" s="116">
        <v>100</v>
      </c>
      <c r="D45" s="116" t="s">
        <v>932</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1092</v>
      </c>
      <c r="B46" s="119" t="s">
        <v>921</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932</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3690</v>
      </c>
      <c r="B48" s="116" t="s">
        <v>937</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932</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3690</v>
      </c>
      <c r="B60" s="16" t="s">
        <v>921</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3738</v>
      </c>
      <c r="B62" s="80" t="s">
        <v>1068</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998</v>
      </c>
      <c r="R71" s="11" t="s">
        <v>999</v>
      </c>
      <c r="S71" s="97" t="s">
        <v>1105</v>
      </c>
      <c r="T71" s="11"/>
      <c r="U71" t="s">
        <v>25</v>
      </c>
    </row>
    <row r="72" spans="1:21">
      <c r="A72" s="25"/>
    </row>
    <row r="73" spans="1:21">
      <c r="A73" s="25"/>
    </row>
    <row r="74" spans="1:21">
      <c r="F74" s="7"/>
    </row>
    <row r="81" spans="3:14">
      <c r="H81">
        <v>180000000</v>
      </c>
    </row>
    <row r="82" spans="3:14">
      <c r="C82">
        <v>80</v>
      </c>
      <c r="D82">
        <v>1759999</v>
      </c>
      <c r="E82" t="s">
        <v>1086</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932</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932</v>
      </c>
      <c r="F87">
        <f t="shared" si="3"/>
        <v>53220030</v>
      </c>
      <c r="G87">
        <f t="shared" si="4"/>
        <v>66525.037500000006</v>
      </c>
      <c r="H87">
        <f>F87-G87</f>
        <v>53153504.962499999</v>
      </c>
      <c r="I87" s="25"/>
    </row>
    <row r="88" spans="3:14">
      <c r="C88">
        <v>10</v>
      </c>
      <c r="D88">
        <v>1774000</v>
      </c>
      <c r="E88" t="s">
        <v>932</v>
      </c>
      <c r="F88">
        <f t="shared" si="3"/>
        <v>17740000</v>
      </c>
      <c r="G88">
        <f t="shared" si="4"/>
        <v>22175</v>
      </c>
      <c r="H88">
        <f>F88-G88</f>
        <v>17717825</v>
      </c>
      <c r="I88" s="25"/>
    </row>
    <row r="89" spans="3:14">
      <c r="C89">
        <v>40</v>
      </c>
      <c r="D89">
        <v>1771000</v>
      </c>
      <c r="E89" t="s">
        <v>932</v>
      </c>
      <c r="F89">
        <f t="shared" si="3"/>
        <v>70840000</v>
      </c>
      <c r="G89">
        <f t="shared" si="4"/>
        <v>88550</v>
      </c>
      <c r="H89">
        <f>F89-G89</f>
        <v>70751450</v>
      </c>
      <c r="I89" s="28"/>
    </row>
    <row r="90" spans="3:14">
      <c r="C90">
        <v>20</v>
      </c>
      <c r="D90">
        <v>1790000</v>
      </c>
      <c r="E90" t="s">
        <v>932</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942</v>
      </c>
      <c r="B1" s="11">
        <v>25</v>
      </c>
      <c r="C1" s="11">
        <v>21</v>
      </c>
      <c r="D1" s="11">
        <v>20.5</v>
      </c>
      <c r="E1" s="11">
        <v>20</v>
      </c>
      <c r="F1" s="11">
        <v>19.5</v>
      </c>
      <c r="G1" s="11">
        <v>19</v>
      </c>
      <c r="H1" s="11">
        <v>18.5</v>
      </c>
      <c r="I1" s="11">
        <v>18</v>
      </c>
      <c r="J1" s="11">
        <v>17.5</v>
      </c>
      <c r="K1" s="11">
        <v>17</v>
      </c>
      <c r="L1" s="11" t="s">
        <v>1034</v>
      </c>
      <c r="M1" s="11" t="s">
        <v>951</v>
      </c>
      <c r="N1" s="11" t="s">
        <v>1024</v>
      </c>
      <c r="O1" s="11" t="s">
        <v>953</v>
      </c>
      <c r="P1" s="11" t="s">
        <v>1030</v>
      </c>
      <c r="Q1" s="11" t="s">
        <v>954</v>
      </c>
      <c r="R1" s="11" t="s">
        <v>983</v>
      </c>
      <c r="S1" s="11" t="s">
        <v>965</v>
      </c>
      <c r="T1" s="11" t="s">
        <v>924</v>
      </c>
      <c r="U1" s="67" t="s">
        <v>1029</v>
      </c>
      <c r="W1">
        <v>96</v>
      </c>
      <c r="X1">
        <v>12</v>
      </c>
      <c r="Y1" s="3">
        <v>85500</v>
      </c>
      <c r="Z1" s="3">
        <f>Y1</f>
        <v>85500</v>
      </c>
      <c r="AA1" s="3">
        <v>0</v>
      </c>
      <c r="AC1" t="s">
        <v>938</v>
      </c>
      <c r="AD1" t="s">
        <v>988</v>
      </c>
      <c r="AE1" t="s">
        <v>989</v>
      </c>
      <c r="AI1">
        <v>0.51500000000000001</v>
      </c>
      <c r="AJ1" t="s">
        <v>1015</v>
      </c>
      <c r="AL1" t="s">
        <v>1025</v>
      </c>
      <c r="AM1" t="s">
        <v>1026</v>
      </c>
    </row>
    <row r="2" spans="1:39" ht="19.5" customHeight="1">
      <c r="A2" s="144" t="s">
        <v>948</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974</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1016</v>
      </c>
    </row>
    <row r="3" spans="1:39" ht="18" customHeight="1">
      <c r="A3" s="180" t="s">
        <v>4195</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4204</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949</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975</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950</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977</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932</v>
      </c>
      <c r="AC5">
        <v>20</v>
      </c>
    </row>
    <row r="6" spans="1:39" ht="21.75" customHeight="1">
      <c r="A6" s="144" t="s">
        <v>966</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976</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967</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976</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968</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980</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4196</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4205</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969</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981</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970</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982</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971</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982</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972</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974</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3834</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3835</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3887</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3888</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3935</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4182</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4197</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4206</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4198</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4207</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984</v>
      </c>
      <c r="AD18" t="s">
        <v>1023</v>
      </c>
      <c r="AF18" s="26"/>
    </row>
    <row r="19" spans="1:32" ht="21.75" customHeight="1">
      <c r="A19" s="12" t="s">
        <v>4199</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4208</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1032</v>
      </c>
      <c r="AD19">
        <v>258</v>
      </c>
      <c r="AF19" s="26"/>
    </row>
    <row r="20" spans="1:32" ht="22.5" customHeight="1">
      <c r="A20" s="144" t="s">
        <v>4200</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3835</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4201</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4209</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4315</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4316</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4252</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4253</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933</v>
      </c>
      <c r="AD23" t="s">
        <v>1033</v>
      </c>
      <c r="AE23" s="25"/>
      <c r="AF23" s="26"/>
    </row>
    <row r="24" spans="1:32">
      <c r="A24" s="85" t="s">
        <v>4202</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4210</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4203</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4211</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986</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987</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943</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958</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944</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959</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937</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960</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930</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961</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945</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985</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946</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962</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947</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963</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921</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964</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952</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955</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956</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957</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978</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979</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1027</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1028</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4017</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1087</v>
      </c>
      <c r="E50">
        <v>7.2499999999999995E-2</v>
      </c>
      <c r="AD50" s="25"/>
      <c r="AE50" s="26"/>
    </row>
    <row r="51" spans="1:31">
      <c r="D51" t="s">
        <v>1088</v>
      </c>
      <c r="E51">
        <v>7.2499999999999995E-2</v>
      </c>
      <c r="AD51" s="25"/>
      <c r="AE51" s="26"/>
    </row>
    <row r="52" spans="1:31">
      <c r="D52" t="s">
        <v>1089</v>
      </c>
      <c r="E52">
        <v>0.125</v>
      </c>
      <c r="AD52" s="25"/>
      <c r="AE52" s="26"/>
    </row>
    <row r="53" spans="1:31">
      <c r="D53" t="s">
        <v>3766</v>
      </c>
      <c r="E53">
        <v>0.49</v>
      </c>
      <c r="AD53" s="25"/>
      <c r="AE53" s="26"/>
    </row>
    <row r="54" spans="1:31">
      <c r="D54" t="s">
        <v>3767</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4194</v>
      </c>
      <c r="AD63" s="25"/>
      <c r="AE63" s="26"/>
    </row>
    <row r="64" spans="1:31">
      <c r="A64">
        <v>611</v>
      </c>
      <c r="B64" t="s">
        <v>4186</v>
      </c>
      <c r="AD64" s="25"/>
      <c r="AE64" s="26"/>
    </row>
    <row r="65" spans="1:31">
      <c r="AD65" s="25"/>
      <c r="AE65" s="26"/>
    </row>
    <row r="66" spans="1:31">
      <c r="A66">
        <v>701</v>
      </c>
      <c r="B66" t="s">
        <v>4187</v>
      </c>
      <c r="AD66" s="25"/>
      <c r="AE66" s="26"/>
    </row>
    <row r="67" spans="1:31">
      <c r="A67">
        <v>702</v>
      </c>
      <c r="B67" t="s">
        <v>4188</v>
      </c>
      <c r="AD67" s="25"/>
      <c r="AE67" s="26"/>
    </row>
    <row r="68" spans="1:31">
      <c r="A68">
        <v>704</v>
      </c>
      <c r="B68" t="s">
        <v>4189</v>
      </c>
      <c r="AD68" s="25"/>
      <c r="AE68" s="26"/>
    </row>
    <row r="69" spans="1:31">
      <c r="A69">
        <v>705</v>
      </c>
      <c r="B69" t="s">
        <v>4190</v>
      </c>
      <c r="AD69" s="25"/>
      <c r="AE69" s="26"/>
    </row>
    <row r="70" spans="1:31">
      <c r="A70">
        <v>706</v>
      </c>
      <c r="B70" t="s">
        <v>4191</v>
      </c>
      <c r="AD70" s="25"/>
      <c r="AE70" s="26"/>
    </row>
    <row r="71" spans="1:31">
      <c r="A71" s="25">
        <v>711</v>
      </c>
      <c r="B71" s="25" t="s">
        <v>4192</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4193</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xr:uid="{00000000-0004-0000-3B00-000000000000}"/>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A6"/>
  <sheetViews>
    <sheetView workbookViewId="0">
      <selection activeCell="A7" sqref="A7"/>
    </sheetView>
  </sheetViews>
  <sheetFormatPr defaultRowHeight="15"/>
  <cols>
    <col min="1" max="1" width="102.7109375" bestFit="1" customWidth="1"/>
  </cols>
  <sheetData>
    <row r="1" spans="1:1">
      <c r="A1" t="s">
        <v>1040</v>
      </c>
    </row>
    <row r="2" spans="1:1">
      <c r="A2" t="s">
        <v>1041</v>
      </c>
    </row>
    <row r="3" spans="1:1">
      <c r="A3" t="s">
        <v>1042</v>
      </c>
    </row>
    <row r="4" spans="1:1">
      <c r="A4" t="s">
        <v>1043</v>
      </c>
    </row>
    <row r="5" spans="1:1">
      <c r="A5" t="s">
        <v>1044</v>
      </c>
    </row>
    <row r="6" spans="1:1">
      <c r="A6" t="s">
        <v>1070</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3709</v>
      </c>
      <c r="I1" t="s">
        <v>3715</v>
      </c>
    </row>
    <row r="2" spans="1:12">
      <c r="A2">
        <v>1</v>
      </c>
      <c r="B2" t="s">
        <v>3703</v>
      </c>
      <c r="G2" t="s">
        <v>3707</v>
      </c>
      <c r="H2" t="s">
        <v>3710</v>
      </c>
      <c r="I2" t="s">
        <v>3716</v>
      </c>
    </row>
    <row r="3" spans="1:12">
      <c r="A3">
        <v>2</v>
      </c>
      <c r="B3" t="s">
        <v>3704</v>
      </c>
      <c r="G3" s="121"/>
      <c r="H3" t="s">
        <v>3711</v>
      </c>
      <c r="I3" t="s">
        <v>3717</v>
      </c>
    </row>
    <row r="4" spans="1:12">
      <c r="A4">
        <v>3</v>
      </c>
      <c r="B4" t="s">
        <v>3705</v>
      </c>
      <c r="H4" t="s">
        <v>3712</v>
      </c>
      <c r="L4" s="121"/>
    </row>
    <row r="5" spans="1:12">
      <c r="H5" t="s">
        <v>3714</v>
      </c>
    </row>
    <row r="6" spans="1:12">
      <c r="B6" s="121" t="s">
        <v>3708</v>
      </c>
      <c r="H6" t="s">
        <v>3718</v>
      </c>
    </row>
    <row r="7" spans="1:12">
      <c r="H7" t="s">
        <v>3719</v>
      </c>
    </row>
    <row r="8" spans="1:12">
      <c r="H8" t="s">
        <v>3720</v>
      </c>
    </row>
    <row r="9" spans="1:12">
      <c r="H9" t="s">
        <v>3733</v>
      </c>
    </row>
    <row r="10" spans="1:12">
      <c r="H10" t="s">
        <v>3734</v>
      </c>
    </row>
    <row r="11" spans="1:12">
      <c r="H11" t="s">
        <v>3735</v>
      </c>
    </row>
    <row r="12" spans="1:12">
      <c r="H12" t="s">
        <v>3737</v>
      </c>
    </row>
    <row r="13" spans="1:12">
      <c r="H13" t="s">
        <v>3736</v>
      </c>
    </row>
    <row r="18" spans="1:8">
      <c r="A18" s="97" t="s">
        <v>3721</v>
      </c>
      <c r="B18" s="97"/>
      <c r="C18" s="97"/>
      <c r="D18" s="97"/>
    </row>
    <row r="19" spans="1:8">
      <c r="A19" s="97">
        <v>1</v>
      </c>
      <c r="B19" s="97" t="s">
        <v>3722</v>
      </c>
      <c r="C19" s="97" t="s">
        <v>3724</v>
      </c>
      <c r="D19" s="97"/>
    </row>
    <row r="20" spans="1:8">
      <c r="A20" s="97">
        <v>2</v>
      </c>
      <c r="B20" s="97" t="s">
        <v>3723</v>
      </c>
      <c r="C20" s="97" t="s">
        <v>3725</v>
      </c>
      <c r="D20" s="97" t="s">
        <v>3726</v>
      </c>
      <c r="G20" t="s">
        <v>3727</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3731</v>
      </c>
      <c r="H38" s="22"/>
    </row>
    <row r="39" spans="1:8">
      <c r="A39">
        <v>1</v>
      </c>
      <c r="B39" t="s">
        <v>3728</v>
      </c>
    </row>
    <row r="40" spans="1:8">
      <c r="A40">
        <v>2</v>
      </c>
      <c r="B40" t="s">
        <v>3732</v>
      </c>
    </row>
    <row r="41" spans="1:8">
      <c r="A41">
        <v>3</v>
      </c>
      <c r="B41" t="s">
        <v>3729</v>
      </c>
    </row>
    <row r="42" spans="1:8">
      <c r="A42">
        <v>4</v>
      </c>
      <c r="B42" t="s">
        <v>3730</v>
      </c>
    </row>
  </sheetData>
  <hyperlinks>
    <hyperlink ref="B6" r:id="rId1" xr:uid="{00000000-0004-0000-3E00-000000000000}"/>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B1"/>
  <sheetViews>
    <sheetView workbookViewId="0">
      <selection activeCell="B2" sqref="B2"/>
    </sheetView>
  </sheetViews>
  <sheetFormatPr defaultRowHeight="15"/>
  <cols>
    <col min="1" max="1" width="18.5703125" customWidth="1"/>
  </cols>
  <sheetData>
    <row r="1" spans="1:2">
      <c r="A1" t="s">
        <v>1219</v>
      </c>
      <c r="B1" t="s">
        <v>1220</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1327</v>
      </c>
      <c r="B1" s="94" t="s">
        <v>1328</v>
      </c>
      <c r="C1" s="94" t="s">
        <v>1329</v>
      </c>
      <c r="D1" s="94" t="s">
        <v>1330</v>
      </c>
      <c r="E1" s="94" t="s">
        <v>1331</v>
      </c>
      <c r="F1" s="94" t="s">
        <v>1332</v>
      </c>
    </row>
    <row r="2" spans="1:10">
      <c r="A2" s="132">
        <v>28360000</v>
      </c>
      <c r="B2" s="132">
        <v>28100000</v>
      </c>
      <c r="C2" s="132">
        <v>28700000</v>
      </c>
      <c r="D2" s="132">
        <v>28700000</v>
      </c>
      <c r="E2" s="133">
        <v>43278</v>
      </c>
      <c r="F2" s="134" t="s">
        <v>3791</v>
      </c>
    </row>
    <row r="3" spans="1:10">
      <c r="A3" s="132">
        <v>28310000</v>
      </c>
      <c r="B3" s="132">
        <v>28050000</v>
      </c>
      <c r="C3" s="132">
        <v>28760000</v>
      </c>
      <c r="D3" s="132">
        <v>28220000</v>
      </c>
      <c r="E3" s="133">
        <v>43277</v>
      </c>
      <c r="F3" s="134" t="s">
        <v>3792</v>
      </c>
    </row>
    <row r="4" spans="1:10">
      <c r="A4" s="132">
        <v>29560000</v>
      </c>
      <c r="B4" s="132">
        <v>27710000</v>
      </c>
      <c r="C4" s="132">
        <v>29560000</v>
      </c>
      <c r="D4" s="132">
        <v>28160000</v>
      </c>
      <c r="E4" s="133">
        <v>43276</v>
      </c>
      <c r="F4" s="134" t="s">
        <v>3793</v>
      </c>
    </row>
    <row r="5" spans="1:10">
      <c r="A5" s="132">
        <v>28035000</v>
      </c>
      <c r="B5" s="132">
        <v>27820000</v>
      </c>
      <c r="C5" s="132">
        <v>30085000</v>
      </c>
      <c r="D5" s="132">
        <v>29760000</v>
      </c>
      <c r="E5" s="133">
        <v>43275</v>
      </c>
      <c r="F5" s="134" t="s">
        <v>3794</v>
      </c>
    </row>
    <row r="6" spans="1:10">
      <c r="A6" s="132">
        <v>25910000</v>
      </c>
      <c r="B6" s="132">
        <v>25910000</v>
      </c>
      <c r="C6" s="132">
        <v>28260000</v>
      </c>
      <c r="D6" s="132">
        <v>28210000</v>
      </c>
      <c r="E6" s="133">
        <v>43274</v>
      </c>
      <c r="F6" s="134" t="s">
        <v>3795</v>
      </c>
      <c r="J6" t="s">
        <v>25</v>
      </c>
    </row>
    <row r="7" spans="1:10">
      <c r="A7" s="132">
        <v>25830000</v>
      </c>
      <c r="B7" s="132">
        <v>25770000</v>
      </c>
      <c r="C7" s="132">
        <v>25965000</v>
      </c>
      <c r="D7" s="132">
        <v>25945000</v>
      </c>
      <c r="E7" s="133">
        <v>43273</v>
      </c>
      <c r="F7" s="134" t="s">
        <v>3796</v>
      </c>
      <c r="H7" t="s">
        <v>25</v>
      </c>
    </row>
    <row r="8" spans="1:10">
      <c r="A8" s="132">
        <v>25595000</v>
      </c>
      <c r="B8" s="132">
        <v>25530000</v>
      </c>
      <c r="C8" s="132">
        <v>25930000</v>
      </c>
      <c r="D8" s="132">
        <v>25820000</v>
      </c>
      <c r="E8" s="133">
        <v>43272</v>
      </c>
      <c r="F8" s="134" t="s">
        <v>3797</v>
      </c>
    </row>
    <row r="9" spans="1:10">
      <c r="A9" s="132">
        <v>25210000</v>
      </c>
      <c r="B9" s="132">
        <v>25180000</v>
      </c>
      <c r="C9" s="132">
        <v>25630000</v>
      </c>
      <c r="D9" s="132">
        <v>25530000</v>
      </c>
      <c r="E9" s="133">
        <v>43271</v>
      </c>
      <c r="F9" s="134" t="s">
        <v>3798</v>
      </c>
      <c r="I9" t="s">
        <v>25</v>
      </c>
    </row>
    <row r="10" spans="1:10">
      <c r="A10" s="132">
        <v>24945000</v>
      </c>
      <c r="B10" s="132">
        <v>24910000</v>
      </c>
      <c r="C10" s="132">
        <v>25320000</v>
      </c>
      <c r="D10" s="132">
        <v>25200000</v>
      </c>
      <c r="E10" s="133">
        <v>43270</v>
      </c>
      <c r="F10" s="134" t="s">
        <v>3799</v>
      </c>
    </row>
    <row r="11" spans="1:10">
      <c r="A11" s="132">
        <v>24520000</v>
      </c>
      <c r="B11" s="132">
        <v>24520000</v>
      </c>
      <c r="C11" s="132">
        <v>25410000</v>
      </c>
      <c r="D11" s="132">
        <v>24930000</v>
      </c>
      <c r="E11" s="133">
        <v>43269</v>
      </c>
      <c r="F11" s="134" t="s">
        <v>3800</v>
      </c>
    </row>
    <row r="12" spans="1:10">
      <c r="A12" s="132">
        <v>23840000</v>
      </c>
      <c r="B12" s="132">
        <v>23120000</v>
      </c>
      <c r="C12" s="132">
        <v>24585000</v>
      </c>
      <c r="D12" s="132">
        <v>24535000</v>
      </c>
      <c r="E12" s="133">
        <v>43268</v>
      </c>
      <c r="F12" s="134" t="s">
        <v>3801</v>
      </c>
      <c r="G12" t="s">
        <v>25</v>
      </c>
    </row>
    <row r="13" spans="1:10">
      <c r="A13" s="132">
        <v>23875000</v>
      </c>
      <c r="B13" s="132">
        <v>23740000</v>
      </c>
      <c r="C13" s="132">
        <v>23885000</v>
      </c>
      <c r="D13" s="132">
        <v>23830000</v>
      </c>
      <c r="E13" s="133">
        <v>43267</v>
      </c>
      <c r="F13" s="134" t="s">
        <v>3802</v>
      </c>
    </row>
    <row r="14" spans="1:10">
      <c r="A14" s="132">
        <v>23945000</v>
      </c>
      <c r="B14" s="132">
        <v>23815000</v>
      </c>
      <c r="C14" s="132">
        <v>23945000</v>
      </c>
      <c r="D14" s="132">
        <v>23865000</v>
      </c>
      <c r="E14" s="133">
        <v>43266</v>
      </c>
      <c r="F14" s="134" t="s">
        <v>3803</v>
      </c>
    </row>
    <row r="15" spans="1:10">
      <c r="A15" s="132">
        <v>25135000</v>
      </c>
      <c r="B15" s="132">
        <v>23715000</v>
      </c>
      <c r="C15" s="132">
        <v>25135000</v>
      </c>
      <c r="D15" s="132">
        <v>23955000</v>
      </c>
      <c r="E15" s="133">
        <v>43265</v>
      </c>
      <c r="F15" s="134" t="s">
        <v>3804</v>
      </c>
    </row>
    <row r="16" spans="1:10">
      <c r="A16" s="132">
        <v>25320000</v>
      </c>
      <c r="B16" s="132">
        <v>25025000</v>
      </c>
      <c r="C16" s="132">
        <v>26000000</v>
      </c>
      <c r="D16" s="132">
        <v>25125000</v>
      </c>
      <c r="E16" s="133">
        <v>43264</v>
      </c>
      <c r="F16" s="134" t="s">
        <v>3805</v>
      </c>
    </row>
    <row r="17" spans="1:6">
      <c r="A17" s="132">
        <v>24745000</v>
      </c>
      <c r="B17" s="132">
        <v>24745000</v>
      </c>
      <c r="C17" s="132">
        <v>25450000</v>
      </c>
      <c r="D17" s="132">
        <v>25245000</v>
      </c>
      <c r="E17" s="133">
        <v>43263</v>
      </c>
      <c r="F17" s="134" t="s">
        <v>3806</v>
      </c>
    </row>
    <row r="18" spans="1:6">
      <c r="A18" s="132">
        <v>24560000</v>
      </c>
      <c r="B18" s="132">
        <v>24270000</v>
      </c>
      <c r="C18" s="132">
        <v>25070000</v>
      </c>
      <c r="D18" s="132">
        <v>24755000</v>
      </c>
      <c r="E18" s="133">
        <v>43262</v>
      </c>
      <c r="F18" s="134" t="s">
        <v>3807</v>
      </c>
    </row>
    <row r="19" spans="1:6">
      <c r="A19" s="132">
        <v>23345000</v>
      </c>
      <c r="B19" s="132">
        <v>23345000</v>
      </c>
      <c r="C19" s="132">
        <v>24775000</v>
      </c>
      <c r="D19" s="132">
        <v>24535000</v>
      </c>
      <c r="E19" s="133">
        <v>43261</v>
      </c>
      <c r="F19" s="134" t="s">
        <v>3808</v>
      </c>
    </row>
    <row r="20" spans="1:6">
      <c r="A20" s="132">
        <v>22220000</v>
      </c>
      <c r="B20" s="132">
        <v>22220000</v>
      </c>
      <c r="C20" s="132">
        <v>23270000</v>
      </c>
      <c r="D20" s="132">
        <v>23270000</v>
      </c>
      <c r="E20" s="133">
        <v>43260</v>
      </c>
      <c r="F20" s="134" t="s">
        <v>3809</v>
      </c>
    </row>
    <row r="21" spans="1:6">
      <c r="A21" s="132">
        <v>22445000</v>
      </c>
      <c r="B21" s="132">
        <v>22250000</v>
      </c>
      <c r="C21" s="132">
        <v>22445000</v>
      </c>
      <c r="D21" s="132">
        <v>22250000</v>
      </c>
      <c r="E21" s="133">
        <v>43259</v>
      </c>
      <c r="F21" s="134" t="s">
        <v>3810</v>
      </c>
    </row>
    <row r="22" spans="1:6">
      <c r="A22" s="132">
        <v>22100000</v>
      </c>
      <c r="B22" s="132">
        <v>22050000</v>
      </c>
      <c r="C22" s="132">
        <v>22450000</v>
      </c>
      <c r="D22" s="132">
        <v>22440000</v>
      </c>
      <c r="E22" s="133">
        <v>43258</v>
      </c>
      <c r="F22" s="134" t="s">
        <v>3811</v>
      </c>
    </row>
    <row r="23" spans="1:6">
      <c r="A23" s="132">
        <v>22190000</v>
      </c>
      <c r="B23" s="132">
        <v>22100000</v>
      </c>
      <c r="C23" s="132">
        <v>22200000</v>
      </c>
      <c r="D23" s="132">
        <v>22150000</v>
      </c>
      <c r="E23" s="133">
        <v>43257</v>
      </c>
      <c r="F23" s="134" t="s">
        <v>3812</v>
      </c>
    </row>
    <row r="24" spans="1:6">
      <c r="A24" s="132">
        <v>21950000</v>
      </c>
      <c r="B24" s="132">
        <v>21950000</v>
      </c>
      <c r="C24" s="132">
        <v>22210000</v>
      </c>
      <c r="D24" s="132">
        <v>22210000</v>
      </c>
      <c r="E24" s="133">
        <v>43256</v>
      </c>
      <c r="F24" s="134" t="s">
        <v>3813</v>
      </c>
    </row>
    <row r="25" spans="1:6">
      <c r="A25" s="132">
        <v>21350000</v>
      </c>
      <c r="B25" s="132">
        <v>21320000</v>
      </c>
      <c r="C25" s="132">
        <v>21770000</v>
      </c>
      <c r="D25" s="132">
        <v>21745000</v>
      </c>
      <c r="E25" s="133">
        <v>43254</v>
      </c>
      <c r="F25" s="134" t="s">
        <v>3814</v>
      </c>
    </row>
    <row r="26" spans="1:6">
      <c r="A26" s="132">
        <v>21485000</v>
      </c>
      <c r="B26" s="132">
        <v>21170000</v>
      </c>
      <c r="C26" s="132">
        <v>21485000</v>
      </c>
      <c r="D26" s="132">
        <v>21380000</v>
      </c>
      <c r="E26" s="133">
        <v>43253</v>
      </c>
      <c r="F26" s="134" t="s">
        <v>3815</v>
      </c>
    </row>
    <row r="27" spans="1:6">
      <c r="A27" s="132">
        <v>21520000</v>
      </c>
      <c r="B27" s="132">
        <v>21420000</v>
      </c>
      <c r="C27" s="132">
        <v>21615000</v>
      </c>
      <c r="D27" s="132">
        <v>21550000</v>
      </c>
      <c r="E27" s="133">
        <v>43251</v>
      </c>
      <c r="F27" s="134" t="s">
        <v>3816</v>
      </c>
    </row>
    <row r="28" spans="1:6">
      <c r="A28" s="132">
        <v>21525000</v>
      </c>
      <c r="B28" s="132">
        <v>21350000</v>
      </c>
      <c r="C28" s="132">
        <v>21850000</v>
      </c>
      <c r="D28" s="132">
        <v>21495000</v>
      </c>
      <c r="E28" s="133">
        <v>43250</v>
      </c>
      <c r="F28" s="134" t="s">
        <v>3817</v>
      </c>
    </row>
    <row r="29" spans="1:6">
      <c r="A29" s="132">
        <v>20950000</v>
      </c>
      <c r="B29" s="132">
        <v>20950000</v>
      </c>
      <c r="C29" s="132">
        <v>21475000</v>
      </c>
      <c r="D29" s="132">
        <v>21450000</v>
      </c>
      <c r="E29" s="133">
        <v>43249</v>
      </c>
      <c r="F29" s="134" t="s">
        <v>3818</v>
      </c>
    </row>
    <row r="30" spans="1:6">
      <c r="A30" s="132">
        <v>20540000</v>
      </c>
      <c r="B30" s="132">
        <v>20460000</v>
      </c>
      <c r="C30" s="132">
        <v>20810000</v>
      </c>
      <c r="D30" s="132">
        <v>20775000</v>
      </c>
      <c r="E30" s="133">
        <v>43248</v>
      </c>
      <c r="F30" s="134" t="s">
        <v>3819</v>
      </c>
    </row>
    <row r="31" spans="1:6">
      <c r="A31" s="132">
        <v>20325000</v>
      </c>
      <c r="B31" s="132">
        <v>20325000</v>
      </c>
      <c r="C31" s="132">
        <v>20488000</v>
      </c>
      <c r="D31" s="132">
        <v>20450000</v>
      </c>
      <c r="E31" s="133">
        <v>43247</v>
      </c>
      <c r="F31" s="134" t="s">
        <v>3820</v>
      </c>
    </row>
    <row r="32" spans="1:6">
      <c r="A32" s="132">
        <v>20310000</v>
      </c>
      <c r="B32" s="132">
        <v>20205000</v>
      </c>
      <c r="C32" s="132">
        <v>20310000</v>
      </c>
      <c r="D32" s="132">
        <v>20310000</v>
      </c>
      <c r="E32" s="133">
        <v>43246</v>
      </c>
      <c r="F32" s="134" t="s">
        <v>3821</v>
      </c>
    </row>
    <row r="33" spans="1:6">
      <c r="A33" s="132">
        <v>19535000</v>
      </c>
      <c r="B33" s="132">
        <v>19510000</v>
      </c>
      <c r="C33" s="132">
        <v>20060000</v>
      </c>
      <c r="D33" s="132">
        <v>19960000</v>
      </c>
      <c r="E33" s="133">
        <v>43241</v>
      </c>
      <c r="F33" s="134" t="s">
        <v>3822</v>
      </c>
    </row>
    <row r="34" spans="1:6">
      <c r="A34" s="132">
        <v>20080000</v>
      </c>
      <c r="B34" s="132">
        <v>20080000</v>
      </c>
      <c r="C34" s="132">
        <v>20360000</v>
      </c>
      <c r="D34" s="132">
        <v>20360000</v>
      </c>
      <c r="E34" s="133">
        <v>43244</v>
      </c>
      <c r="F34" s="134" t="s">
        <v>3823</v>
      </c>
    </row>
    <row r="35" spans="1:6">
      <c r="A35" s="132">
        <v>19320000</v>
      </c>
      <c r="B35" s="132">
        <v>19130000</v>
      </c>
      <c r="C35" s="132">
        <v>19635000</v>
      </c>
      <c r="D35" s="132">
        <v>19560000</v>
      </c>
      <c r="E35" s="133">
        <v>43240</v>
      </c>
      <c r="F35" s="134" t="s">
        <v>3824</v>
      </c>
    </row>
    <row r="36" spans="1:6">
      <c r="A36" s="132">
        <v>20090000</v>
      </c>
      <c r="B36" s="132">
        <v>19945000</v>
      </c>
      <c r="C36" s="132">
        <v>20170000</v>
      </c>
      <c r="D36" s="132">
        <v>20070000</v>
      </c>
      <c r="E36" s="133">
        <v>43243</v>
      </c>
      <c r="F36" s="134" t="s">
        <v>3825</v>
      </c>
    </row>
    <row r="37" spans="1:6">
      <c r="A37" s="132">
        <v>19745000</v>
      </c>
      <c r="B37" s="132">
        <v>19360000</v>
      </c>
      <c r="C37" s="132">
        <v>19770000</v>
      </c>
      <c r="D37" s="132">
        <v>19360000</v>
      </c>
      <c r="E37" s="133">
        <v>43239</v>
      </c>
      <c r="F37" s="134" t="s">
        <v>3826</v>
      </c>
    </row>
    <row r="38" spans="1:6">
      <c r="A38" s="132">
        <v>19975000</v>
      </c>
      <c r="B38" s="132">
        <v>19975000</v>
      </c>
      <c r="C38" s="132">
        <v>20340000</v>
      </c>
      <c r="D38" s="132">
        <v>20130000</v>
      </c>
      <c r="E38" s="133">
        <v>43242</v>
      </c>
      <c r="F38" s="134" t="s">
        <v>3827</v>
      </c>
    </row>
    <row r="39" spans="1:6">
      <c r="A39" s="132">
        <v>19760000</v>
      </c>
      <c r="B39" s="132">
        <v>19760000</v>
      </c>
      <c r="C39" s="132">
        <v>19760000</v>
      </c>
      <c r="D39" s="132">
        <v>19760000</v>
      </c>
      <c r="E39" s="133">
        <v>43238</v>
      </c>
      <c r="F39" s="134" t="s">
        <v>3828</v>
      </c>
    </row>
    <row r="40" spans="1:6">
      <c r="A40" s="132">
        <v>19465000</v>
      </c>
      <c r="B40" s="132">
        <v>19465000</v>
      </c>
      <c r="C40" s="132">
        <v>19750000</v>
      </c>
      <c r="D40" s="132">
        <v>19750000</v>
      </c>
      <c r="E40" s="133">
        <v>43237</v>
      </c>
      <c r="F40" s="134" t="s">
        <v>3829</v>
      </c>
    </row>
    <row r="41" spans="1:6">
      <c r="A41" s="132">
        <v>19175000</v>
      </c>
      <c r="B41" s="132">
        <v>19175000</v>
      </c>
      <c r="C41" s="132">
        <v>19450000</v>
      </c>
      <c r="D41" s="132">
        <v>19380000</v>
      </c>
      <c r="E41" s="133">
        <v>43236</v>
      </c>
      <c r="F41" s="134" t="s">
        <v>3830</v>
      </c>
    </row>
    <row r="42" spans="1:6">
      <c r="A42" s="132">
        <v>19050000</v>
      </c>
      <c r="B42" s="132">
        <v>18700000</v>
      </c>
      <c r="C42" s="132">
        <v>19150000</v>
      </c>
      <c r="D42" s="132">
        <v>19050000</v>
      </c>
      <c r="E42" s="133">
        <v>43235</v>
      </c>
      <c r="F42" s="134" t="s">
        <v>3831</v>
      </c>
    </row>
    <row r="43" spans="1:6">
      <c r="A43" s="132">
        <v>19665000</v>
      </c>
      <c r="B43" s="132">
        <v>18790000</v>
      </c>
      <c r="C43" s="132">
        <v>19665000</v>
      </c>
      <c r="D43" s="132">
        <v>19040000</v>
      </c>
      <c r="E43" s="133">
        <v>43234</v>
      </c>
      <c r="F43" s="134" t="s">
        <v>3832</v>
      </c>
    </row>
    <row r="44" spans="1:6">
      <c r="A44" s="132">
        <v>20405000</v>
      </c>
      <c r="B44" s="132">
        <v>19640000</v>
      </c>
      <c r="C44" s="132">
        <v>20405000</v>
      </c>
      <c r="D44" s="132">
        <v>19790000</v>
      </c>
      <c r="E44" s="133">
        <v>43233</v>
      </c>
      <c r="F44" s="134" t="s">
        <v>3833</v>
      </c>
    </row>
    <row r="45" spans="1:6">
      <c r="A45" s="132">
        <v>21155000</v>
      </c>
      <c r="B45" s="132">
        <v>20080000</v>
      </c>
      <c r="C45" s="132">
        <v>21180000</v>
      </c>
      <c r="D45" s="132">
        <v>20580000</v>
      </c>
      <c r="E45" s="133">
        <v>43232</v>
      </c>
      <c r="F45" s="134" t="s">
        <v>1227</v>
      </c>
    </row>
    <row r="46" spans="1:6">
      <c r="A46" s="132">
        <v>20260000</v>
      </c>
      <c r="B46" s="132">
        <v>20260000</v>
      </c>
      <c r="C46" s="132">
        <v>21030000</v>
      </c>
      <c r="D46" s="132">
        <v>21030000</v>
      </c>
      <c r="E46" s="133">
        <v>43230</v>
      </c>
      <c r="F46" s="134" t="s">
        <v>1228</v>
      </c>
    </row>
    <row r="47" spans="1:6">
      <c r="A47" s="132">
        <v>20105000</v>
      </c>
      <c r="B47" s="132">
        <v>19890000</v>
      </c>
      <c r="C47" s="132">
        <v>20690000</v>
      </c>
      <c r="D47" s="132">
        <v>20190000</v>
      </c>
      <c r="E47" s="133">
        <v>43229</v>
      </c>
      <c r="F47" s="134" t="s">
        <v>1229</v>
      </c>
    </row>
    <row r="48" spans="1:6">
      <c r="A48" s="132">
        <v>19400000</v>
      </c>
      <c r="B48" s="132">
        <v>19400000</v>
      </c>
      <c r="C48" s="132">
        <v>20600000</v>
      </c>
      <c r="D48" s="132">
        <v>20020000</v>
      </c>
      <c r="E48" s="133">
        <v>43228</v>
      </c>
      <c r="F48" s="134" t="s">
        <v>1230</v>
      </c>
    </row>
    <row r="49" spans="1:6">
      <c r="A49" s="132">
        <v>20245000</v>
      </c>
      <c r="B49" s="132">
        <v>18780000</v>
      </c>
      <c r="C49" s="132">
        <v>20245000</v>
      </c>
      <c r="D49" s="132">
        <v>18980000</v>
      </c>
      <c r="E49" s="133">
        <v>43227</v>
      </c>
      <c r="F49" s="134" t="s">
        <v>1231</v>
      </c>
    </row>
    <row r="50" spans="1:6">
      <c r="A50" s="132">
        <v>20470000</v>
      </c>
      <c r="B50" s="132">
        <v>19945000</v>
      </c>
      <c r="C50" s="132">
        <v>21045000</v>
      </c>
      <c r="D50" s="132">
        <v>20370000</v>
      </c>
      <c r="E50" s="133">
        <v>43226</v>
      </c>
      <c r="F50" s="134" t="s">
        <v>1232</v>
      </c>
    </row>
    <row r="51" spans="1:6">
      <c r="A51" s="132">
        <v>19820000</v>
      </c>
      <c r="B51" s="132">
        <v>19820000</v>
      </c>
      <c r="C51" s="132">
        <v>21220000</v>
      </c>
      <c r="D51" s="132">
        <v>20475000</v>
      </c>
      <c r="E51" s="133">
        <v>43225</v>
      </c>
      <c r="F51" s="134" t="s">
        <v>1233</v>
      </c>
    </row>
    <row r="52" spans="1:6">
      <c r="A52" s="132">
        <v>19230000</v>
      </c>
      <c r="B52" s="132">
        <v>19230000</v>
      </c>
      <c r="C52" s="132">
        <v>19800000</v>
      </c>
      <c r="D52" s="132">
        <v>19600000</v>
      </c>
      <c r="E52" s="133">
        <v>43223</v>
      </c>
      <c r="F52" s="134" t="s">
        <v>1234</v>
      </c>
    </row>
    <row r="53" spans="1:6">
      <c r="A53" s="132">
        <v>18800000</v>
      </c>
      <c r="B53" s="132">
        <v>18350000</v>
      </c>
      <c r="C53" s="132">
        <v>19250000</v>
      </c>
      <c r="D53" s="132">
        <v>19000000</v>
      </c>
      <c r="E53" s="133">
        <v>43221</v>
      </c>
      <c r="F53" s="134" t="s">
        <v>1235</v>
      </c>
    </row>
    <row r="54" spans="1:6">
      <c r="A54" s="132">
        <v>18490000</v>
      </c>
      <c r="B54" s="132">
        <v>18490000</v>
      </c>
      <c r="C54" s="132">
        <v>18700000</v>
      </c>
      <c r="D54" s="132">
        <v>18550000</v>
      </c>
      <c r="E54" s="133">
        <v>43220</v>
      </c>
      <c r="F54" s="134" t="s">
        <v>1236</v>
      </c>
    </row>
    <row r="55" spans="1:6">
      <c r="A55" s="132">
        <v>18050000</v>
      </c>
      <c r="B55" s="132">
        <v>17950000</v>
      </c>
      <c r="C55" s="132">
        <v>18450000</v>
      </c>
      <c r="D55" s="132">
        <v>18450000</v>
      </c>
      <c r="E55" s="133">
        <v>43219</v>
      </c>
      <c r="F55" s="134" t="s">
        <v>1237</v>
      </c>
    </row>
    <row r="56" spans="1:6">
      <c r="A56" s="132">
        <v>17700000</v>
      </c>
      <c r="B56" s="132">
        <v>17700000</v>
      </c>
      <c r="C56" s="132">
        <v>18020000</v>
      </c>
      <c r="D56" s="132">
        <v>18000000</v>
      </c>
      <c r="E56" s="133">
        <v>43218</v>
      </c>
      <c r="F56" s="134" t="s">
        <v>1238</v>
      </c>
    </row>
    <row r="57" spans="1:6">
      <c r="A57" s="132">
        <v>17600000</v>
      </c>
      <c r="B57" s="132">
        <v>17600000</v>
      </c>
      <c r="C57" s="132">
        <v>17670000</v>
      </c>
      <c r="D57" s="132">
        <v>17670000</v>
      </c>
      <c r="E57" s="133">
        <v>43216</v>
      </c>
      <c r="F57" s="134" t="s">
        <v>1239</v>
      </c>
    </row>
    <row r="58" spans="1:6">
      <c r="A58" s="132">
        <v>17700000</v>
      </c>
      <c r="B58" s="132">
        <v>17470000</v>
      </c>
      <c r="C58" s="132">
        <v>17750000</v>
      </c>
      <c r="D58" s="132">
        <v>17470000</v>
      </c>
      <c r="E58" s="133">
        <v>43215</v>
      </c>
      <c r="F58" s="134" t="s">
        <v>1240</v>
      </c>
    </row>
    <row r="59" spans="1:6">
      <c r="A59" s="132">
        <v>17850000</v>
      </c>
      <c r="B59" s="132">
        <v>17600000</v>
      </c>
      <c r="C59" s="132">
        <v>17850000</v>
      </c>
      <c r="D59" s="132">
        <v>17600000</v>
      </c>
      <c r="E59" s="133">
        <v>43214</v>
      </c>
      <c r="F59" s="134" t="s">
        <v>1241</v>
      </c>
    </row>
    <row r="60" spans="1:6">
      <c r="A60" s="132">
        <v>18190000</v>
      </c>
      <c r="B60" s="132">
        <v>17700000</v>
      </c>
      <c r="C60" s="132">
        <v>18190000</v>
      </c>
      <c r="D60" s="132">
        <v>17700000</v>
      </c>
      <c r="E60" s="133">
        <v>43213</v>
      </c>
      <c r="F60" s="134" t="s">
        <v>1242</v>
      </c>
    </row>
    <row r="61" spans="1:6">
      <c r="A61" s="132">
        <v>18300000</v>
      </c>
      <c r="B61" s="132">
        <v>18200000</v>
      </c>
      <c r="C61" s="132">
        <v>18350000</v>
      </c>
      <c r="D61" s="132">
        <v>18200000</v>
      </c>
      <c r="E61" s="133">
        <v>43212</v>
      </c>
      <c r="F61" s="134" t="s">
        <v>1243</v>
      </c>
    </row>
    <row r="62" spans="1:6">
      <c r="A62" s="132">
        <v>18250000</v>
      </c>
      <c r="B62" s="132">
        <v>18250000</v>
      </c>
      <c r="C62" s="132">
        <v>18400000</v>
      </c>
      <c r="D62" s="132">
        <v>18350000</v>
      </c>
      <c r="E62" s="133">
        <v>43211</v>
      </c>
      <c r="F62" s="134" t="s">
        <v>1244</v>
      </c>
    </row>
    <row r="63" spans="1:6">
      <c r="A63" s="132">
        <v>18410000</v>
      </c>
      <c r="B63" s="132">
        <v>18290000</v>
      </c>
      <c r="C63" s="132">
        <v>18450000</v>
      </c>
      <c r="D63" s="132">
        <v>18290000</v>
      </c>
      <c r="E63" s="133">
        <v>43209</v>
      </c>
      <c r="F63" s="134" t="s">
        <v>1245</v>
      </c>
    </row>
    <row r="64" spans="1:6">
      <c r="A64" s="132">
        <v>18060000</v>
      </c>
      <c r="B64" s="132">
        <v>18050000</v>
      </c>
      <c r="C64" s="132">
        <v>18400000</v>
      </c>
      <c r="D64" s="132">
        <v>18400000</v>
      </c>
      <c r="E64" s="133">
        <v>43208</v>
      </c>
      <c r="F64" s="134" t="s">
        <v>1246</v>
      </c>
    </row>
    <row r="65" spans="1:6">
      <c r="A65" s="132">
        <v>18530000</v>
      </c>
      <c r="B65" s="132">
        <v>17950000</v>
      </c>
      <c r="C65" s="132">
        <v>18710000</v>
      </c>
      <c r="D65" s="132">
        <v>17970000</v>
      </c>
      <c r="E65" s="133">
        <v>43207</v>
      </c>
      <c r="F65" s="134" t="s">
        <v>1247</v>
      </c>
    </row>
    <row r="66" spans="1:6">
      <c r="A66" s="132">
        <v>17830000</v>
      </c>
      <c r="B66" s="132">
        <v>17830000</v>
      </c>
      <c r="C66" s="132">
        <v>18560000</v>
      </c>
      <c r="D66" s="132">
        <v>18560000</v>
      </c>
      <c r="E66" s="133">
        <v>43206</v>
      </c>
      <c r="F66" s="134" t="s">
        <v>1248</v>
      </c>
    </row>
    <row r="67" spans="1:6">
      <c r="A67" s="132">
        <v>17800000</v>
      </c>
      <c r="B67" s="132">
        <v>17780000</v>
      </c>
      <c r="C67" s="132">
        <v>17860000</v>
      </c>
      <c r="D67" s="132">
        <v>17810000</v>
      </c>
      <c r="E67" s="133">
        <v>43205</v>
      </c>
      <c r="F67" s="134" t="s">
        <v>1249</v>
      </c>
    </row>
    <row r="68" spans="1:6">
      <c r="A68" s="132">
        <v>17930000</v>
      </c>
      <c r="B68" s="132">
        <v>17760000</v>
      </c>
      <c r="C68" s="132">
        <v>17930000</v>
      </c>
      <c r="D68" s="132">
        <v>17850000</v>
      </c>
      <c r="E68" s="133">
        <v>43202</v>
      </c>
      <c r="F68" s="134" t="s">
        <v>1250</v>
      </c>
    </row>
    <row r="69" spans="1:6">
      <c r="A69" s="132">
        <v>17410000</v>
      </c>
      <c r="B69" s="132">
        <v>17210000</v>
      </c>
      <c r="C69" s="132">
        <v>17910000</v>
      </c>
      <c r="D69" s="132">
        <v>17910000</v>
      </c>
      <c r="E69" s="133">
        <v>43201</v>
      </c>
      <c r="F69" s="134" t="s">
        <v>1251</v>
      </c>
    </row>
    <row r="70" spans="1:6">
      <c r="A70" s="132">
        <v>18500000</v>
      </c>
      <c r="B70" s="132">
        <v>17450000</v>
      </c>
      <c r="C70" s="132">
        <v>18510000</v>
      </c>
      <c r="D70" s="132">
        <v>17700000</v>
      </c>
      <c r="E70" s="133">
        <v>43200</v>
      </c>
      <c r="F70" s="134" t="s">
        <v>1252</v>
      </c>
    </row>
    <row r="71" spans="1:6">
      <c r="A71" s="132">
        <v>19400000</v>
      </c>
      <c r="B71" s="132">
        <v>19360000</v>
      </c>
      <c r="C71" s="132">
        <v>20000000</v>
      </c>
      <c r="D71" s="132">
        <v>19550000</v>
      </c>
      <c r="E71" s="133">
        <v>43199</v>
      </c>
      <c r="F71" s="134" t="s">
        <v>1253</v>
      </c>
    </row>
    <row r="72" spans="1:6">
      <c r="A72" s="132">
        <v>18050000</v>
      </c>
      <c r="B72" s="132">
        <v>18050000</v>
      </c>
      <c r="C72" s="132">
        <v>19560000</v>
      </c>
      <c r="D72" s="132">
        <v>19300000</v>
      </c>
      <c r="E72" s="133">
        <v>43198</v>
      </c>
      <c r="F72" s="134" t="s">
        <v>1254</v>
      </c>
    </row>
    <row r="73" spans="1:6">
      <c r="A73" s="132">
        <v>17560000</v>
      </c>
      <c r="B73" s="132">
        <v>17550000</v>
      </c>
      <c r="C73" s="132">
        <v>17910000</v>
      </c>
      <c r="D73" s="132">
        <v>17830000</v>
      </c>
      <c r="E73" s="133">
        <v>43197</v>
      </c>
      <c r="F73" s="134" t="s">
        <v>1255</v>
      </c>
    </row>
    <row r="74" spans="1:6">
      <c r="A74" s="132">
        <v>17390000</v>
      </c>
      <c r="B74" s="132">
        <v>17390000</v>
      </c>
      <c r="C74" s="132">
        <v>17490000</v>
      </c>
      <c r="D74" s="132">
        <v>17490000</v>
      </c>
      <c r="E74" s="133">
        <v>43195</v>
      </c>
      <c r="F74" s="134" t="s">
        <v>1256</v>
      </c>
    </row>
    <row r="75" spans="1:6">
      <c r="A75" s="132">
        <v>17310000</v>
      </c>
      <c r="B75" s="132">
        <v>17290000</v>
      </c>
      <c r="C75" s="132">
        <v>17460000</v>
      </c>
      <c r="D75" s="132">
        <v>17360000</v>
      </c>
      <c r="E75" s="133">
        <v>43194</v>
      </c>
      <c r="F75" s="134" t="s">
        <v>1257</v>
      </c>
    </row>
    <row r="76" spans="1:6">
      <c r="A76" s="132">
        <v>17200000</v>
      </c>
      <c r="B76" s="132">
        <v>17150000</v>
      </c>
      <c r="C76" s="132">
        <v>17310000</v>
      </c>
      <c r="D76" s="132">
        <v>17290000</v>
      </c>
      <c r="E76" s="133">
        <v>43193</v>
      </c>
      <c r="F76" s="134" t="s">
        <v>1258</v>
      </c>
    </row>
    <row r="77" spans="1:6">
      <c r="A77" s="132">
        <v>17075000</v>
      </c>
      <c r="B77" s="132">
        <v>17075000</v>
      </c>
      <c r="C77" s="132">
        <v>17250000</v>
      </c>
      <c r="D77" s="132">
        <v>17250000</v>
      </c>
      <c r="E77" s="133">
        <v>43188</v>
      </c>
      <c r="F77" s="134" t="s">
        <v>1259</v>
      </c>
    </row>
    <row r="78" spans="1:6">
      <c r="A78" s="132">
        <v>17100000</v>
      </c>
      <c r="B78" s="132">
        <v>17000000</v>
      </c>
      <c r="C78" s="132">
        <v>17100000</v>
      </c>
      <c r="D78" s="132">
        <v>17050000</v>
      </c>
      <c r="E78" s="133">
        <v>43187</v>
      </c>
      <c r="F78" s="134" t="s">
        <v>1260</v>
      </c>
    </row>
    <row r="79" spans="1:6">
      <c r="A79" s="132">
        <v>17025000</v>
      </c>
      <c r="B79" s="132">
        <v>16930000</v>
      </c>
      <c r="C79" s="132">
        <v>17150000</v>
      </c>
      <c r="D79" s="132">
        <v>17125000</v>
      </c>
      <c r="E79" s="133">
        <v>43186</v>
      </c>
      <c r="F79" s="134" t="s">
        <v>1261</v>
      </c>
    </row>
    <row r="80" spans="1:6">
      <c r="A80" s="132">
        <v>16600000</v>
      </c>
      <c r="B80" s="132">
        <v>16600000</v>
      </c>
      <c r="C80" s="132">
        <v>17100000</v>
      </c>
      <c r="D80" s="132">
        <v>17100000</v>
      </c>
      <c r="E80" s="133">
        <v>43185</v>
      </c>
      <c r="F80" s="134" t="s">
        <v>1262</v>
      </c>
    </row>
    <row r="81" spans="1:6">
      <c r="A81" s="132">
        <v>16361000</v>
      </c>
      <c r="B81" s="132">
        <v>16361000</v>
      </c>
      <c r="C81" s="132">
        <v>16361000</v>
      </c>
      <c r="D81" s="132">
        <v>16361000</v>
      </c>
      <c r="E81" s="133">
        <v>43184</v>
      </c>
      <c r="F81" s="134" t="s">
        <v>1263</v>
      </c>
    </row>
    <row r="82" spans="1:6">
      <c r="A82" s="132">
        <v>16153000</v>
      </c>
      <c r="B82" s="132">
        <v>16153000</v>
      </c>
      <c r="C82" s="132">
        <v>16211000</v>
      </c>
      <c r="D82" s="132">
        <v>16211000</v>
      </c>
      <c r="E82" s="133">
        <v>43181</v>
      </c>
      <c r="F82" s="134" t="s">
        <v>1264</v>
      </c>
    </row>
    <row r="83" spans="1:6">
      <c r="A83" s="132">
        <v>16160000</v>
      </c>
      <c r="B83" s="132">
        <v>16132000</v>
      </c>
      <c r="C83" s="132">
        <v>16162000</v>
      </c>
      <c r="D83" s="132">
        <v>16143000</v>
      </c>
      <c r="E83" s="133">
        <v>43179</v>
      </c>
      <c r="F83" s="134" t="s">
        <v>1265</v>
      </c>
    </row>
    <row r="84" spans="1:6">
      <c r="A84" s="132">
        <v>16120000</v>
      </c>
      <c r="B84" s="132">
        <v>16105000</v>
      </c>
      <c r="C84" s="132">
        <v>16190000</v>
      </c>
      <c r="D84" s="132">
        <v>16166000</v>
      </c>
      <c r="E84" s="133">
        <v>43178</v>
      </c>
      <c r="F84" s="134" t="s">
        <v>1266</v>
      </c>
    </row>
    <row r="85" spans="1:6">
      <c r="A85" s="132">
        <v>16020000</v>
      </c>
      <c r="B85" s="132">
        <v>16020000</v>
      </c>
      <c r="C85" s="132">
        <v>16200000</v>
      </c>
      <c r="D85" s="132">
        <v>16060000</v>
      </c>
      <c r="E85" s="133">
        <v>43177</v>
      </c>
      <c r="F85" s="134" t="s">
        <v>1267</v>
      </c>
    </row>
    <row r="86" spans="1:6">
      <c r="A86" s="132">
        <v>16315000</v>
      </c>
      <c r="B86" s="132">
        <v>16000000</v>
      </c>
      <c r="C86" s="132">
        <v>16315000</v>
      </c>
      <c r="D86" s="132">
        <v>16000000</v>
      </c>
      <c r="E86" s="133">
        <v>43176</v>
      </c>
      <c r="F86" s="134" t="s">
        <v>1268</v>
      </c>
    </row>
    <row r="87" spans="1:6">
      <c r="A87" s="132">
        <v>16395000</v>
      </c>
      <c r="B87" s="132">
        <v>16290000</v>
      </c>
      <c r="C87" s="132">
        <v>16395000</v>
      </c>
      <c r="D87" s="132">
        <v>16300000</v>
      </c>
      <c r="E87" s="133">
        <v>43174</v>
      </c>
      <c r="F87" s="134" t="s">
        <v>1269</v>
      </c>
    </row>
    <row r="88" spans="1:6">
      <c r="A88" s="132">
        <v>16143000</v>
      </c>
      <c r="B88" s="132">
        <v>16137000</v>
      </c>
      <c r="C88" s="132">
        <v>16495000</v>
      </c>
      <c r="D88" s="132">
        <v>16402000</v>
      </c>
      <c r="E88" s="133">
        <v>43173</v>
      </c>
      <c r="F88" s="134" t="s">
        <v>1270</v>
      </c>
    </row>
    <row r="89" spans="1:6">
      <c r="A89" s="132">
        <v>15993000</v>
      </c>
      <c r="B89" s="132">
        <v>15979000</v>
      </c>
      <c r="C89" s="132">
        <v>16148000</v>
      </c>
      <c r="D89" s="132">
        <v>16144000</v>
      </c>
      <c r="E89" s="133">
        <v>43172</v>
      </c>
      <c r="F89" s="134" t="s">
        <v>1271</v>
      </c>
    </row>
    <row r="90" spans="1:6">
      <c r="A90" s="132">
        <v>15823000</v>
      </c>
      <c r="B90" s="132">
        <v>15819000</v>
      </c>
      <c r="C90" s="132">
        <v>16005000</v>
      </c>
      <c r="D90" s="132">
        <v>16000000</v>
      </c>
      <c r="E90" s="133">
        <v>43171</v>
      </c>
      <c r="F90" s="134" t="s">
        <v>1272</v>
      </c>
    </row>
    <row r="91" spans="1:6">
      <c r="A91" s="132">
        <v>15760000</v>
      </c>
      <c r="B91" s="132">
        <v>15760000</v>
      </c>
      <c r="C91" s="132">
        <v>15835000</v>
      </c>
      <c r="D91" s="132">
        <v>15820000</v>
      </c>
      <c r="E91" s="133">
        <v>43170</v>
      </c>
      <c r="F91" s="134" t="s">
        <v>1273</v>
      </c>
    </row>
    <row r="92" spans="1:6">
      <c r="A92" s="132">
        <v>15843000</v>
      </c>
      <c r="B92" s="132">
        <v>15750000</v>
      </c>
      <c r="C92" s="132">
        <v>15880000</v>
      </c>
      <c r="D92" s="132">
        <v>15750000</v>
      </c>
      <c r="E92" s="133">
        <v>43169</v>
      </c>
      <c r="F92" s="134" t="s">
        <v>1274</v>
      </c>
    </row>
    <row r="93" spans="1:6">
      <c r="A93" s="132">
        <v>15813000</v>
      </c>
      <c r="B93" s="132">
        <v>15787000</v>
      </c>
      <c r="C93" s="132">
        <v>15852000</v>
      </c>
      <c r="D93" s="132">
        <v>15837000</v>
      </c>
      <c r="E93" s="133">
        <v>43168</v>
      </c>
      <c r="F93" s="134" t="s">
        <v>1275</v>
      </c>
    </row>
    <row r="94" spans="1:6">
      <c r="A94" s="132">
        <v>15871000</v>
      </c>
      <c r="B94" s="132">
        <v>15817000</v>
      </c>
      <c r="C94" s="132">
        <v>15880000</v>
      </c>
      <c r="D94" s="132">
        <v>15831000</v>
      </c>
      <c r="E94" s="133">
        <v>43167</v>
      </c>
      <c r="F94" s="134" t="s">
        <v>1276</v>
      </c>
    </row>
    <row r="95" spans="1:6">
      <c r="A95" s="132">
        <v>15860000</v>
      </c>
      <c r="B95" s="132">
        <v>15846000</v>
      </c>
      <c r="C95" s="132">
        <v>15900000</v>
      </c>
      <c r="D95" s="132">
        <v>15861000</v>
      </c>
      <c r="E95" s="133">
        <v>43166</v>
      </c>
      <c r="F95" s="134" t="s">
        <v>1277</v>
      </c>
    </row>
    <row r="96" spans="1:6">
      <c r="A96" s="132">
        <v>15949000</v>
      </c>
      <c r="B96" s="132">
        <v>15800000</v>
      </c>
      <c r="C96" s="132">
        <v>15949000</v>
      </c>
      <c r="D96" s="132">
        <v>15888000</v>
      </c>
      <c r="E96" s="133">
        <v>43165</v>
      </c>
      <c r="F96" s="134" t="s">
        <v>1278</v>
      </c>
    </row>
    <row r="97" spans="1:6">
      <c r="A97" s="132">
        <v>15916000</v>
      </c>
      <c r="B97" s="132">
        <v>15860000</v>
      </c>
      <c r="C97" s="132">
        <v>15924000</v>
      </c>
      <c r="D97" s="132">
        <v>15917000</v>
      </c>
      <c r="E97" s="133">
        <v>43164</v>
      </c>
      <c r="F97" s="134" t="s">
        <v>1279</v>
      </c>
    </row>
    <row r="98" spans="1:6">
      <c r="A98" s="132">
        <v>15700000</v>
      </c>
      <c r="B98" s="132">
        <v>15700000</v>
      </c>
      <c r="C98" s="132">
        <v>15920000</v>
      </c>
      <c r="D98" s="132">
        <v>15910000</v>
      </c>
      <c r="E98" s="133">
        <v>43163</v>
      </c>
      <c r="F98" s="134" t="s">
        <v>1280</v>
      </c>
    </row>
    <row r="99" spans="1:6">
      <c r="A99" s="132">
        <v>15531000</v>
      </c>
      <c r="B99" s="132">
        <v>15531000</v>
      </c>
      <c r="C99" s="132">
        <v>15750000</v>
      </c>
      <c r="D99" s="132">
        <v>15730000</v>
      </c>
      <c r="E99" s="133">
        <v>43162</v>
      </c>
      <c r="F99" s="134" t="s">
        <v>1281</v>
      </c>
    </row>
    <row r="100" spans="1:6">
      <c r="A100" s="132">
        <v>15536000</v>
      </c>
      <c r="B100" s="132">
        <v>15496000</v>
      </c>
      <c r="C100" s="132">
        <v>15552000</v>
      </c>
      <c r="D100" s="132">
        <v>15535000</v>
      </c>
      <c r="E100" s="133">
        <v>43161</v>
      </c>
      <c r="F100" s="134" t="s">
        <v>1282</v>
      </c>
    </row>
    <row r="101" spans="1:6">
      <c r="A101" s="132">
        <v>15530500</v>
      </c>
      <c r="B101" s="132">
        <v>15472000</v>
      </c>
      <c r="C101" s="132">
        <v>15537500</v>
      </c>
      <c r="D101" s="132">
        <v>15503000</v>
      </c>
      <c r="E101" s="133">
        <v>43160</v>
      </c>
      <c r="F101" s="134" t="s">
        <v>1283</v>
      </c>
    </row>
    <row r="102" spans="1:6">
      <c r="A102" s="132">
        <v>15421000</v>
      </c>
      <c r="B102" s="132">
        <v>15419500</v>
      </c>
      <c r="C102" s="132">
        <v>15550000</v>
      </c>
      <c r="D102" s="132">
        <v>15550000</v>
      </c>
      <c r="E102" s="133">
        <v>43159</v>
      </c>
      <c r="F102" s="134" t="s">
        <v>1284</v>
      </c>
    </row>
    <row r="103" spans="1:6">
      <c r="A103" s="132">
        <v>15420000</v>
      </c>
      <c r="B103" s="132">
        <v>15350000</v>
      </c>
      <c r="C103" s="132">
        <v>15425500</v>
      </c>
      <c r="D103" s="132">
        <v>15416000</v>
      </c>
      <c r="E103" s="133">
        <v>43158</v>
      </c>
      <c r="F103" s="134" t="s">
        <v>1285</v>
      </c>
    </row>
    <row r="104" spans="1:6">
      <c r="A104" s="132">
        <v>15400000</v>
      </c>
      <c r="B104" s="132">
        <v>15300000</v>
      </c>
      <c r="C104" s="132">
        <v>15400000</v>
      </c>
      <c r="D104" s="132">
        <v>15370000</v>
      </c>
      <c r="E104" s="133">
        <v>43157</v>
      </c>
      <c r="F104" s="134" t="s">
        <v>1286</v>
      </c>
    </row>
    <row r="105" spans="1:6">
      <c r="A105" s="132">
        <v>15090000</v>
      </c>
      <c r="B105" s="132">
        <v>15090000</v>
      </c>
      <c r="C105" s="132">
        <v>15300000</v>
      </c>
      <c r="D105" s="132">
        <v>15200000</v>
      </c>
      <c r="E105" s="133">
        <v>43156</v>
      </c>
      <c r="F105" s="134" t="s">
        <v>1287</v>
      </c>
    </row>
    <row r="106" spans="1:6">
      <c r="A106" s="132">
        <v>14794000</v>
      </c>
      <c r="B106" s="132">
        <v>14785000</v>
      </c>
      <c r="C106" s="132">
        <v>15250000</v>
      </c>
      <c r="D106" s="132">
        <v>15100000</v>
      </c>
      <c r="E106" s="133">
        <v>43155</v>
      </c>
      <c r="F106" s="134" t="s">
        <v>1288</v>
      </c>
    </row>
    <row r="107" spans="1:6">
      <c r="A107" s="132">
        <v>14791000</v>
      </c>
      <c r="B107" s="132">
        <v>14782000</v>
      </c>
      <c r="C107" s="132">
        <v>14800000</v>
      </c>
      <c r="D107" s="132">
        <v>14788000</v>
      </c>
      <c r="E107" s="133">
        <v>43154</v>
      </c>
      <c r="F107" s="134" t="s">
        <v>1289</v>
      </c>
    </row>
    <row r="108" spans="1:6">
      <c r="A108" s="132">
        <v>14770000</v>
      </c>
      <c r="B108" s="132">
        <v>14770000</v>
      </c>
      <c r="C108" s="132">
        <v>14807000</v>
      </c>
      <c r="D108" s="132">
        <v>14799000</v>
      </c>
      <c r="E108" s="133">
        <v>43153</v>
      </c>
      <c r="F108" s="134" t="s">
        <v>1290</v>
      </c>
    </row>
    <row r="109" spans="1:6">
      <c r="A109" s="132">
        <v>14857500</v>
      </c>
      <c r="B109" s="132">
        <v>14750000</v>
      </c>
      <c r="C109" s="132">
        <v>14900000</v>
      </c>
      <c r="D109" s="132">
        <v>14750000</v>
      </c>
      <c r="E109" s="133">
        <v>43152</v>
      </c>
      <c r="F109" s="134" t="s">
        <v>1291</v>
      </c>
    </row>
    <row r="110" spans="1:6">
      <c r="A110" s="132">
        <v>15015000</v>
      </c>
      <c r="B110" s="132">
        <v>14820000</v>
      </c>
      <c r="C110" s="132">
        <v>15015000</v>
      </c>
      <c r="D110" s="132">
        <v>14862500</v>
      </c>
      <c r="E110" s="133">
        <v>43150</v>
      </c>
      <c r="F110" s="134" t="s">
        <v>1292</v>
      </c>
    </row>
    <row r="111" spans="1:6">
      <c r="A111" s="132">
        <v>15130000</v>
      </c>
      <c r="B111" s="132">
        <v>14952500</v>
      </c>
      <c r="C111" s="132">
        <v>15155000</v>
      </c>
      <c r="D111" s="132">
        <v>15017500</v>
      </c>
      <c r="E111" s="133">
        <v>43149</v>
      </c>
      <c r="F111" s="134" t="s">
        <v>1293</v>
      </c>
    </row>
    <row r="112" spans="1:6">
      <c r="A112" s="132">
        <v>15632500</v>
      </c>
      <c r="B112" s="132">
        <v>15155000</v>
      </c>
      <c r="C112" s="132">
        <v>15667500</v>
      </c>
      <c r="D112" s="132">
        <v>15155000</v>
      </c>
      <c r="E112" s="133">
        <v>43148</v>
      </c>
      <c r="F112" s="134" t="s">
        <v>1294</v>
      </c>
    </row>
    <row r="113" spans="1:6">
      <c r="A113" s="132">
        <v>15955000</v>
      </c>
      <c r="B113" s="132">
        <v>15775000</v>
      </c>
      <c r="C113" s="132">
        <v>15965000</v>
      </c>
      <c r="D113" s="132">
        <v>15775000</v>
      </c>
      <c r="E113" s="133">
        <v>43145</v>
      </c>
      <c r="F113" s="134" t="s">
        <v>1295</v>
      </c>
    </row>
    <row r="114" spans="1:6">
      <c r="A114" s="132">
        <v>15790000</v>
      </c>
      <c r="B114" s="132">
        <v>15790000</v>
      </c>
      <c r="C114" s="132">
        <v>15985000</v>
      </c>
      <c r="D114" s="132">
        <v>15905000</v>
      </c>
      <c r="E114" s="133">
        <v>43144</v>
      </c>
      <c r="F114" s="134" t="s">
        <v>1296</v>
      </c>
    </row>
    <row r="115" spans="1:6">
      <c r="A115" s="132">
        <v>15430000</v>
      </c>
      <c r="B115" s="132">
        <v>15430000</v>
      </c>
      <c r="C115" s="132">
        <v>15785000</v>
      </c>
      <c r="D115" s="132">
        <v>15740000</v>
      </c>
      <c r="E115" s="133">
        <v>43143</v>
      </c>
      <c r="F115" s="134" t="s">
        <v>1297</v>
      </c>
    </row>
    <row r="116" spans="1:6">
      <c r="A116" s="132">
        <v>15495000</v>
      </c>
      <c r="B116" s="132">
        <v>15420000</v>
      </c>
      <c r="C116" s="132">
        <v>15550000</v>
      </c>
      <c r="D116" s="132">
        <v>15440000</v>
      </c>
      <c r="E116" s="133">
        <v>43142</v>
      </c>
      <c r="F116" s="134" t="s">
        <v>1298</v>
      </c>
    </row>
    <row r="117" spans="1:6">
      <c r="A117" s="132">
        <v>15255000</v>
      </c>
      <c r="B117" s="132">
        <v>15245000</v>
      </c>
      <c r="C117" s="132">
        <v>15440000</v>
      </c>
      <c r="D117" s="132">
        <v>15425000</v>
      </c>
      <c r="E117" s="133">
        <v>43141</v>
      </c>
      <c r="F117" s="134" t="s">
        <v>1299</v>
      </c>
    </row>
    <row r="118" spans="1:6">
      <c r="A118" s="132">
        <v>15215000</v>
      </c>
      <c r="B118" s="132">
        <v>15090000</v>
      </c>
      <c r="C118" s="132">
        <v>15265000</v>
      </c>
      <c r="D118" s="132">
        <v>15250000</v>
      </c>
      <c r="E118" s="133">
        <v>43139</v>
      </c>
      <c r="F118" s="134" t="s">
        <v>1300</v>
      </c>
    </row>
    <row r="119" spans="1:6">
      <c r="A119" s="132">
        <v>15195000</v>
      </c>
      <c r="B119" s="132">
        <v>15185000</v>
      </c>
      <c r="C119" s="132">
        <v>15335000</v>
      </c>
      <c r="D119" s="132">
        <v>15205000</v>
      </c>
      <c r="E119" s="133">
        <v>43138</v>
      </c>
      <c r="F119" s="134" t="s">
        <v>1301</v>
      </c>
    </row>
    <row r="120" spans="1:6">
      <c r="A120" s="132">
        <v>15245000</v>
      </c>
      <c r="B120" s="132">
        <v>15220000</v>
      </c>
      <c r="C120" s="132">
        <v>15310000</v>
      </c>
      <c r="D120" s="132">
        <v>15225000</v>
      </c>
      <c r="E120" s="133">
        <v>43137</v>
      </c>
      <c r="F120" s="134" t="s">
        <v>1302</v>
      </c>
    </row>
    <row r="121" spans="1:6">
      <c r="A121" s="132">
        <v>15190000</v>
      </c>
      <c r="B121" s="132">
        <v>15125000</v>
      </c>
      <c r="C121" s="132">
        <v>15295000</v>
      </c>
      <c r="D121" s="132">
        <v>15225000</v>
      </c>
      <c r="E121" s="133">
        <v>43136</v>
      </c>
      <c r="F121" s="134" t="s">
        <v>1303</v>
      </c>
    </row>
    <row r="122" spans="1:6">
      <c r="A122" s="132">
        <v>15100000</v>
      </c>
      <c r="B122" s="132">
        <v>15095000</v>
      </c>
      <c r="C122" s="132">
        <v>15295000</v>
      </c>
      <c r="D122" s="132">
        <v>15195000</v>
      </c>
      <c r="E122" s="133">
        <v>43135</v>
      </c>
      <c r="F122" s="134" t="s">
        <v>1304</v>
      </c>
    </row>
    <row r="123" spans="1:6">
      <c r="A123" s="132">
        <v>14975000</v>
      </c>
      <c r="B123" s="132">
        <v>14970000</v>
      </c>
      <c r="C123" s="132">
        <v>15130000</v>
      </c>
      <c r="D123" s="132">
        <v>15095000</v>
      </c>
      <c r="E123" s="133">
        <v>43134</v>
      </c>
      <c r="F123" s="134" t="s">
        <v>1305</v>
      </c>
    </row>
    <row r="124" spans="1:6">
      <c r="A124" s="132">
        <v>15145000</v>
      </c>
      <c r="B124" s="132">
        <v>14905000</v>
      </c>
      <c r="C124" s="132">
        <v>15145000</v>
      </c>
      <c r="D124" s="132">
        <v>14915000</v>
      </c>
      <c r="E124" s="133">
        <v>43132</v>
      </c>
      <c r="F124" s="134" t="s">
        <v>1306</v>
      </c>
    </row>
    <row r="125" spans="1:6">
      <c r="A125" s="132">
        <v>14925000</v>
      </c>
      <c r="B125" s="132">
        <v>14835000</v>
      </c>
      <c r="C125" s="132">
        <v>15055000</v>
      </c>
      <c r="D125" s="132">
        <v>15035000</v>
      </c>
      <c r="E125" s="133">
        <v>43131</v>
      </c>
      <c r="F125" s="134" t="s">
        <v>1307</v>
      </c>
    </row>
    <row r="126" spans="1:6">
      <c r="A126" s="132">
        <v>14785000</v>
      </c>
      <c r="B126" s="132">
        <v>14725000</v>
      </c>
      <c r="C126" s="132">
        <v>14880000</v>
      </c>
      <c r="D126" s="132">
        <v>14875000</v>
      </c>
      <c r="E126" s="133">
        <v>43130</v>
      </c>
      <c r="F126" s="134" t="s">
        <v>1308</v>
      </c>
    </row>
    <row r="127" spans="1:6">
      <c r="A127" s="132">
        <v>14910000</v>
      </c>
      <c r="B127" s="132">
        <v>14745000</v>
      </c>
      <c r="C127" s="132">
        <v>14925000</v>
      </c>
      <c r="D127" s="132">
        <v>14770000</v>
      </c>
      <c r="E127" s="133">
        <v>43129</v>
      </c>
      <c r="F127" s="134" t="s">
        <v>1309</v>
      </c>
    </row>
    <row r="128" spans="1:6">
      <c r="A128" s="132">
        <v>14770000</v>
      </c>
      <c r="B128" s="132">
        <v>14765000</v>
      </c>
      <c r="C128" s="132">
        <v>14900000</v>
      </c>
      <c r="D128" s="132">
        <v>14890000</v>
      </c>
      <c r="E128" s="133">
        <v>43128</v>
      </c>
      <c r="F128" s="134" t="s">
        <v>1310</v>
      </c>
    </row>
    <row r="129" spans="1:6">
      <c r="A129" s="132">
        <v>14885000</v>
      </c>
      <c r="B129" s="132">
        <v>14685000</v>
      </c>
      <c r="C129" s="132">
        <v>14925000</v>
      </c>
      <c r="D129" s="132">
        <v>14775000</v>
      </c>
      <c r="E129" s="133">
        <v>43127</v>
      </c>
      <c r="F129" s="134" t="s">
        <v>1311</v>
      </c>
    </row>
    <row r="130" spans="1:6">
      <c r="A130" s="132">
        <v>15225000</v>
      </c>
      <c r="B130" s="132">
        <v>15145000</v>
      </c>
      <c r="C130" s="132">
        <v>15265000</v>
      </c>
      <c r="D130" s="132">
        <v>15180000</v>
      </c>
      <c r="E130" s="133">
        <v>43125</v>
      </c>
      <c r="F130" s="134" t="s">
        <v>1312</v>
      </c>
    </row>
    <row r="131" spans="1:6">
      <c r="A131" s="132">
        <v>15200000</v>
      </c>
      <c r="B131" s="132">
        <v>15145000</v>
      </c>
      <c r="C131" s="132">
        <v>15265000</v>
      </c>
      <c r="D131" s="132">
        <v>15190000</v>
      </c>
      <c r="E131" s="133">
        <v>43124</v>
      </c>
      <c r="F131" s="134" t="s">
        <v>1313</v>
      </c>
    </row>
    <row r="132" spans="1:6">
      <c r="A132" s="132">
        <v>15290000</v>
      </c>
      <c r="B132" s="132">
        <v>15160000</v>
      </c>
      <c r="C132" s="132">
        <v>15400000</v>
      </c>
      <c r="D132" s="132">
        <v>15180000</v>
      </c>
      <c r="E132" s="133">
        <v>43123</v>
      </c>
      <c r="F132" s="134" t="s">
        <v>1314</v>
      </c>
    </row>
    <row r="133" spans="1:6">
      <c r="A133" s="132">
        <v>15285000</v>
      </c>
      <c r="B133" s="132">
        <v>15235000</v>
      </c>
      <c r="C133" s="132">
        <v>15375000</v>
      </c>
      <c r="D133" s="132">
        <v>15285000</v>
      </c>
      <c r="E133" s="133">
        <v>43122</v>
      </c>
      <c r="F133" s="134" t="s">
        <v>1315</v>
      </c>
    </row>
    <row r="134" spans="1:6">
      <c r="A134" s="132">
        <v>15205000</v>
      </c>
      <c r="B134" s="132">
        <v>15137000</v>
      </c>
      <c r="C134" s="132">
        <v>15297000</v>
      </c>
      <c r="D134" s="132">
        <v>15282000</v>
      </c>
      <c r="E134" s="133">
        <v>43121</v>
      </c>
      <c r="F134" s="134" t="s">
        <v>1316</v>
      </c>
    </row>
    <row r="135" spans="1:6">
      <c r="A135" s="132">
        <v>15050000</v>
      </c>
      <c r="B135" s="132">
        <v>15050000</v>
      </c>
      <c r="C135" s="132">
        <v>15220000</v>
      </c>
      <c r="D135" s="132">
        <v>15195000</v>
      </c>
      <c r="E135" s="133">
        <v>43120</v>
      </c>
      <c r="F135" s="134" t="s">
        <v>1317</v>
      </c>
    </row>
    <row r="136" spans="1:6">
      <c r="A136" s="132">
        <v>15135000</v>
      </c>
      <c r="B136" s="132">
        <v>14995000</v>
      </c>
      <c r="C136" s="132">
        <v>15140000</v>
      </c>
      <c r="D136" s="132">
        <v>15025000</v>
      </c>
      <c r="E136" s="133">
        <v>43118</v>
      </c>
      <c r="F136" s="134" t="s">
        <v>1318</v>
      </c>
    </row>
    <row r="137" spans="1:6">
      <c r="A137" s="132">
        <v>15005000</v>
      </c>
      <c r="B137" s="132">
        <v>14995000</v>
      </c>
      <c r="C137" s="132">
        <v>15155000</v>
      </c>
      <c r="D137" s="132">
        <v>15150000</v>
      </c>
      <c r="E137" s="133">
        <v>43117</v>
      </c>
      <c r="F137" s="134" t="s">
        <v>1319</v>
      </c>
    </row>
    <row r="138" spans="1:6">
      <c r="A138" s="132">
        <v>14935000</v>
      </c>
      <c r="B138" s="132">
        <v>14921000</v>
      </c>
      <c r="C138" s="132">
        <v>15005000</v>
      </c>
      <c r="D138" s="132">
        <v>14940000</v>
      </c>
      <c r="E138" s="133">
        <v>43116</v>
      </c>
      <c r="F138" s="134" t="s">
        <v>1320</v>
      </c>
    </row>
    <row r="139" spans="1:6">
      <c r="A139" s="132">
        <v>14872000</v>
      </c>
      <c r="B139" s="132">
        <v>14865000</v>
      </c>
      <c r="C139" s="132">
        <v>14950000</v>
      </c>
      <c r="D139" s="132">
        <v>14920000</v>
      </c>
      <c r="E139" s="133">
        <v>43115</v>
      </c>
      <c r="F139" s="134" t="s">
        <v>1321</v>
      </c>
    </row>
    <row r="140" spans="1:6">
      <c r="A140" s="132">
        <v>15020000</v>
      </c>
      <c r="B140" s="132">
        <v>14827000</v>
      </c>
      <c r="C140" s="132">
        <v>15107000</v>
      </c>
      <c r="D140" s="132">
        <v>14877000</v>
      </c>
      <c r="E140" s="133">
        <v>43114</v>
      </c>
      <c r="F140" s="134" t="s">
        <v>1322</v>
      </c>
    </row>
    <row r="141" spans="1:6">
      <c r="A141" s="132">
        <v>14850000</v>
      </c>
      <c r="B141" s="132">
        <v>14815000</v>
      </c>
      <c r="C141" s="132">
        <v>15040000</v>
      </c>
      <c r="D141" s="132">
        <v>15015000</v>
      </c>
      <c r="E141" s="133">
        <v>43113</v>
      </c>
      <c r="F141" s="134" t="s">
        <v>1323</v>
      </c>
    </row>
    <row r="142" spans="1:6">
      <c r="A142" s="132">
        <v>14950000</v>
      </c>
      <c r="B142" s="132">
        <v>14843000</v>
      </c>
      <c r="C142" s="132">
        <v>15015000</v>
      </c>
      <c r="D142" s="132">
        <v>14925000</v>
      </c>
      <c r="E142" s="133">
        <v>43111</v>
      </c>
      <c r="F142" s="134" t="s">
        <v>1324</v>
      </c>
    </row>
    <row r="143" spans="1:6">
      <c r="A143" s="132">
        <v>14725000</v>
      </c>
      <c r="B143" s="132">
        <v>14700000</v>
      </c>
      <c r="C143" s="132">
        <v>14965000</v>
      </c>
      <c r="D143" s="132">
        <v>14945000</v>
      </c>
      <c r="E143" s="133">
        <v>43110</v>
      </c>
      <c r="F143" s="134" t="s">
        <v>1325</v>
      </c>
    </row>
    <row r="144" spans="1:6">
      <c r="A144" s="132">
        <v>14703000</v>
      </c>
      <c r="B144" s="132">
        <v>14643000</v>
      </c>
      <c r="C144" s="132">
        <v>14715000</v>
      </c>
      <c r="D144" s="132">
        <v>14700000</v>
      </c>
      <c r="E144" s="133">
        <v>43109</v>
      </c>
      <c r="F144" s="134" t="s">
        <v>1326</v>
      </c>
    </row>
    <row r="145" spans="1:6">
      <c r="A145" s="132">
        <v>14675000</v>
      </c>
      <c r="B145" s="132">
        <v>14640000</v>
      </c>
      <c r="C145" s="132">
        <v>14775000</v>
      </c>
      <c r="D145" s="132">
        <v>14683000</v>
      </c>
      <c r="E145" s="133">
        <v>43108</v>
      </c>
      <c r="F145" s="134" t="s">
        <v>1333</v>
      </c>
    </row>
    <row r="146" spans="1:6">
      <c r="A146" s="132">
        <v>14700000</v>
      </c>
      <c r="B146" s="132">
        <v>14620000</v>
      </c>
      <c r="C146" s="132">
        <v>14735000</v>
      </c>
      <c r="D146" s="132">
        <v>14700000</v>
      </c>
      <c r="E146" s="133">
        <v>43107</v>
      </c>
      <c r="F146" s="134" t="s">
        <v>1334</v>
      </c>
    </row>
    <row r="147" spans="1:6">
      <c r="A147" s="132">
        <v>14635000</v>
      </c>
      <c r="B147" s="132">
        <v>14575000</v>
      </c>
      <c r="C147" s="132">
        <v>14785000</v>
      </c>
      <c r="D147" s="132">
        <v>14725000</v>
      </c>
      <c r="E147" s="133">
        <v>43106</v>
      </c>
      <c r="F147" s="134" t="s">
        <v>1335</v>
      </c>
    </row>
    <row r="148" spans="1:6">
      <c r="A148" s="132">
        <v>15015000</v>
      </c>
      <c r="B148" s="132">
        <v>14560000</v>
      </c>
      <c r="C148" s="132">
        <v>15025000</v>
      </c>
      <c r="D148" s="132">
        <v>14655000</v>
      </c>
      <c r="E148" s="133">
        <v>43104</v>
      </c>
      <c r="F148" s="134" t="s">
        <v>1336</v>
      </c>
    </row>
    <row r="149" spans="1:6">
      <c r="A149" s="132">
        <v>14992500</v>
      </c>
      <c r="B149" s="132">
        <v>14945000</v>
      </c>
      <c r="C149" s="132">
        <v>15120000</v>
      </c>
      <c r="D149" s="132">
        <v>15030000</v>
      </c>
      <c r="E149" s="133">
        <v>43103</v>
      </c>
      <c r="F149" s="134" t="s">
        <v>1337</v>
      </c>
    </row>
    <row r="150" spans="1:6">
      <c r="A150" s="132">
        <v>14855000</v>
      </c>
      <c r="B150" s="132">
        <v>14805000</v>
      </c>
      <c r="C150" s="132">
        <v>15030000</v>
      </c>
      <c r="D150" s="132">
        <v>14907500</v>
      </c>
      <c r="E150" s="133">
        <v>43102</v>
      </c>
      <c r="F150" s="134" t="s">
        <v>1338</v>
      </c>
    </row>
    <row r="151" spans="1:6">
      <c r="A151" s="132">
        <v>14555000</v>
      </c>
      <c r="B151" s="132">
        <v>14542500</v>
      </c>
      <c r="C151" s="132">
        <v>14975000</v>
      </c>
      <c r="D151" s="132">
        <v>14890000</v>
      </c>
      <c r="E151" s="133">
        <v>43101</v>
      </c>
      <c r="F151" s="134" t="s">
        <v>1339</v>
      </c>
    </row>
    <row r="152" spans="1:6">
      <c r="A152" s="132">
        <v>14474000</v>
      </c>
      <c r="B152" s="132">
        <v>14315000</v>
      </c>
      <c r="C152" s="132">
        <v>14650000</v>
      </c>
      <c r="D152" s="132">
        <v>14500000</v>
      </c>
      <c r="E152" s="133">
        <v>43100</v>
      </c>
      <c r="F152" s="134" t="s">
        <v>1340</v>
      </c>
    </row>
    <row r="153" spans="1:6">
      <c r="A153" s="132">
        <v>14213000</v>
      </c>
      <c r="B153" s="132">
        <v>14175000</v>
      </c>
      <c r="C153" s="132">
        <v>14469000</v>
      </c>
      <c r="D153" s="132">
        <v>14434000</v>
      </c>
      <c r="E153" s="133">
        <v>43099</v>
      </c>
      <c r="F153" s="134" t="s">
        <v>1341</v>
      </c>
    </row>
    <row r="154" spans="1:6">
      <c r="A154" s="132">
        <v>14125000</v>
      </c>
      <c r="B154" s="132">
        <v>14108000</v>
      </c>
      <c r="C154" s="132">
        <v>14161000</v>
      </c>
      <c r="D154" s="132">
        <v>14148000</v>
      </c>
      <c r="E154" s="133">
        <v>43097</v>
      </c>
      <c r="F154" s="134" t="s">
        <v>1342</v>
      </c>
    </row>
    <row r="155" spans="1:6">
      <c r="A155" s="132">
        <v>14078000</v>
      </c>
      <c r="B155" s="132">
        <v>14068000</v>
      </c>
      <c r="C155" s="132">
        <v>14153000</v>
      </c>
      <c r="D155" s="132">
        <v>14113000</v>
      </c>
      <c r="E155" s="133">
        <v>43096</v>
      </c>
      <c r="F155" s="134" t="s">
        <v>1343</v>
      </c>
    </row>
    <row r="156" spans="1:6">
      <c r="A156" s="132">
        <v>13972000</v>
      </c>
      <c r="B156" s="132">
        <v>13972000</v>
      </c>
      <c r="C156" s="132">
        <v>14048000</v>
      </c>
      <c r="D156" s="132">
        <v>14043000</v>
      </c>
      <c r="E156" s="133">
        <v>43095</v>
      </c>
      <c r="F156" s="134" t="s">
        <v>1344</v>
      </c>
    </row>
    <row r="157" spans="1:6">
      <c r="A157" s="132">
        <v>13953000</v>
      </c>
      <c r="B157" s="132">
        <v>13940000</v>
      </c>
      <c r="C157" s="132">
        <v>13969000</v>
      </c>
      <c r="D157" s="132">
        <v>13969000</v>
      </c>
      <c r="E157" s="133">
        <v>43094</v>
      </c>
      <c r="F157" s="134" t="s">
        <v>1345</v>
      </c>
    </row>
    <row r="158" spans="1:6">
      <c r="A158" s="132">
        <v>13962000</v>
      </c>
      <c r="B158" s="132">
        <v>13947000</v>
      </c>
      <c r="C158" s="132">
        <v>13990000</v>
      </c>
      <c r="D158" s="132">
        <v>13960000</v>
      </c>
      <c r="E158" s="133">
        <v>43093</v>
      </c>
      <c r="F158" s="134" t="s">
        <v>1346</v>
      </c>
    </row>
    <row r="159" spans="1:6">
      <c r="A159" s="132">
        <v>13950000</v>
      </c>
      <c r="B159" s="132">
        <v>13924000</v>
      </c>
      <c r="C159" s="132">
        <v>13990000</v>
      </c>
      <c r="D159" s="132">
        <v>13955000</v>
      </c>
      <c r="E159" s="133">
        <v>43092</v>
      </c>
      <c r="F159" s="134" t="s">
        <v>1347</v>
      </c>
    </row>
    <row r="160" spans="1:6">
      <c r="A160" s="132">
        <v>13905000</v>
      </c>
      <c r="B160" s="132">
        <v>13897000</v>
      </c>
      <c r="C160" s="132">
        <v>13955000</v>
      </c>
      <c r="D160" s="132">
        <v>13915000</v>
      </c>
      <c r="E160" s="133">
        <v>43090</v>
      </c>
      <c r="F160" s="134" t="s">
        <v>1348</v>
      </c>
    </row>
    <row r="161" spans="1:6">
      <c r="A161" s="132">
        <v>13915000</v>
      </c>
      <c r="B161" s="132">
        <v>13875000</v>
      </c>
      <c r="C161" s="132">
        <v>13945000</v>
      </c>
      <c r="D161" s="132">
        <v>13920000</v>
      </c>
      <c r="E161" s="133">
        <v>43089</v>
      </c>
      <c r="F161" s="134" t="s">
        <v>1349</v>
      </c>
    </row>
    <row r="162" spans="1:6">
      <c r="A162" s="132">
        <v>13942000</v>
      </c>
      <c r="B162" s="132">
        <v>13875000</v>
      </c>
      <c r="C162" s="132">
        <v>13974000</v>
      </c>
      <c r="D162" s="132">
        <v>13880000</v>
      </c>
      <c r="E162" s="133">
        <v>43088</v>
      </c>
      <c r="F162" s="134" t="s">
        <v>1350</v>
      </c>
    </row>
    <row r="163" spans="1:6">
      <c r="A163" s="132">
        <v>13850000</v>
      </c>
      <c r="B163" s="132">
        <v>13850000</v>
      </c>
      <c r="C163" s="132">
        <v>13967000</v>
      </c>
      <c r="D163" s="132">
        <v>13927000</v>
      </c>
      <c r="E163" s="133">
        <v>43087</v>
      </c>
      <c r="F163" s="134" t="s">
        <v>1351</v>
      </c>
    </row>
    <row r="164" spans="1:6">
      <c r="A164" s="132">
        <v>13982000</v>
      </c>
      <c r="B164" s="132">
        <v>13827000</v>
      </c>
      <c r="C164" s="132">
        <v>13990000</v>
      </c>
      <c r="D164" s="132">
        <v>13847000</v>
      </c>
      <c r="E164" s="133">
        <v>43086</v>
      </c>
      <c r="F164" s="134" t="s">
        <v>1352</v>
      </c>
    </row>
    <row r="165" spans="1:6">
      <c r="A165" s="132">
        <v>14122000</v>
      </c>
      <c r="B165" s="132">
        <v>13952000</v>
      </c>
      <c r="C165" s="132">
        <v>14137000</v>
      </c>
      <c r="D165" s="132">
        <v>13997000</v>
      </c>
      <c r="E165" s="133">
        <v>43085</v>
      </c>
      <c r="F165" s="134" t="s">
        <v>1353</v>
      </c>
    </row>
    <row r="166" spans="1:6">
      <c r="A166" s="132">
        <v>14155000</v>
      </c>
      <c r="B166" s="132">
        <v>14102000</v>
      </c>
      <c r="C166" s="132">
        <v>14170000</v>
      </c>
      <c r="D166" s="132">
        <v>14117000</v>
      </c>
      <c r="E166" s="133">
        <v>43083</v>
      </c>
      <c r="F166" s="134" t="s">
        <v>1354</v>
      </c>
    </row>
    <row r="167" spans="1:6">
      <c r="A167" s="132">
        <v>14129000</v>
      </c>
      <c r="B167" s="132">
        <v>14095000</v>
      </c>
      <c r="C167" s="132">
        <v>14150000</v>
      </c>
      <c r="D167" s="132">
        <v>14120000</v>
      </c>
      <c r="E167" s="133">
        <v>43082</v>
      </c>
      <c r="F167" s="134" t="s">
        <v>1355</v>
      </c>
    </row>
    <row r="168" spans="1:6">
      <c r="A168" s="132">
        <v>14117000</v>
      </c>
      <c r="B168" s="132">
        <v>14074000</v>
      </c>
      <c r="C168" s="132">
        <v>14177000</v>
      </c>
      <c r="D168" s="132">
        <v>14104000</v>
      </c>
      <c r="E168" s="133">
        <v>43081</v>
      </c>
      <c r="F168" s="134" t="s">
        <v>1356</v>
      </c>
    </row>
    <row r="169" spans="1:6">
      <c r="A169" s="132">
        <v>14095000</v>
      </c>
      <c r="B169" s="132">
        <v>14072000</v>
      </c>
      <c r="C169" s="132">
        <v>14195000</v>
      </c>
      <c r="D169" s="132">
        <v>14127000</v>
      </c>
      <c r="E169" s="133">
        <v>43080</v>
      </c>
      <c r="F169" s="134" t="s">
        <v>1357</v>
      </c>
    </row>
    <row r="170" spans="1:6">
      <c r="A170" s="132">
        <v>14180000</v>
      </c>
      <c r="B170" s="132">
        <v>14045000</v>
      </c>
      <c r="C170" s="132">
        <v>14250000</v>
      </c>
      <c r="D170" s="132">
        <v>14087000</v>
      </c>
      <c r="E170" s="133">
        <v>43079</v>
      </c>
      <c r="F170" s="134" t="s">
        <v>1358</v>
      </c>
    </row>
    <row r="171" spans="1:6">
      <c r="A171" s="132">
        <v>13960000</v>
      </c>
      <c r="B171" s="132">
        <v>13952000</v>
      </c>
      <c r="C171" s="132">
        <v>14205000</v>
      </c>
      <c r="D171" s="132">
        <v>14155000</v>
      </c>
      <c r="E171" s="133">
        <v>43078</v>
      </c>
      <c r="F171" s="134" t="s">
        <v>1359</v>
      </c>
    </row>
    <row r="172" spans="1:6">
      <c r="A172" s="132">
        <v>14170000</v>
      </c>
      <c r="B172" s="132">
        <v>14135000</v>
      </c>
      <c r="C172" s="132">
        <v>14195000</v>
      </c>
      <c r="D172" s="132">
        <v>14145000</v>
      </c>
      <c r="E172" s="133">
        <v>43076</v>
      </c>
      <c r="F172" s="134" t="s">
        <v>1360</v>
      </c>
    </row>
    <row r="173" spans="1:6">
      <c r="A173" s="132">
        <v>14145000</v>
      </c>
      <c r="B173" s="132">
        <v>14120000</v>
      </c>
      <c r="C173" s="132">
        <v>14185000</v>
      </c>
      <c r="D173" s="132">
        <v>14140000</v>
      </c>
      <c r="E173" s="133">
        <v>43075</v>
      </c>
      <c r="F173" s="134" t="s">
        <v>1361</v>
      </c>
    </row>
    <row r="174" spans="1:6">
      <c r="A174" s="132">
        <v>14358000</v>
      </c>
      <c r="B174" s="132">
        <v>14110000</v>
      </c>
      <c r="C174" s="132">
        <v>14430000</v>
      </c>
      <c r="D174" s="132">
        <v>14155000</v>
      </c>
      <c r="E174" s="133">
        <v>43074</v>
      </c>
      <c r="F174" s="134" t="s">
        <v>1362</v>
      </c>
    </row>
    <row r="175" spans="1:6">
      <c r="A175" s="132">
        <v>13920000</v>
      </c>
      <c r="B175" s="132">
        <v>13915000</v>
      </c>
      <c r="C175" s="132">
        <v>14268000</v>
      </c>
      <c r="D175" s="132">
        <v>14258000</v>
      </c>
      <c r="E175" s="133">
        <v>43073</v>
      </c>
      <c r="F175" s="134" t="s">
        <v>1363</v>
      </c>
    </row>
    <row r="176" spans="1:6">
      <c r="A176" s="132">
        <v>13948000</v>
      </c>
      <c r="B176" s="132">
        <v>13907000</v>
      </c>
      <c r="C176" s="132">
        <v>14040000</v>
      </c>
      <c r="D176" s="132">
        <v>13935000</v>
      </c>
      <c r="E176" s="133">
        <v>43072</v>
      </c>
      <c r="F176" s="134" t="s">
        <v>1364</v>
      </c>
    </row>
    <row r="177" spans="1:6">
      <c r="A177" s="132">
        <v>13805000</v>
      </c>
      <c r="B177" s="132">
        <v>13805000</v>
      </c>
      <c r="C177" s="132">
        <v>13938000</v>
      </c>
      <c r="D177" s="132">
        <v>13938000</v>
      </c>
      <c r="E177" s="133">
        <v>43071</v>
      </c>
      <c r="F177" s="134" t="s">
        <v>1365</v>
      </c>
    </row>
    <row r="178" spans="1:6">
      <c r="A178" s="132">
        <v>13804000</v>
      </c>
      <c r="B178" s="132">
        <v>13752000</v>
      </c>
      <c r="C178" s="132">
        <v>13870000</v>
      </c>
      <c r="D178" s="132">
        <v>13815000</v>
      </c>
      <c r="E178" s="133">
        <v>43069</v>
      </c>
      <c r="F178" s="134" t="s">
        <v>1366</v>
      </c>
    </row>
    <row r="179" spans="1:6">
      <c r="A179" s="132">
        <v>13568000</v>
      </c>
      <c r="B179" s="132">
        <v>13568000</v>
      </c>
      <c r="C179" s="132">
        <v>13774000</v>
      </c>
      <c r="D179" s="132">
        <v>13764000</v>
      </c>
      <c r="E179" s="133">
        <v>43068</v>
      </c>
      <c r="F179" s="134" t="s">
        <v>1367</v>
      </c>
    </row>
    <row r="180" spans="1:6">
      <c r="A180" s="132">
        <v>13588000</v>
      </c>
      <c r="B180" s="132">
        <v>13540000</v>
      </c>
      <c r="C180" s="132">
        <v>13605000</v>
      </c>
      <c r="D180" s="132">
        <v>13560000</v>
      </c>
      <c r="E180" s="133">
        <v>43067</v>
      </c>
      <c r="F180" s="134" t="s">
        <v>1368</v>
      </c>
    </row>
    <row r="181" spans="1:6">
      <c r="A181" s="132">
        <v>13660000</v>
      </c>
      <c r="B181" s="132">
        <v>13560000</v>
      </c>
      <c r="C181" s="132">
        <v>13670000</v>
      </c>
      <c r="D181" s="132">
        <v>13605000</v>
      </c>
      <c r="E181" s="133">
        <v>43066</v>
      </c>
      <c r="F181" s="134" t="s">
        <v>1369</v>
      </c>
    </row>
    <row r="182" spans="1:6">
      <c r="A182" s="132">
        <v>13657000</v>
      </c>
      <c r="B182" s="132">
        <v>13485000</v>
      </c>
      <c r="C182" s="132">
        <v>13680000</v>
      </c>
      <c r="D182" s="132">
        <v>13570000</v>
      </c>
      <c r="E182" s="133">
        <v>43065</v>
      </c>
      <c r="F182" s="134" t="s">
        <v>1370</v>
      </c>
    </row>
    <row r="183" spans="1:6">
      <c r="A183" s="132">
        <v>13818000</v>
      </c>
      <c r="B183" s="132">
        <v>13617000</v>
      </c>
      <c r="C183" s="132">
        <v>13977000</v>
      </c>
      <c r="D183" s="132">
        <v>13617000</v>
      </c>
      <c r="E183" s="133">
        <v>43064</v>
      </c>
      <c r="F183" s="134" t="s">
        <v>1371</v>
      </c>
    </row>
    <row r="184" spans="1:6">
      <c r="A184" s="132">
        <v>14130000</v>
      </c>
      <c r="B184" s="132">
        <v>13853000</v>
      </c>
      <c r="C184" s="132">
        <v>14248000</v>
      </c>
      <c r="D184" s="132">
        <v>13903000</v>
      </c>
      <c r="E184" s="133">
        <v>43062</v>
      </c>
      <c r="F184" s="134" t="s">
        <v>1372</v>
      </c>
    </row>
    <row r="185" spans="1:6">
      <c r="A185" s="132">
        <v>14506000</v>
      </c>
      <c r="B185" s="132">
        <v>14155000</v>
      </c>
      <c r="C185" s="132">
        <v>14536000</v>
      </c>
      <c r="D185" s="132">
        <v>14175000</v>
      </c>
      <c r="E185" s="133">
        <v>43061</v>
      </c>
      <c r="F185" s="134" t="s">
        <v>1373</v>
      </c>
    </row>
    <row r="186" spans="1:6">
      <c r="A186" s="132">
        <v>14285000</v>
      </c>
      <c r="B186" s="132">
        <v>14136000</v>
      </c>
      <c r="C186" s="132">
        <v>14484000</v>
      </c>
      <c r="D186" s="132">
        <v>14441000</v>
      </c>
      <c r="E186" s="133">
        <v>43060</v>
      </c>
      <c r="F186" s="134" t="s">
        <v>1374</v>
      </c>
    </row>
    <row r="187" spans="1:6">
      <c r="A187" s="132">
        <v>14140000</v>
      </c>
      <c r="B187" s="132">
        <v>14105000</v>
      </c>
      <c r="C187" s="132">
        <v>14435000</v>
      </c>
      <c r="D187" s="132">
        <v>14210000</v>
      </c>
      <c r="E187" s="133">
        <v>43059</v>
      </c>
      <c r="F187" s="134" t="s">
        <v>1375</v>
      </c>
    </row>
    <row r="188" spans="1:6">
      <c r="A188" s="132">
        <v>14160000</v>
      </c>
      <c r="B188" s="132">
        <v>14145000</v>
      </c>
      <c r="C188" s="132">
        <v>14195000</v>
      </c>
      <c r="D188" s="132">
        <v>14155000</v>
      </c>
      <c r="E188" s="133">
        <v>43058</v>
      </c>
      <c r="F188" s="134" t="s">
        <v>1376</v>
      </c>
    </row>
    <row r="189" spans="1:6">
      <c r="A189" s="132">
        <v>14016000</v>
      </c>
      <c r="B189" s="132">
        <v>13990000</v>
      </c>
      <c r="C189" s="132">
        <v>14180000</v>
      </c>
      <c r="D189" s="132">
        <v>14145000</v>
      </c>
      <c r="E189" s="133">
        <v>43057</v>
      </c>
      <c r="F189" s="134" t="s">
        <v>1377</v>
      </c>
    </row>
    <row r="190" spans="1:6">
      <c r="A190" s="132">
        <v>13899000</v>
      </c>
      <c r="B190" s="132">
        <v>13855000</v>
      </c>
      <c r="C190" s="132">
        <v>13900000</v>
      </c>
      <c r="D190" s="132">
        <v>13895000</v>
      </c>
      <c r="E190" s="133">
        <v>43055</v>
      </c>
      <c r="F190" s="134" t="s">
        <v>1378</v>
      </c>
    </row>
    <row r="191" spans="1:6">
      <c r="A191" s="132">
        <v>13940000</v>
      </c>
      <c r="B191" s="132">
        <v>13866000</v>
      </c>
      <c r="C191" s="132">
        <v>13940000</v>
      </c>
      <c r="D191" s="132">
        <v>13883000</v>
      </c>
      <c r="E191" s="133">
        <v>43054</v>
      </c>
      <c r="F191" s="134" t="s">
        <v>1379</v>
      </c>
    </row>
    <row r="192" spans="1:6">
      <c r="A192" s="132">
        <v>13940000</v>
      </c>
      <c r="B192" s="132">
        <v>13825000</v>
      </c>
      <c r="C192" s="132">
        <v>13975000</v>
      </c>
      <c r="D192" s="132">
        <v>13895000</v>
      </c>
      <c r="E192" s="133">
        <v>43053</v>
      </c>
      <c r="F192" s="134" t="s">
        <v>1380</v>
      </c>
    </row>
    <row r="193" spans="1:6">
      <c r="A193" s="132">
        <v>13705000</v>
      </c>
      <c r="B193" s="132">
        <v>13690000</v>
      </c>
      <c r="C193" s="132">
        <v>13990000</v>
      </c>
      <c r="D193" s="132">
        <v>13880000</v>
      </c>
      <c r="E193" s="133">
        <v>43052</v>
      </c>
      <c r="F193" s="134" t="s">
        <v>1381</v>
      </c>
    </row>
    <row r="194" spans="1:6">
      <c r="A194" s="132">
        <v>13487000</v>
      </c>
      <c r="B194" s="132">
        <v>13472000</v>
      </c>
      <c r="C194" s="132">
        <v>13760000</v>
      </c>
      <c r="D194" s="132">
        <v>13730000</v>
      </c>
      <c r="E194" s="133">
        <v>43051</v>
      </c>
      <c r="F194" s="134" t="s">
        <v>1382</v>
      </c>
    </row>
    <row r="195" spans="1:6">
      <c r="A195" s="132">
        <v>13564000</v>
      </c>
      <c r="B195" s="132">
        <v>13457000</v>
      </c>
      <c r="C195" s="132">
        <v>13635000</v>
      </c>
      <c r="D195" s="132">
        <v>13497000</v>
      </c>
      <c r="E195" s="133">
        <v>43050</v>
      </c>
      <c r="F195" s="134" t="s">
        <v>1383</v>
      </c>
    </row>
    <row r="196" spans="1:6">
      <c r="A196" s="132">
        <v>13494000</v>
      </c>
      <c r="B196" s="132">
        <v>13494000</v>
      </c>
      <c r="C196" s="132">
        <v>13594000</v>
      </c>
      <c r="D196" s="132">
        <v>13582000</v>
      </c>
      <c r="E196" s="133">
        <v>43048</v>
      </c>
      <c r="F196" s="134" t="s">
        <v>1384</v>
      </c>
    </row>
    <row r="197" spans="1:6">
      <c r="A197" s="132">
        <v>13405000</v>
      </c>
      <c r="B197" s="132">
        <v>13405000</v>
      </c>
      <c r="C197" s="132">
        <v>13510000</v>
      </c>
      <c r="D197" s="132">
        <v>13497000</v>
      </c>
      <c r="E197" s="133">
        <v>43047</v>
      </c>
      <c r="F197" s="134" t="s">
        <v>1385</v>
      </c>
    </row>
    <row r="198" spans="1:6">
      <c r="A198" s="132">
        <v>13450000</v>
      </c>
      <c r="B198" s="132">
        <v>13360000</v>
      </c>
      <c r="C198" s="132">
        <v>13482000</v>
      </c>
      <c r="D198" s="132">
        <v>13393000</v>
      </c>
      <c r="E198" s="133">
        <v>43046</v>
      </c>
      <c r="F198" s="134" t="s">
        <v>1386</v>
      </c>
    </row>
    <row r="199" spans="1:6">
      <c r="A199" s="132">
        <v>13292000</v>
      </c>
      <c r="B199" s="132">
        <v>13290000</v>
      </c>
      <c r="C199" s="132">
        <v>13445000</v>
      </c>
      <c r="D199" s="132">
        <v>13430000</v>
      </c>
      <c r="E199" s="133">
        <v>43045</v>
      </c>
      <c r="F199" s="134" t="s">
        <v>1387</v>
      </c>
    </row>
    <row r="200" spans="1:6">
      <c r="A200" s="132">
        <v>13182000</v>
      </c>
      <c r="B200" s="132">
        <v>13165000</v>
      </c>
      <c r="C200" s="132">
        <v>13317000</v>
      </c>
      <c r="D200" s="132">
        <v>13302000</v>
      </c>
      <c r="E200" s="133">
        <v>43044</v>
      </c>
      <c r="F200" s="134" t="s">
        <v>1388</v>
      </c>
    </row>
    <row r="201" spans="1:6">
      <c r="A201" s="132">
        <v>13155000</v>
      </c>
      <c r="B201" s="132">
        <v>13144000</v>
      </c>
      <c r="C201" s="132">
        <v>13192000</v>
      </c>
      <c r="D201" s="132">
        <v>13187000</v>
      </c>
      <c r="E201" s="133">
        <v>43043</v>
      </c>
      <c r="F201" s="134" t="s">
        <v>1389</v>
      </c>
    </row>
    <row r="202" spans="1:6">
      <c r="A202" s="132">
        <v>13170000</v>
      </c>
      <c r="B202" s="132">
        <v>13155000</v>
      </c>
      <c r="C202" s="132">
        <v>13215000</v>
      </c>
      <c r="D202" s="132">
        <v>13195000</v>
      </c>
      <c r="E202" s="133">
        <v>43041</v>
      </c>
      <c r="F202" s="134" t="s">
        <v>1390</v>
      </c>
    </row>
    <row r="203" spans="1:6">
      <c r="A203" s="132">
        <v>13141000</v>
      </c>
      <c r="B203" s="132">
        <v>13141000</v>
      </c>
      <c r="C203" s="132">
        <v>13197000</v>
      </c>
      <c r="D203" s="132">
        <v>13180000</v>
      </c>
      <c r="E203" s="133">
        <v>43040</v>
      </c>
      <c r="F203" s="134" t="s">
        <v>1391</v>
      </c>
    </row>
    <row r="204" spans="1:6">
      <c r="A204" s="132">
        <v>13135000</v>
      </c>
      <c r="B204" s="132">
        <v>13113000</v>
      </c>
      <c r="C204" s="132">
        <v>13160000</v>
      </c>
      <c r="D204" s="132">
        <v>13133000</v>
      </c>
      <c r="E204" s="133">
        <v>43039</v>
      </c>
      <c r="F204" s="134" t="s">
        <v>1392</v>
      </c>
    </row>
    <row r="205" spans="1:6">
      <c r="A205" s="132">
        <v>13168000</v>
      </c>
      <c r="B205" s="132">
        <v>13120000</v>
      </c>
      <c r="C205" s="132">
        <v>13180000</v>
      </c>
      <c r="D205" s="132">
        <v>13144000</v>
      </c>
      <c r="E205" s="133">
        <v>43038</v>
      </c>
      <c r="F205" s="134" t="s">
        <v>1393</v>
      </c>
    </row>
    <row r="206" spans="1:6">
      <c r="A206" s="132">
        <v>13186000</v>
      </c>
      <c r="B206" s="132">
        <v>13154000</v>
      </c>
      <c r="C206" s="132">
        <v>13220000</v>
      </c>
      <c r="D206" s="132">
        <v>13190000</v>
      </c>
      <c r="E206" s="133">
        <v>43037</v>
      </c>
      <c r="F206" s="134" t="s">
        <v>1394</v>
      </c>
    </row>
    <row r="207" spans="1:6">
      <c r="A207" s="132">
        <v>13056000</v>
      </c>
      <c r="B207" s="132">
        <v>13056000</v>
      </c>
      <c r="C207" s="132">
        <v>13189000</v>
      </c>
      <c r="D207" s="132">
        <v>13174000</v>
      </c>
      <c r="E207" s="133">
        <v>43036</v>
      </c>
      <c r="F207" s="134" t="s">
        <v>1395</v>
      </c>
    </row>
    <row r="208" spans="1:6">
      <c r="A208" s="132">
        <v>13090000</v>
      </c>
      <c r="B208" s="132">
        <v>13026000</v>
      </c>
      <c r="C208" s="132">
        <v>13107000</v>
      </c>
      <c r="D208" s="132">
        <v>13026000</v>
      </c>
      <c r="E208" s="133">
        <v>43034</v>
      </c>
      <c r="F208" s="134" t="s">
        <v>1396</v>
      </c>
    </row>
    <row r="209" spans="1:6">
      <c r="A209" s="132">
        <v>13127000</v>
      </c>
      <c r="B209" s="132">
        <v>13065000</v>
      </c>
      <c r="C209" s="132">
        <v>13127000</v>
      </c>
      <c r="D209" s="132">
        <v>13080000</v>
      </c>
      <c r="E209" s="133">
        <v>43033</v>
      </c>
      <c r="F209" s="134" t="s">
        <v>1397</v>
      </c>
    </row>
    <row r="210" spans="1:6">
      <c r="A210" s="132">
        <v>13076000</v>
      </c>
      <c r="B210" s="132">
        <v>13070000</v>
      </c>
      <c r="C210" s="132">
        <v>13130000</v>
      </c>
      <c r="D210" s="132">
        <v>13110000</v>
      </c>
      <c r="E210" s="133">
        <v>43032</v>
      </c>
      <c r="F210" s="134" t="s">
        <v>1398</v>
      </c>
    </row>
    <row r="211" spans="1:6">
      <c r="A211" s="132">
        <v>12947000</v>
      </c>
      <c r="B211" s="132">
        <v>12945000</v>
      </c>
      <c r="C211" s="132">
        <v>13066000</v>
      </c>
      <c r="D211" s="132">
        <v>13056000</v>
      </c>
      <c r="E211" s="133">
        <v>43031</v>
      </c>
      <c r="F211" s="134" t="s">
        <v>1399</v>
      </c>
    </row>
    <row r="212" spans="1:6">
      <c r="A212" s="132">
        <v>12944000</v>
      </c>
      <c r="B212" s="132">
        <v>12934000</v>
      </c>
      <c r="C212" s="132">
        <v>12970000</v>
      </c>
      <c r="D212" s="132">
        <v>12965000</v>
      </c>
      <c r="E212" s="133">
        <v>43030</v>
      </c>
      <c r="F212" s="134" t="s">
        <v>1400</v>
      </c>
    </row>
    <row r="213" spans="1:6">
      <c r="A213" s="132">
        <v>13000000</v>
      </c>
      <c r="B213" s="132">
        <v>12930000</v>
      </c>
      <c r="C213" s="132">
        <v>13010000</v>
      </c>
      <c r="D213" s="132">
        <v>12952000</v>
      </c>
      <c r="E213" s="133">
        <v>43029</v>
      </c>
      <c r="F213" s="134" t="s">
        <v>1401</v>
      </c>
    </row>
    <row r="214" spans="1:6">
      <c r="A214" s="132">
        <v>13080000</v>
      </c>
      <c r="B214" s="132">
        <v>13080000</v>
      </c>
      <c r="C214" s="132">
        <v>13114000</v>
      </c>
      <c r="D214" s="132">
        <v>13103000</v>
      </c>
      <c r="E214" s="133">
        <v>43027</v>
      </c>
      <c r="F214" s="134" t="s">
        <v>1402</v>
      </c>
    </row>
    <row r="215" spans="1:6">
      <c r="A215" s="132">
        <v>13099000</v>
      </c>
      <c r="B215" s="132">
        <v>13055000</v>
      </c>
      <c r="C215" s="132">
        <v>13125000</v>
      </c>
      <c r="D215" s="132">
        <v>13085000</v>
      </c>
      <c r="E215" s="133">
        <v>43026</v>
      </c>
      <c r="F215" s="134" t="s">
        <v>1403</v>
      </c>
    </row>
    <row r="216" spans="1:6">
      <c r="A216" s="132">
        <v>13118000</v>
      </c>
      <c r="B216" s="132">
        <v>13046000</v>
      </c>
      <c r="C216" s="132">
        <v>13118000</v>
      </c>
      <c r="D216" s="132">
        <v>13089000</v>
      </c>
      <c r="E216" s="133">
        <v>43025</v>
      </c>
      <c r="F216" s="134" t="s">
        <v>1404</v>
      </c>
    </row>
    <row r="217" spans="1:6">
      <c r="A217" s="132">
        <v>13147000</v>
      </c>
      <c r="B217" s="132">
        <v>13130000</v>
      </c>
      <c r="C217" s="132">
        <v>13190000</v>
      </c>
      <c r="D217" s="132">
        <v>13140000</v>
      </c>
      <c r="E217" s="133">
        <v>43024</v>
      </c>
      <c r="F217" s="134" t="s">
        <v>1405</v>
      </c>
    </row>
    <row r="218" spans="1:6">
      <c r="A218" s="132">
        <v>13134000</v>
      </c>
      <c r="B218" s="132">
        <v>13077000</v>
      </c>
      <c r="C218" s="132">
        <v>13190000</v>
      </c>
      <c r="D218" s="132">
        <v>13136000</v>
      </c>
      <c r="E218" s="133">
        <v>43023</v>
      </c>
      <c r="F218" s="134" t="s">
        <v>1406</v>
      </c>
    </row>
    <row r="219" spans="1:6">
      <c r="A219" s="132">
        <v>13145000</v>
      </c>
      <c r="B219" s="132">
        <v>13079000</v>
      </c>
      <c r="C219" s="132">
        <v>13145000</v>
      </c>
      <c r="D219" s="132">
        <v>13110000</v>
      </c>
      <c r="E219" s="133">
        <v>43022</v>
      </c>
      <c r="F219" s="134" t="s">
        <v>1407</v>
      </c>
    </row>
    <row r="220" spans="1:6">
      <c r="A220" s="132">
        <v>13122000</v>
      </c>
      <c r="B220" s="132">
        <v>13122000</v>
      </c>
      <c r="C220" s="132">
        <v>13235000</v>
      </c>
      <c r="D220" s="132">
        <v>13200000</v>
      </c>
      <c r="E220" s="133">
        <v>43020</v>
      </c>
      <c r="F220" s="134" t="s">
        <v>1408</v>
      </c>
    </row>
    <row r="221" spans="1:6">
      <c r="A221" s="132">
        <v>13050000</v>
      </c>
      <c r="B221" s="132">
        <v>13020000</v>
      </c>
      <c r="C221" s="132">
        <v>13155000</v>
      </c>
      <c r="D221" s="132">
        <v>13072000</v>
      </c>
      <c r="E221" s="133">
        <v>43019</v>
      </c>
      <c r="F221" s="134" t="s">
        <v>1409</v>
      </c>
    </row>
    <row r="222" spans="1:6">
      <c r="A222" s="132">
        <v>13055000</v>
      </c>
      <c r="B222" s="132">
        <v>13020000</v>
      </c>
      <c r="C222" s="132">
        <v>13160000</v>
      </c>
      <c r="D222" s="132">
        <v>13060000</v>
      </c>
      <c r="E222" s="133">
        <v>43018</v>
      </c>
      <c r="F222" s="134" t="s">
        <v>1410</v>
      </c>
    </row>
    <row r="223" spans="1:6">
      <c r="A223" s="132">
        <v>12940000</v>
      </c>
      <c r="B223" s="132">
        <v>12925000</v>
      </c>
      <c r="C223" s="132">
        <v>13205000</v>
      </c>
      <c r="D223" s="132">
        <v>13125000</v>
      </c>
      <c r="E223" s="133">
        <v>43017</v>
      </c>
      <c r="F223" s="134" t="s">
        <v>1411</v>
      </c>
    </row>
    <row r="224" spans="1:6">
      <c r="A224" s="132">
        <v>12883000</v>
      </c>
      <c r="B224" s="132">
        <v>12820000</v>
      </c>
      <c r="C224" s="132">
        <v>12990000</v>
      </c>
      <c r="D224" s="132">
        <v>12970000</v>
      </c>
      <c r="E224" s="133">
        <v>43016</v>
      </c>
      <c r="F224" s="134" t="s">
        <v>1412</v>
      </c>
    </row>
    <row r="225" spans="1:6">
      <c r="A225" s="132">
        <v>12560000</v>
      </c>
      <c r="B225" s="132">
        <v>12554000</v>
      </c>
      <c r="C225" s="132">
        <v>12910000</v>
      </c>
      <c r="D225" s="132">
        <v>12875000</v>
      </c>
      <c r="E225" s="133">
        <v>43015</v>
      </c>
      <c r="F225" s="134" t="s">
        <v>1413</v>
      </c>
    </row>
    <row r="226" spans="1:6">
      <c r="A226" s="132">
        <v>12535000</v>
      </c>
      <c r="B226" s="132">
        <v>12521000</v>
      </c>
      <c r="C226" s="132">
        <v>12582000</v>
      </c>
      <c r="D226" s="132">
        <v>12530000</v>
      </c>
      <c r="E226" s="133">
        <v>43013</v>
      </c>
      <c r="F226" s="134" t="s">
        <v>1414</v>
      </c>
    </row>
    <row r="227" spans="1:6">
      <c r="A227" s="132">
        <v>12473000</v>
      </c>
      <c r="B227" s="132">
        <v>12473000</v>
      </c>
      <c r="C227" s="132">
        <v>12560000</v>
      </c>
      <c r="D227" s="132">
        <v>12532000</v>
      </c>
      <c r="E227" s="133">
        <v>43012</v>
      </c>
      <c r="F227" s="134" t="s">
        <v>1415</v>
      </c>
    </row>
    <row r="228" spans="1:6">
      <c r="A228" s="132">
        <v>12431000</v>
      </c>
      <c r="B228" s="132">
        <v>12412000</v>
      </c>
      <c r="C228" s="132">
        <v>12496000</v>
      </c>
      <c r="D228" s="132">
        <v>12474000</v>
      </c>
      <c r="E228" s="133">
        <v>43011</v>
      </c>
      <c r="F228" s="134" t="s">
        <v>1416</v>
      </c>
    </row>
    <row r="229" spans="1:6">
      <c r="A229" s="132">
        <v>12431000</v>
      </c>
      <c r="B229" s="132">
        <v>12406000</v>
      </c>
      <c r="C229" s="132">
        <v>12451000</v>
      </c>
      <c r="D229" s="132">
        <v>12441000</v>
      </c>
      <c r="E229" s="133">
        <v>43010</v>
      </c>
      <c r="F229" s="134" t="s">
        <v>1417</v>
      </c>
    </row>
    <row r="230" spans="1:6">
      <c r="A230" s="132">
        <v>12446000</v>
      </c>
      <c r="B230" s="132">
        <v>12446000</v>
      </c>
      <c r="C230" s="132">
        <v>12446000</v>
      </c>
      <c r="D230" s="132">
        <v>12446000</v>
      </c>
      <c r="E230" s="133">
        <v>43008</v>
      </c>
      <c r="F230" s="134" t="s">
        <v>1418</v>
      </c>
    </row>
    <row r="231" spans="1:6">
      <c r="A231" s="132">
        <v>12446000</v>
      </c>
      <c r="B231" s="132">
        <v>12426000</v>
      </c>
      <c r="C231" s="132">
        <v>12471000</v>
      </c>
      <c r="D231" s="132">
        <v>12466000</v>
      </c>
      <c r="E231" s="133">
        <v>43006</v>
      </c>
      <c r="F231" s="134" t="s">
        <v>1419</v>
      </c>
    </row>
    <row r="232" spans="1:6">
      <c r="A232" s="132">
        <v>12437000</v>
      </c>
      <c r="B232" s="132">
        <v>12419000</v>
      </c>
      <c r="C232" s="132">
        <v>12471000</v>
      </c>
      <c r="D232" s="132">
        <v>12461000</v>
      </c>
      <c r="E232" s="133">
        <v>43005</v>
      </c>
      <c r="F232" s="134" t="s">
        <v>1420</v>
      </c>
    </row>
    <row r="233" spans="1:6">
      <c r="A233" s="132">
        <v>12471000</v>
      </c>
      <c r="B233" s="132">
        <v>12419000</v>
      </c>
      <c r="C233" s="132">
        <v>12489000</v>
      </c>
      <c r="D233" s="132">
        <v>12449000</v>
      </c>
      <c r="E233" s="133">
        <v>43004</v>
      </c>
      <c r="F233" s="134" t="s">
        <v>1421</v>
      </c>
    </row>
    <row r="234" spans="1:6">
      <c r="A234" s="132">
        <v>12395000</v>
      </c>
      <c r="B234" s="132">
        <v>12385000</v>
      </c>
      <c r="C234" s="132">
        <v>12494000</v>
      </c>
      <c r="D234" s="132">
        <v>12484000</v>
      </c>
      <c r="E234" s="133">
        <v>43003</v>
      </c>
      <c r="F234" s="134" t="s">
        <v>1422</v>
      </c>
    </row>
    <row r="235" spans="1:6">
      <c r="A235" s="132">
        <v>12380000</v>
      </c>
      <c r="B235" s="132">
        <v>12379000</v>
      </c>
      <c r="C235" s="132">
        <v>12423000</v>
      </c>
      <c r="D235" s="132">
        <v>12413000</v>
      </c>
      <c r="E235" s="133">
        <v>43002</v>
      </c>
      <c r="F235" s="134" t="s">
        <v>1423</v>
      </c>
    </row>
    <row r="236" spans="1:6">
      <c r="A236" s="132">
        <v>12356000</v>
      </c>
      <c r="B236" s="132">
        <v>12356000</v>
      </c>
      <c r="C236" s="132">
        <v>12405000</v>
      </c>
      <c r="D236" s="132">
        <v>12377000</v>
      </c>
      <c r="E236" s="133">
        <v>43001</v>
      </c>
      <c r="F236" s="134" t="s">
        <v>1424</v>
      </c>
    </row>
    <row r="237" spans="1:6">
      <c r="A237" s="132">
        <v>12403000</v>
      </c>
      <c r="B237" s="132">
        <v>12326000</v>
      </c>
      <c r="C237" s="132">
        <v>12403000</v>
      </c>
      <c r="D237" s="132">
        <v>12361000</v>
      </c>
      <c r="E237" s="133">
        <v>42999</v>
      </c>
      <c r="F237" s="134" t="s">
        <v>1425</v>
      </c>
    </row>
    <row r="238" spans="1:6">
      <c r="A238" s="132">
        <v>12456000</v>
      </c>
      <c r="B238" s="132">
        <v>12445000</v>
      </c>
      <c r="C238" s="132">
        <v>12488000</v>
      </c>
      <c r="D238" s="132">
        <v>12461000</v>
      </c>
      <c r="E238" s="133">
        <v>42998</v>
      </c>
      <c r="F238" s="134" t="s">
        <v>1426</v>
      </c>
    </row>
    <row r="239" spans="1:6">
      <c r="A239" s="132">
        <v>12420000</v>
      </c>
      <c r="B239" s="132">
        <v>12420000</v>
      </c>
      <c r="C239" s="132">
        <v>12475000</v>
      </c>
      <c r="D239" s="132">
        <v>12425000</v>
      </c>
      <c r="E239" s="133">
        <v>42997</v>
      </c>
      <c r="F239" s="134" t="s">
        <v>1427</v>
      </c>
    </row>
    <row r="240" spans="1:6">
      <c r="A240" s="132">
        <v>12438000</v>
      </c>
      <c r="B240" s="132">
        <v>12392000</v>
      </c>
      <c r="C240" s="132">
        <v>12438000</v>
      </c>
      <c r="D240" s="132">
        <v>12412000</v>
      </c>
      <c r="E240" s="133">
        <v>42996</v>
      </c>
      <c r="F240" s="134" t="s">
        <v>1428</v>
      </c>
    </row>
    <row r="241" spans="1:6">
      <c r="A241" s="132">
        <v>12473000</v>
      </c>
      <c r="B241" s="132">
        <v>12432000</v>
      </c>
      <c r="C241" s="132">
        <v>12514000</v>
      </c>
      <c r="D241" s="132">
        <v>12443000</v>
      </c>
      <c r="E241" s="133">
        <v>42995</v>
      </c>
      <c r="F241" s="134" t="s">
        <v>1429</v>
      </c>
    </row>
    <row r="242" spans="1:6">
      <c r="A242" s="132">
        <v>12537000</v>
      </c>
      <c r="B242" s="132">
        <v>12469000</v>
      </c>
      <c r="C242" s="132">
        <v>12540000</v>
      </c>
      <c r="D242" s="132">
        <v>12479000</v>
      </c>
      <c r="E242" s="133">
        <v>42994</v>
      </c>
      <c r="F242" s="134" t="s">
        <v>1430</v>
      </c>
    </row>
    <row r="243" spans="1:6">
      <c r="A243" s="132">
        <v>12575000</v>
      </c>
      <c r="B243" s="132">
        <v>12537000</v>
      </c>
      <c r="C243" s="132">
        <v>12599000</v>
      </c>
      <c r="D243" s="132">
        <v>12542000</v>
      </c>
      <c r="E243" s="133">
        <v>42992</v>
      </c>
      <c r="F243" s="134" t="s">
        <v>1431</v>
      </c>
    </row>
    <row r="244" spans="1:6">
      <c r="A244" s="132">
        <v>12699000</v>
      </c>
      <c r="B244" s="132">
        <v>12592000</v>
      </c>
      <c r="C244" s="132">
        <v>12753000</v>
      </c>
      <c r="D244" s="132">
        <v>12594000</v>
      </c>
      <c r="E244" s="133">
        <v>42991</v>
      </c>
      <c r="F244" s="134" t="s">
        <v>1432</v>
      </c>
    </row>
    <row r="245" spans="1:6">
      <c r="A245" s="132">
        <v>12548000</v>
      </c>
      <c r="B245" s="132">
        <v>12548000</v>
      </c>
      <c r="C245" s="132">
        <v>12655000</v>
      </c>
      <c r="D245" s="132">
        <v>12628000</v>
      </c>
      <c r="E245" s="133">
        <v>42990</v>
      </c>
      <c r="F245" s="134" t="s">
        <v>1433</v>
      </c>
    </row>
    <row r="246" spans="1:6">
      <c r="A246" s="132">
        <v>12662000</v>
      </c>
      <c r="B246" s="132">
        <v>12562000</v>
      </c>
      <c r="C246" s="132">
        <v>12662000</v>
      </c>
      <c r="D246" s="132">
        <v>12572000</v>
      </c>
      <c r="E246" s="133">
        <v>42989</v>
      </c>
      <c r="F246" s="134" t="s">
        <v>1434</v>
      </c>
    </row>
    <row r="247" spans="1:6">
      <c r="A247" s="132">
        <v>12743000</v>
      </c>
      <c r="B247" s="132">
        <v>12667000</v>
      </c>
      <c r="C247" s="132">
        <v>12743000</v>
      </c>
      <c r="D247" s="132">
        <v>12682000</v>
      </c>
      <c r="E247" s="133">
        <v>42988</v>
      </c>
      <c r="F247" s="134" t="s">
        <v>1435</v>
      </c>
    </row>
    <row r="248" spans="1:6">
      <c r="A248" s="132">
        <v>12738000</v>
      </c>
      <c r="B248" s="132">
        <v>12725000</v>
      </c>
      <c r="C248" s="132">
        <v>12758000</v>
      </c>
      <c r="D248" s="132">
        <v>12744000</v>
      </c>
      <c r="E248" s="133">
        <v>42987</v>
      </c>
      <c r="F248" s="134" t="s">
        <v>1436</v>
      </c>
    </row>
    <row r="249" spans="1:6">
      <c r="A249" s="132">
        <v>12650000</v>
      </c>
      <c r="B249" s="132">
        <v>12650000</v>
      </c>
      <c r="C249" s="132">
        <v>12738000</v>
      </c>
      <c r="D249" s="132">
        <v>12728000</v>
      </c>
      <c r="E249" s="133">
        <v>42985</v>
      </c>
      <c r="F249" s="134" t="s">
        <v>1437</v>
      </c>
    </row>
    <row r="250" spans="1:6">
      <c r="A250" s="132">
        <v>12576000</v>
      </c>
      <c r="B250" s="132">
        <v>12556000</v>
      </c>
      <c r="C250" s="132">
        <v>12710000</v>
      </c>
      <c r="D250" s="132">
        <v>12660000</v>
      </c>
      <c r="E250" s="133">
        <v>42984</v>
      </c>
      <c r="F250" s="134" t="s">
        <v>1438</v>
      </c>
    </row>
    <row r="251" spans="1:6">
      <c r="A251" s="132">
        <v>12564000</v>
      </c>
      <c r="B251" s="132">
        <v>12515000</v>
      </c>
      <c r="C251" s="132">
        <v>12589000</v>
      </c>
      <c r="D251" s="132">
        <v>12579000</v>
      </c>
      <c r="E251" s="133">
        <v>42983</v>
      </c>
      <c r="F251" s="134" t="s">
        <v>1439</v>
      </c>
    </row>
    <row r="252" spans="1:6">
      <c r="A252" s="132">
        <v>12784000</v>
      </c>
      <c r="B252" s="132">
        <v>12554000</v>
      </c>
      <c r="C252" s="132">
        <v>12784000</v>
      </c>
      <c r="D252" s="132">
        <v>12559000</v>
      </c>
      <c r="E252" s="133">
        <v>42982</v>
      </c>
      <c r="F252" s="134" t="s">
        <v>1440</v>
      </c>
    </row>
    <row r="253" spans="1:6">
      <c r="A253" s="132">
        <v>12547000</v>
      </c>
      <c r="B253" s="132">
        <v>12532000</v>
      </c>
      <c r="C253" s="132">
        <v>12761000</v>
      </c>
      <c r="D253" s="132">
        <v>12749000</v>
      </c>
      <c r="E253" s="133">
        <v>42981</v>
      </c>
      <c r="F253" s="134" t="s">
        <v>1441</v>
      </c>
    </row>
    <row r="254" spans="1:6">
      <c r="A254" s="132">
        <v>12349000</v>
      </c>
      <c r="B254" s="132">
        <v>12339000</v>
      </c>
      <c r="C254" s="132">
        <v>12568000</v>
      </c>
      <c r="D254" s="132">
        <v>12531000</v>
      </c>
      <c r="E254" s="133">
        <v>42980</v>
      </c>
      <c r="F254" s="134" t="s">
        <v>1442</v>
      </c>
    </row>
    <row r="255" spans="1:6">
      <c r="A255" s="132">
        <v>12212000</v>
      </c>
      <c r="B255" s="132">
        <v>12195000</v>
      </c>
      <c r="C255" s="132">
        <v>12274000</v>
      </c>
      <c r="D255" s="132">
        <v>12263000</v>
      </c>
      <c r="E255" s="133">
        <v>42978</v>
      </c>
      <c r="F255" s="134" t="s">
        <v>1443</v>
      </c>
    </row>
    <row r="256" spans="1:6">
      <c r="A256" s="132">
        <v>12251000</v>
      </c>
      <c r="B256" s="132">
        <v>12220000</v>
      </c>
      <c r="C256" s="132">
        <v>12270000</v>
      </c>
      <c r="D256" s="132">
        <v>12228000</v>
      </c>
      <c r="E256" s="133">
        <v>42977</v>
      </c>
      <c r="F256" s="134" t="s">
        <v>1444</v>
      </c>
    </row>
    <row r="257" spans="1:6">
      <c r="A257" s="132">
        <v>12265000</v>
      </c>
      <c r="B257" s="132">
        <v>12259000</v>
      </c>
      <c r="C257" s="132">
        <v>12324000</v>
      </c>
      <c r="D257" s="132">
        <v>12266000</v>
      </c>
      <c r="E257" s="133">
        <v>42976</v>
      </c>
      <c r="F257" s="134" t="s">
        <v>1445</v>
      </c>
    </row>
    <row r="258" spans="1:6">
      <c r="A258" s="132">
        <v>12220000</v>
      </c>
      <c r="B258" s="132">
        <v>12217000</v>
      </c>
      <c r="C258" s="132">
        <v>12260000</v>
      </c>
      <c r="D258" s="132">
        <v>12256000</v>
      </c>
      <c r="E258" s="133">
        <v>42975</v>
      </c>
      <c r="F258" s="134" t="s">
        <v>1446</v>
      </c>
    </row>
    <row r="259" spans="1:6">
      <c r="A259" s="132">
        <v>12174000</v>
      </c>
      <c r="B259" s="132">
        <v>12174000</v>
      </c>
      <c r="C259" s="132">
        <v>12231000</v>
      </c>
      <c r="D259" s="132">
        <v>12208000</v>
      </c>
      <c r="E259" s="133">
        <v>42974</v>
      </c>
      <c r="F259" s="134" t="s">
        <v>1447</v>
      </c>
    </row>
    <row r="260" spans="1:6">
      <c r="A260" s="132">
        <v>12125000</v>
      </c>
      <c r="B260" s="132">
        <v>12125000</v>
      </c>
      <c r="C260" s="132">
        <v>12174000</v>
      </c>
      <c r="D260" s="132">
        <v>12173000</v>
      </c>
      <c r="E260" s="133">
        <v>42973</v>
      </c>
      <c r="F260" s="134" t="s">
        <v>1448</v>
      </c>
    </row>
    <row r="261" spans="1:6">
      <c r="A261" s="132">
        <v>12116000</v>
      </c>
      <c r="B261" s="132">
        <v>12105000</v>
      </c>
      <c r="C261" s="132">
        <v>12131000</v>
      </c>
      <c r="D261" s="132">
        <v>12122000</v>
      </c>
      <c r="E261" s="133">
        <v>42971</v>
      </c>
      <c r="F261" s="134" t="s">
        <v>1449</v>
      </c>
    </row>
    <row r="262" spans="1:6">
      <c r="A262" s="132">
        <v>12102000</v>
      </c>
      <c r="B262" s="132">
        <v>12098000</v>
      </c>
      <c r="C262" s="132">
        <v>12124000</v>
      </c>
      <c r="D262" s="132">
        <v>12106000</v>
      </c>
      <c r="E262" s="133">
        <v>42970</v>
      </c>
      <c r="F262" s="134" t="s">
        <v>1450</v>
      </c>
    </row>
    <row r="263" spans="1:6">
      <c r="A263" s="132">
        <v>12136000</v>
      </c>
      <c r="B263" s="132">
        <v>12097000</v>
      </c>
      <c r="C263" s="132">
        <v>12136000</v>
      </c>
      <c r="D263" s="132">
        <v>12107000</v>
      </c>
      <c r="E263" s="133">
        <v>42969</v>
      </c>
      <c r="F263" s="134" t="s">
        <v>1451</v>
      </c>
    </row>
    <row r="264" spans="1:6">
      <c r="A264" s="132">
        <v>12072000</v>
      </c>
      <c r="B264" s="132">
        <v>12063000</v>
      </c>
      <c r="C264" s="132">
        <v>12141000</v>
      </c>
      <c r="D264" s="132">
        <v>12141000</v>
      </c>
      <c r="E264" s="133">
        <v>42968</v>
      </c>
      <c r="F264" s="134" t="s">
        <v>1452</v>
      </c>
    </row>
    <row r="265" spans="1:6">
      <c r="A265" s="132">
        <v>12089000</v>
      </c>
      <c r="B265" s="132">
        <v>12061000</v>
      </c>
      <c r="C265" s="132">
        <v>12098000</v>
      </c>
      <c r="D265" s="132">
        <v>12073000</v>
      </c>
      <c r="E265" s="133">
        <v>42967</v>
      </c>
      <c r="F265" s="134" t="s">
        <v>1453</v>
      </c>
    </row>
    <row r="266" spans="1:6">
      <c r="A266" s="132">
        <v>12108000</v>
      </c>
      <c r="B266" s="132">
        <v>12068000</v>
      </c>
      <c r="C266" s="132">
        <v>12119000</v>
      </c>
      <c r="D266" s="132">
        <v>12088000</v>
      </c>
      <c r="E266" s="133">
        <v>42966</v>
      </c>
      <c r="F266" s="134" t="s">
        <v>1454</v>
      </c>
    </row>
    <row r="267" spans="1:6">
      <c r="A267" s="132">
        <v>12141000</v>
      </c>
      <c r="B267" s="132">
        <v>12115000</v>
      </c>
      <c r="C267" s="132">
        <v>12153000</v>
      </c>
      <c r="D267" s="132">
        <v>12122000</v>
      </c>
      <c r="E267" s="133">
        <v>42964</v>
      </c>
      <c r="F267" s="134" t="s">
        <v>1455</v>
      </c>
    </row>
    <row r="268" spans="1:6">
      <c r="A268" s="132">
        <v>12122000</v>
      </c>
      <c r="B268" s="132">
        <v>12105000</v>
      </c>
      <c r="C268" s="132">
        <v>12136000</v>
      </c>
      <c r="D268" s="132">
        <v>12122000</v>
      </c>
      <c r="E268" s="133">
        <v>42963</v>
      </c>
      <c r="F268" s="134" t="s">
        <v>1456</v>
      </c>
    </row>
    <row r="269" spans="1:6">
      <c r="A269" s="132">
        <v>12144000</v>
      </c>
      <c r="B269" s="132">
        <v>12114000</v>
      </c>
      <c r="C269" s="132">
        <v>12147000</v>
      </c>
      <c r="D269" s="132">
        <v>12130000</v>
      </c>
      <c r="E269" s="133">
        <v>42962</v>
      </c>
      <c r="F269" s="134" t="s">
        <v>1457</v>
      </c>
    </row>
    <row r="270" spans="1:6">
      <c r="A270" s="132">
        <v>12214000</v>
      </c>
      <c r="B270" s="132">
        <v>12155000</v>
      </c>
      <c r="C270" s="132">
        <v>12216000</v>
      </c>
      <c r="D270" s="132">
        <v>12177000</v>
      </c>
      <c r="E270" s="133">
        <v>42961</v>
      </c>
      <c r="F270" s="134" t="s">
        <v>1458</v>
      </c>
    </row>
    <row r="271" spans="1:6">
      <c r="A271" s="132">
        <v>12237000</v>
      </c>
      <c r="B271" s="132">
        <v>12220500</v>
      </c>
      <c r="C271" s="132">
        <v>12240500</v>
      </c>
      <c r="D271" s="132">
        <v>12226000</v>
      </c>
      <c r="E271" s="133">
        <v>42960</v>
      </c>
      <c r="F271" s="134" t="s">
        <v>1459</v>
      </c>
    </row>
    <row r="272" spans="1:6">
      <c r="A272" s="132">
        <v>12260000</v>
      </c>
      <c r="B272" s="132">
        <v>12222000</v>
      </c>
      <c r="C272" s="132">
        <v>12261500</v>
      </c>
      <c r="D272" s="132">
        <v>12235500</v>
      </c>
      <c r="E272" s="133">
        <v>42959</v>
      </c>
      <c r="F272" s="134" t="s">
        <v>1460</v>
      </c>
    </row>
    <row r="273" spans="1:6">
      <c r="A273" s="132">
        <v>12215000</v>
      </c>
      <c r="B273" s="132">
        <v>12214000</v>
      </c>
      <c r="C273" s="132">
        <v>12225500</v>
      </c>
      <c r="D273" s="132">
        <v>12219000</v>
      </c>
      <c r="E273" s="133">
        <v>42957</v>
      </c>
      <c r="F273" s="134" t="s">
        <v>1461</v>
      </c>
    </row>
    <row r="274" spans="1:6">
      <c r="A274" s="132">
        <v>12212500</v>
      </c>
      <c r="B274" s="132">
        <v>12191000</v>
      </c>
      <c r="C274" s="132">
        <v>12232000</v>
      </c>
      <c r="D274" s="132">
        <v>12199000</v>
      </c>
      <c r="E274" s="133">
        <v>42956</v>
      </c>
      <c r="F274" s="134" t="s">
        <v>1462</v>
      </c>
    </row>
    <row r="275" spans="1:6">
      <c r="A275" s="132">
        <v>12179000</v>
      </c>
      <c r="B275" s="132">
        <v>12156000</v>
      </c>
      <c r="C275" s="132">
        <v>12224500</v>
      </c>
      <c r="D275" s="132">
        <v>12204500</v>
      </c>
      <c r="E275" s="133">
        <v>42955</v>
      </c>
      <c r="F275" s="134" t="s">
        <v>1463</v>
      </c>
    </row>
    <row r="276" spans="1:6">
      <c r="A276" s="132">
        <v>12146500</v>
      </c>
      <c r="B276" s="132">
        <v>12119500</v>
      </c>
      <c r="C276" s="132">
        <v>12188500</v>
      </c>
      <c r="D276" s="132">
        <v>12182500</v>
      </c>
      <c r="E276" s="133">
        <v>42954</v>
      </c>
      <c r="F276" s="134" t="s">
        <v>1464</v>
      </c>
    </row>
    <row r="277" spans="1:6">
      <c r="A277" s="132">
        <v>12181000</v>
      </c>
      <c r="B277" s="132">
        <v>12144500</v>
      </c>
      <c r="C277" s="132">
        <v>12191500</v>
      </c>
      <c r="D277" s="132">
        <v>12147500</v>
      </c>
      <c r="E277" s="133">
        <v>42953</v>
      </c>
      <c r="F277" s="134" t="s">
        <v>1465</v>
      </c>
    </row>
    <row r="278" spans="1:6">
      <c r="A278" s="132">
        <v>12185500</v>
      </c>
      <c r="B278" s="132">
        <v>12179000</v>
      </c>
      <c r="C278" s="132">
        <v>12188000</v>
      </c>
      <c r="D278" s="132">
        <v>12181500</v>
      </c>
      <c r="E278" s="133">
        <v>42952</v>
      </c>
      <c r="F278" s="134" t="s">
        <v>1466</v>
      </c>
    </row>
    <row r="279" spans="1:6">
      <c r="A279" s="132">
        <v>12193500</v>
      </c>
      <c r="B279" s="132">
        <v>12177000</v>
      </c>
      <c r="C279" s="132">
        <v>12201000</v>
      </c>
      <c r="D279" s="132">
        <v>12196500</v>
      </c>
      <c r="E279" s="133">
        <v>42950</v>
      </c>
      <c r="F279" s="134" t="s">
        <v>1467</v>
      </c>
    </row>
    <row r="280" spans="1:6">
      <c r="A280" s="132">
        <v>12170000</v>
      </c>
      <c r="B280" s="132">
        <v>12163000</v>
      </c>
      <c r="C280" s="132">
        <v>12210000</v>
      </c>
      <c r="D280" s="132">
        <v>12203500</v>
      </c>
      <c r="E280" s="133">
        <v>42949</v>
      </c>
      <c r="F280" s="134" t="s">
        <v>1468</v>
      </c>
    </row>
    <row r="281" spans="1:6">
      <c r="A281" s="132">
        <v>12170500</v>
      </c>
      <c r="B281" s="132">
        <v>12166000</v>
      </c>
      <c r="C281" s="132">
        <v>12188500</v>
      </c>
      <c r="D281" s="132">
        <v>12177500</v>
      </c>
      <c r="E281" s="133">
        <v>42948</v>
      </c>
      <c r="F281" s="134" t="s">
        <v>1469</v>
      </c>
    </row>
    <row r="282" spans="1:6">
      <c r="A282" s="132">
        <v>12192500</v>
      </c>
      <c r="B282" s="132">
        <v>12150000</v>
      </c>
      <c r="C282" s="132">
        <v>12195500</v>
      </c>
      <c r="D282" s="132">
        <v>12168500</v>
      </c>
      <c r="E282" s="133">
        <v>42947</v>
      </c>
      <c r="F282" s="134" t="s">
        <v>1470</v>
      </c>
    </row>
    <row r="283" spans="1:6">
      <c r="A283" s="132">
        <v>12217000</v>
      </c>
      <c r="B283" s="132">
        <v>12188000</v>
      </c>
      <c r="C283" s="132">
        <v>12249500</v>
      </c>
      <c r="D283" s="132">
        <v>12193000</v>
      </c>
      <c r="E283" s="133">
        <v>42946</v>
      </c>
      <c r="F283" s="134" t="s">
        <v>1471</v>
      </c>
    </row>
    <row r="284" spans="1:6">
      <c r="A284" s="132">
        <v>12146500</v>
      </c>
      <c r="B284" s="132">
        <v>12145000</v>
      </c>
      <c r="C284" s="132">
        <v>12223000</v>
      </c>
      <c r="D284" s="132">
        <v>12215000</v>
      </c>
      <c r="E284" s="133">
        <v>42945</v>
      </c>
      <c r="F284" s="134" t="s">
        <v>1472</v>
      </c>
    </row>
    <row r="285" spans="1:6">
      <c r="A285" s="132">
        <v>12132500</v>
      </c>
      <c r="B285" s="132">
        <v>12124000</v>
      </c>
      <c r="C285" s="132">
        <v>12166500</v>
      </c>
      <c r="D285" s="132">
        <v>12128000</v>
      </c>
      <c r="E285" s="133">
        <v>42943</v>
      </c>
      <c r="F285" s="134" t="s">
        <v>1473</v>
      </c>
    </row>
    <row r="286" spans="1:6">
      <c r="A286" s="132">
        <v>12017000</v>
      </c>
      <c r="B286" s="132">
        <v>12017000</v>
      </c>
      <c r="C286" s="132">
        <v>12124500</v>
      </c>
      <c r="D286" s="132">
        <v>12117500</v>
      </c>
      <c r="E286" s="133">
        <v>42942</v>
      </c>
      <c r="F286" s="134" t="s">
        <v>1474</v>
      </c>
    </row>
    <row r="287" spans="1:6">
      <c r="A287" s="132">
        <v>12000000</v>
      </c>
      <c r="B287" s="132">
        <v>12000000</v>
      </c>
      <c r="C287" s="132">
        <v>12046000</v>
      </c>
      <c r="D287" s="132">
        <v>12025500</v>
      </c>
      <c r="E287" s="133">
        <v>42941</v>
      </c>
      <c r="F287" s="134" t="s">
        <v>1475</v>
      </c>
    </row>
    <row r="288" spans="1:6">
      <c r="A288" s="132">
        <v>12006000</v>
      </c>
      <c r="B288" s="132">
        <v>11973500</v>
      </c>
      <c r="C288" s="132">
        <v>12006000</v>
      </c>
      <c r="D288" s="132">
        <v>11993000</v>
      </c>
      <c r="E288" s="133">
        <v>42940</v>
      </c>
      <c r="F288" s="134" t="s">
        <v>1476</v>
      </c>
    </row>
    <row r="289" spans="1:6">
      <c r="A289" s="132">
        <v>12051500</v>
      </c>
      <c r="B289" s="132">
        <v>12018500</v>
      </c>
      <c r="C289" s="132">
        <v>12068500</v>
      </c>
      <c r="D289" s="132">
        <v>12023000</v>
      </c>
      <c r="E289" s="133">
        <v>42938</v>
      </c>
      <c r="F289" s="134" t="s">
        <v>1477</v>
      </c>
    </row>
    <row r="290" spans="1:6">
      <c r="A290" s="132">
        <v>12017000</v>
      </c>
      <c r="B290" s="132">
        <v>11993000</v>
      </c>
      <c r="C290" s="132">
        <v>12020000</v>
      </c>
      <c r="D290" s="132">
        <v>12007500</v>
      </c>
      <c r="E290" s="133">
        <v>42939</v>
      </c>
      <c r="F290" s="134" t="s">
        <v>1478</v>
      </c>
    </row>
    <row r="291" spans="1:6">
      <c r="A291" s="132">
        <v>12042000</v>
      </c>
      <c r="B291" s="132">
        <v>12038000</v>
      </c>
      <c r="C291" s="132">
        <v>12049000</v>
      </c>
      <c r="D291" s="132">
        <v>12046500</v>
      </c>
      <c r="E291" s="133">
        <v>42936</v>
      </c>
      <c r="F291" s="134" t="s">
        <v>1479</v>
      </c>
    </row>
    <row r="292" spans="1:6">
      <c r="A292" s="132">
        <v>12049500</v>
      </c>
      <c r="B292" s="132">
        <v>12038000</v>
      </c>
      <c r="C292" s="132">
        <v>12049500</v>
      </c>
      <c r="D292" s="132">
        <v>12045000</v>
      </c>
      <c r="E292" s="133">
        <v>42935</v>
      </c>
      <c r="F292" s="134" t="s">
        <v>1480</v>
      </c>
    </row>
    <row r="293" spans="1:6">
      <c r="A293" s="132">
        <v>12060000</v>
      </c>
      <c r="B293" s="132">
        <v>12034000</v>
      </c>
      <c r="C293" s="132">
        <v>12064000</v>
      </c>
      <c r="D293" s="132">
        <v>12050000</v>
      </c>
      <c r="E293" s="133">
        <v>42934</v>
      </c>
      <c r="F293" s="134" t="s">
        <v>1481</v>
      </c>
    </row>
    <row r="294" spans="1:6">
      <c r="A294" s="132">
        <v>12071000</v>
      </c>
      <c r="B294" s="132">
        <v>12057000</v>
      </c>
      <c r="C294" s="132">
        <v>12080500</v>
      </c>
      <c r="D294" s="132">
        <v>12060500</v>
      </c>
      <c r="E294" s="133">
        <v>42933</v>
      </c>
      <c r="F294" s="134" t="s">
        <v>1482</v>
      </c>
    </row>
    <row r="295" spans="1:6">
      <c r="A295" s="132">
        <v>12087500</v>
      </c>
      <c r="B295" s="132">
        <v>12058500</v>
      </c>
      <c r="C295" s="132">
        <v>12103500</v>
      </c>
      <c r="D295" s="132">
        <v>12072000</v>
      </c>
      <c r="E295" s="133">
        <v>42932</v>
      </c>
      <c r="F295" s="134" t="s">
        <v>1483</v>
      </c>
    </row>
    <row r="296" spans="1:6">
      <c r="A296" s="132">
        <v>12074500</v>
      </c>
      <c r="B296" s="132">
        <v>12074000</v>
      </c>
      <c r="C296" s="132">
        <v>12094000</v>
      </c>
      <c r="D296" s="132">
        <v>12086500</v>
      </c>
      <c r="E296" s="133">
        <v>42931</v>
      </c>
      <c r="F296" s="134" t="s">
        <v>1484</v>
      </c>
    </row>
    <row r="297" spans="1:6">
      <c r="A297" s="132">
        <v>12090000</v>
      </c>
      <c r="B297" s="132">
        <v>12062500</v>
      </c>
      <c r="C297" s="132">
        <v>12096500</v>
      </c>
      <c r="D297" s="132">
        <v>12067500</v>
      </c>
      <c r="E297" s="133">
        <v>42929</v>
      </c>
      <c r="F297" s="134" t="s">
        <v>1485</v>
      </c>
    </row>
    <row r="298" spans="1:6">
      <c r="A298" s="132">
        <v>12104500</v>
      </c>
      <c r="B298" s="132">
        <v>12090500</v>
      </c>
      <c r="C298" s="132">
        <v>12125000</v>
      </c>
      <c r="D298" s="132">
        <v>12095500</v>
      </c>
      <c r="E298" s="133">
        <v>42928</v>
      </c>
      <c r="F298" s="134" t="s">
        <v>1486</v>
      </c>
    </row>
    <row r="299" spans="1:6">
      <c r="A299" s="132">
        <v>12098500</v>
      </c>
      <c r="B299" s="132">
        <v>12090500</v>
      </c>
      <c r="C299" s="132">
        <v>12123500</v>
      </c>
      <c r="D299" s="132">
        <v>12106000</v>
      </c>
      <c r="E299" s="133">
        <v>42927</v>
      </c>
      <c r="F299" s="134" t="s">
        <v>1487</v>
      </c>
    </row>
    <row r="300" spans="1:6">
      <c r="A300" s="132">
        <v>12102500</v>
      </c>
      <c r="B300" s="132">
        <v>12091500</v>
      </c>
      <c r="C300" s="132">
        <v>12137000</v>
      </c>
      <c r="D300" s="132">
        <v>12108500</v>
      </c>
      <c r="E300" s="133">
        <v>42926</v>
      </c>
      <c r="F300" s="134" t="s">
        <v>1488</v>
      </c>
    </row>
    <row r="301" spans="1:6">
      <c r="A301" s="132">
        <v>12059500</v>
      </c>
      <c r="B301" s="132">
        <v>12046000</v>
      </c>
      <c r="C301" s="132">
        <v>12111000</v>
      </c>
      <c r="D301" s="132">
        <v>12107500</v>
      </c>
      <c r="E301" s="133">
        <v>42925</v>
      </c>
      <c r="F301" s="134" t="s">
        <v>1489</v>
      </c>
    </row>
    <row r="302" spans="1:6">
      <c r="A302" s="132">
        <v>12104500</v>
      </c>
      <c r="B302" s="132">
        <v>12062000</v>
      </c>
      <c r="C302" s="132">
        <v>12107000</v>
      </c>
      <c r="D302" s="132">
        <v>12064500</v>
      </c>
      <c r="E302" s="133">
        <v>42924</v>
      </c>
      <c r="F302" s="134" t="s">
        <v>1490</v>
      </c>
    </row>
    <row r="303" spans="1:6">
      <c r="A303" s="132">
        <v>12121000</v>
      </c>
      <c r="B303" s="132">
        <v>12111500</v>
      </c>
      <c r="C303" s="132">
        <v>12124000</v>
      </c>
      <c r="D303" s="132">
        <v>12119000</v>
      </c>
      <c r="E303" s="133">
        <v>42922</v>
      </c>
      <c r="F303" s="134" t="s">
        <v>1491</v>
      </c>
    </row>
    <row r="304" spans="1:6">
      <c r="A304" s="132">
        <v>12115000</v>
      </c>
      <c r="B304" s="132">
        <v>12109000</v>
      </c>
      <c r="C304" s="132">
        <v>12135500</v>
      </c>
      <c r="D304" s="132">
        <v>12122000</v>
      </c>
      <c r="E304" s="133">
        <v>42921</v>
      </c>
      <c r="F304" s="134" t="s">
        <v>1492</v>
      </c>
    </row>
    <row r="305" spans="1:6">
      <c r="A305" s="132">
        <v>12143000</v>
      </c>
      <c r="B305" s="132">
        <v>12109500</v>
      </c>
      <c r="C305" s="132">
        <v>12144000</v>
      </c>
      <c r="D305" s="132">
        <v>12119000</v>
      </c>
      <c r="E305" s="133">
        <v>42920</v>
      </c>
      <c r="F305" s="134" t="s">
        <v>1493</v>
      </c>
    </row>
    <row r="306" spans="1:6">
      <c r="A306" s="132">
        <v>12178000</v>
      </c>
      <c r="B306" s="132">
        <v>12139000</v>
      </c>
      <c r="C306" s="132">
        <v>12183000</v>
      </c>
      <c r="D306" s="132">
        <v>12142500</v>
      </c>
      <c r="E306" s="133">
        <v>42919</v>
      </c>
      <c r="F306" s="134" t="s">
        <v>1494</v>
      </c>
    </row>
    <row r="307" spans="1:6">
      <c r="A307" s="132">
        <v>12184500</v>
      </c>
      <c r="B307" s="132">
        <v>12179500</v>
      </c>
      <c r="C307" s="132">
        <v>12195500</v>
      </c>
      <c r="D307" s="132">
        <v>12185000</v>
      </c>
      <c r="E307" s="133">
        <v>42918</v>
      </c>
      <c r="F307" s="134" t="s">
        <v>1495</v>
      </c>
    </row>
    <row r="308" spans="1:6">
      <c r="A308" s="132">
        <v>12153500</v>
      </c>
      <c r="B308" s="132">
        <v>12151000</v>
      </c>
      <c r="C308" s="132">
        <v>12195000</v>
      </c>
      <c r="D308" s="132">
        <v>12181000</v>
      </c>
      <c r="E308" s="133">
        <v>42917</v>
      </c>
      <c r="F308" s="134" t="s">
        <v>1496</v>
      </c>
    </row>
    <row r="309" spans="1:6">
      <c r="A309" s="132">
        <v>12150000</v>
      </c>
      <c r="B309" s="132">
        <v>12148000</v>
      </c>
      <c r="C309" s="132">
        <v>12167500</v>
      </c>
      <c r="D309" s="132">
        <v>12159000</v>
      </c>
      <c r="E309" s="133">
        <v>42915</v>
      </c>
      <c r="F309" s="134" t="s">
        <v>1497</v>
      </c>
    </row>
    <row r="310" spans="1:6">
      <c r="A310" s="132">
        <v>12128500</v>
      </c>
      <c r="B310" s="132">
        <v>12121500</v>
      </c>
      <c r="C310" s="132">
        <v>12151000</v>
      </c>
      <c r="D310" s="132">
        <v>12148500</v>
      </c>
      <c r="E310" s="133">
        <v>42914</v>
      </c>
      <c r="F310" s="134" t="s">
        <v>1498</v>
      </c>
    </row>
    <row r="311" spans="1:6">
      <c r="A311" s="132">
        <v>12125000</v>
      </c>
      <c r="B311" s="132">
        <v>12125000</v>
      </c>
      <c r="C311" s="132">
        <v>12134000</v>
      </c>
      <c r="D311" s="132">
        <v>12130000</v>
      </c>
      <c r="E311" s="133">
        <v>42913</v>
      </c>
      <c r="F311" s="134" t="s">
        <v>1499</v>
      </c>
    </row>
    <row r="312" spans="1:6">
      <c r="A312" s="132">
        <v>12138500</v>
      </c>
      <c r="B312" s="132">
        <v>12122500</v>
      </c>
      <c r="C312" s="132">
        <v>12138500</v>
      </c>
      <c r="D312" s="132">
        <v>12125500</v>
      </c>
      <c r="E312" s="133">
        <v>42912</v>
      </c>
      <c r="F312" s="134" t="s">
        <v>1500</v>
      </c>
    </row>
    <row r="313" spans="1:6">
      <c r="A313" s="132">
        <v>12111000</v>
      </c>
      <c r="B313" s="132">
        <v>12095500</v>
      </c>
      <c r="C313" s="132">
        <v>12140500</v>
      </c>
      <c r="D313" s="132">
        <v>12138000</v>
      </c>
      <c r="E313" s="133">
        <v>42911</v>
      </c>
      <c r="F313" s="134" t="s">
        <v>1501</v>
      </c>
    </row>
    <row r="314" spans="1:6">
      <c r="A314" s="132">
        <v>12115500</v>
      </c>
      <c r="B314" s="132">
        <v>12106000</v>
      </c>
      <c r="C314" s="132">
        <v>12140000</v>
      </c>
      <c r="D314" s="132">
        <v>12109000</v>
      </c>
      <c r="E314" s="133">
        <v>42910</v>
      </c>
      <c r="F314" s="134" t="s">
        <v>1502</v>
      </c>
    </row>
    <row r="315" spans="1:6">
      <c r="A315" s="132">
        <v>12096500</v>
      </c>
      <c r="B315" s="132">
        <v>12096000</v>
      </c>
      <c r="C315" s="132">
        <v>12125500</v>
      </c>
      <c r="D315" s="132">
        <v>12117000</v>
      </c>
      <c r="E315" s="133">
        <v>42908</v>
      </c>
      <c r="F315" s="134" t="s">
        <v>1503</v>
      </c>
    </row>
    <row r="316" spans="1:6">
      <c r="A316" s="132">
        <v>12124500</v>
      </c>
      <c r="B316" s="132">
        <v>12075000</v>
      </c>
      <c r="C316" s="132">
        <v>12124500</v>
      </c>
      <c r="D316" s="132">
        <v>12089500</v>
      </c>
      <c r="E316" s="133">
        <v>42907</v>
      </c>
      <c r="F316" s="134" t="s">
        <v>1504</v>
      </c>
    </row>
    <row r="317" spans="1:6">
      <c r="A317" s="132">
        <v>12120500</v>
      </c>
      <c r="B317" s="132">
        <v>12094500</v>
      </c>
      <c r="C317" s="132">
        <v>12140000</v>
      </c>
      <c r="D317" s="132">
        <v>12119000</v>
      </c>
      <c r="E317" s="133">
        <v>42906</v>
      </c>
      <c r="F317" s="134" t="s">
        <v>1505</v>
      </c>
    </row>
    <row r="318" spans="1:6">
      <c r="A318" s="132">
        <v>12199000</v>
      </c>
      <c r="B318" s="132">
        <v>12116500</v>
      </c>
      <c r="C318" s="132">
        <v>12207000</v>
      </c>
      <c r="D318" s="132">
        <v>12118500</v>
      </c>
      <c r="E318" s="133">
        <v>42905</v>
      </c>
      <c r="F318" s="134" t="s">
        <v>1506</v>
      </c>
    </row>
    <row r="319" spans="1:6">
      <c r="A319" s="132">
        <v>12160500</v>
      </c>
      <c r="B319" s="132">
        <v>12152500</v>
      </c>
      <c r="C319" s="132">
        <v>12228000</v>
      </c>
      <c r="D319" s="132">
        <v>12195000</v>
      </c>
      <c r="E319" s="133">
        <v>42904</v>
      </c>
      <c r="F319" s="134" t="s">
        <v>1507</v>
      </c>
    </row>
    <row r="320" spans="1:6">
      <c r="A320" s="132">
        <v>12031500</v>
      </c>
      <c r="B320" s="132">
        <v>12029000</v>
      </c>
      <c r="C320" s="132">
        <v>12172000</v>
      </c>
      <c r="D320" s="132">
        <v>12164500</v>
      </c>
      <c r="E320" s="133">
        <v>42903</v>
      </c>
      <c r="F320" s="134" t="s">
        <v>1508</v>
      </c>
    </row>
    <row r="321" spans="1:6">
      <c r="A321" s="132">
        <v>12003000</v>
      </c>
      <c r="B321" s="132">
        <v>11990000</v>
      </c>
      <c r="C321" s="132">
        <v>12004500</v>
      </c>
      <c r="D321" s="132">
        <v>12000000</v>
      </c>
      <c r="E321" s="133">
        <v>42901</v>
      </c>
      <c r="F321" s="134" t="s">
        <v>1509</v>
      </c>
    </row>
    <row r="322" spans="1:6">
      <c r="A322" s="132">
        <v>12012000</v>
      </c>
      <c r="B322" s="132">
        <v>11998000</v>
      </c>
      <c r="C322" s="132">
        <v>12020000</v>
      </c>
      <c r="D322" s="132">
        <v>12014500</v>
      </c>
      <c r="E322" s="133">
        <v>42900</v>
      </c>
      <c r="F322" s="134" t="s">
        <v>1510</v>
      </c>
    </row>
    <row r="323" spans="1:6">
      <c r="A323" s="132">
        <v>11996000</v>
      </c>
      <c r="B323" s="132">
        <v>11976000</v>
      </c>
      <c r="C323" s="132">
        <v>12008000</v>
      </c>
      <c r="D323" s="132">
        <v>12008000</v>
      </c>
      <c r="E323" s="133">
        <v>42899</v>
      </c>
      <c r="F323" s="134" t="s">
        <v>1511</v>
      </c>
    </row>
    <row r="324" spans="1:6">
      <c r="A324" s="132">
        <v>11997000</v>
      </c>
      <c r="B324" s="132">
        <v>11983000</v>
      </c>
      <c r="C324" s="132">
        <v>12009000</v>
      </c>
      <c r="D324" s="132">
        <v>11990000</v>
      </c>
      <c r="E324" s="133">
        <v>42898</v>
      </c>
      <c r="F324" s="134" t="s">
        <v>1512</v>
      </c>
    </row>
    <row r="325" spans="1:6">
      <c r="A325" s="132">
        <v>11983000</v>
      </c>
      <c r="B325" s="132">
        <v>11981500</v>
      </c>
      <c r="C325" s="132">
        <v>12014500</v>
      </c>
      <c r="D325" s="132">
        <v>12000000</v>
      </c>
      <c r="E325" s="133">
        <v>42897</v>
      </c>
      <c r="F325" s="134" t="s">
        <v>1513</v>
      </c>
    </row>
    <row r="326" spans="1:6">
      <c r="A326" s="132">
        <v>12014000</v>
      </c>
      <c r="B326" s="132">
        <v>11972000</v>
      </c>
      <c r="C326" s="132">
        <v>12017500</v>
      </c>
      <c r="D326" s="132">
        <v>11984000</v>
      </c>
      <c r="E326" s="133">
        <v>42896</v>
      </c>
      <c r="F326" s="134" t="s">
        <v>1514</v>
      </c>
    </row>
    <row r="327" spans="1:6">
      <c r="A327" s="132">
        <v>12049500</v>
      </c>
      <c r="B327" s="132">
        <v>12024000</v>
      </c>
      <c r="C327" s="132">
        <v>12054500</v>
      </c>
      <c r="D327" s="132">
        <v>12029500</v>
      </c>
      <c r="E327" s="133">
        <v>42894</v>
      </c>
      <c r="F327" s="134" t="s">
        <v>1515</v>
      </c>
    </row>
    <row r="328" spans="1:6">
      <c r="A328" s="132">
        <v>12049000</v>
      </c>
      <c r="B328" s="132">
        <v>12047500</v>
      </c>
      <c r="C328" s="132">
        <v>12078500</v>
      </c>
      <c r="D328" s="132">
        <v>12052500</v>
      </c>
      <c r="E328" s="133">
        <v>42893</v>
      </c>
      <c r="F328" s="134" t="s">
        <v>1516</v>
      </c>
    </row>
    <row r="329" spans="1:6">
      <c r="A329" s="132">
        <v>12029500</v>
      </c>
      <c r="B329" s="132">
        <v>12029500</v>
      </c>
      <c r="C329" s="132">
        <v>12064500</v>
      </c>
      <c r="D329" s="132">
        <v>12051000</v>
      </c>
      <c r="E329" s="133">
        <v>42892</v>
      </c>
      <c r="F329" s="134" t="s">
        <v>1517</v>
      </c>
    </row>
    <row r="330" spans="1:6">
      <c r="A330" s="132">
        <v>12026500</v>
      </c>
      <c r="B330" s="132">
        <v>12009500</v>
      </c>
      <c r="C330" s="132">
        <v>12030500</v>
      </c>
      <c r="D330" s="132">
        <v>12017000</v>
      </c>
      <c r="E330" s="133">
        <v>42891</v>
      </c>
      <c r="F330" s="134" t="s">
        <v>1518</v>
      </c>
    </row>
    <row r="331" spans="1:6">
      <c r="A331" s="132">
        <v>12028000</v>
      </c>
      <c r="B331" s="132">
        <v>12025500</v>
      </c>
      <c r="C331" s="132">
        <v>12031000</v>
      </c>
      <c r="D331" s="132">
        <v>12028500</v>
      </c>
      <c r="E331" s="133">
        <v>42890</v>
      </c>
      <c r="F331" s="134" t="s">
        <v>1519</v>
      </c>
    </row>
    <row r="332" spans="1:6">
      <c r="A332" s="132">
        <v>12007000</v>
      </c>
      <c r="B332" s="132">
        <v>12007000</v>
      </c>
      <c r="C332" s="132">
        <v>12032000</v>
      </c>
      <c r="D332" s="132">
        <v>12027000</v>
      </c>
      <c r="E332" s="133">
        <v>42889</v>
      </c>
      <c r="F332" s="134" t="s">
        <v>1520</v>
      </c>
    </row>
    <row r="333" spans="1:6">
      <c r="A333" s="132">
        <v>11987500</v>
      </c>
      <c r="B333" s="132">
        <v>11983500</v>
      </c>
      <c r="C333" s="132">
        <v>12010500</v>
      </c>
      <c r="D333" s="132">
        <v>12004000</v>
      </c>
      <c r="E333" s="133">
        <v>42887</v>
      </c>
      <c r="F333" s="134" t="s">
        <v>1521</v>
      </c>
    </row>
    <row r="334" spans="1:6">
      <c r="A334" s="132">
        <v>11991000</v>
      </c>
      <c r="B334" s="132">
        <v>11968000</v>
      </c>
      <c r="C334" s="132">
        <v>11998000</v>
      </c>
      <c r="D334" s="132">
        <v>11990000</v>
      </c>
      <c r="E334" s="133">
        <v>42886</v>
      </c>
      <c r="F334" s="134" t="s">
        <v>1522</v>
      </c>
    </row>
    <row r="335" spans="1:6">
      <c r="A335" s="132">
        <v>12036500</v>
      </c>
      <c r="B335" s="132">
        <v>11988000</v>
      </c>
      <c r="C335" s="132">
        <v>12044500</v>
      </c>
      <c r="D335" s="132">
        <v>11996000</v>
      </c>
      <c r="E335" s="133">
        <v>42885</v>
      </c>
      <c r="F335" s="134" t="s">
        <v>1523</v>
      </c>
    </row>
    <row r="336" spans="1:6">
      <c r="A336" s="132">
        <v>12067500</v>
      </c>
      <c r="B336" s="132">
        <v>12043000</v>
      </c>
      <c r="C336" s="132">
        <v>12074500</v>
      </c>
      <c r="D336" s="132">
        <v>12045500</v>
      </c>
      <c r="E336" s="133">
        <v>42884</v>
      </c>
      <c r="F336" s="134" t="s">
        <v>1524</v>
      </c>
    </row>
    <row r="337" spans="1:6">
      <c r="A337" s="132">
        <v>12054000</v>
      </c>
      <c r="B337" s="132">
        <v>12043000</v>
      </c>
      <c r="C337" s="132">
        <v>12076500</v>
      </c>
      <c r="D337" s="132">
        <v>12065500</v>
      </c>
      <c r="E337" s="133">
        <v>42883</v>
      </c>
      <c r="F337" s="134" t="s">
        <v>1525</v>
      </c>
    </row>
    <row r="338" spans="1:6">
      <c r="A338" s="132">
        <v>12035000</v>
      </c>
      <c r="B338" s="132">
        <v>12026500</v>
      </c>
      <c r="C338" s="132">
        <v>12088500</v>
      </c>
      <c r="D338" s="132">
        <v>12055000</v>
      </c>
      <c r="E338" s="133">
        <v>42882</v>
      </c>
      <c r="F338" s="134" t="s">
        <v>1526</v>
      </c>
    </row>
    <row r="339" spans="1:6">
      <c r="A339" s="132">
        <v>11991000</v>
      </c>
      <c r="B339" s="132">
        <v>11991000</v>
      </c>
      <c r="C339" s="132">
        <v>12038000</v>
      </c>
      <c r="D339" s="132">
        <v>12029000</v>
      </c>
      <c r="E339" s="133">
        <v>42880</v>
      </c>
      <c r="F339" s="134" t="s">
        <v>1527</v>
      </c>
    </row>
    <row r="340" spans="1:6">
      <c r="A340" s="132">
        <v>12062000</v>
      </c>
      <c r="B340" s="132">
        <v>11975500</v>
      </c>
      <c r="C340" s="132">
        <v>12062000</v>
      </c>
      <c r="D340" s="132">
        <v>11984500</v>
      </c>
      <c r="E340" s="133">
        <v>42879</v>
      </c>
      <c r="F340" s="134" t="s">
        <v>1528</v>
      </c>
    </row>
    <row r="341" spans="1:6">
      <c r="A341" s="132">
        <v>12169500</v>
      </c>
      <c r="B341" s="132">
        <v>12148000</v>
      </c>
      <c r="C341" s="132">
        <v>12197500</v>
      </c>
      <c r="D341" s="132">
        <v>12151500</v>
      </c>
      <c r="E341" s="133">
        <v>42876</v>
      </c>
      <c r="F341" s="134" t="s">
        <v>1529</v>
      </c>
    </row>
    <row r="342" spans="1:6">
      <c r="A342" s="132">
        <v>12118500</v>
      </c>
      <c r="B342" s="132">
        <v>12058000</v>
      </c>
      <c r="C342" s="132">
        <v>12148500</v>
      </c>
      <c r="D342" s="132">
        <v>12059500</v>
      </c>
      <c r="E342" s="133">
        <v>42878</v>
      </c>
      <c r="F342" s="134" t="s">
        <v>1530</v>
      </c>
    </row>
    <row r="343" spans="1:6">
      <c r="A343" s="132">
        <v>12201000</v>
      </c>
      <c r="B343" s="132">
        <v>12160000</v>
      </c>
      <c r="C343" s="132">
        <v>12201000</v>
      </c>
      <c r="D343" s="132">
        <v>12167500</v>
      </c>
      <c r="E343" s="133">
        <v>42875</v>
      </c>
      <c r="F343" s="134" t="s">
        <v>1531</v>
      </c>
    </row>
    <row r="344" spans="1:6">
      <c r="A344" s="132">
        <v>12152500</v>
      </c>
      <c r="B344" s="132">
        <v>12085000</v>
      </c>
      <c r="C344" s="132">
        <v>12152500</v>
      </c>
      <c r="D344" s="132">
        <v>12115500</v>
      </c>
      <c r="E344" s="133">
        <v>42877</v>
      </c>
      <c r="F344" s="134" t="s">
        <v>1532</v>
      </c>
    </row>
    <row r="345" spans="1:6">
      <c r="A345" s="132">
        <v>12255500</v>
      </c>
      <c r="B345" s="132">
        <v>12201000</v>
      </c>
      <c r="C345" s="132">
        <v>12265000</v>
      </c>
      <c r="D345" s="132">
        <v>12211000</v>
      </c>
      <c r="E345" s="133">
        <v>42873</v>
      </c>
      <c r="F345" s="134" t="s">
        <v>1533</v>
      </c>
    </row>
    <row r="346" spans="1:6">
      <c r="A346" s="132">
        <v>12166500</v>
      </c>
      <c r="B346" s="132">
        <v>12166500</v>
      </c>
      <c r="C346" s="132">
        <v>12271500</v>
      </c>
      <c r="D346" s="132">
        <v>12256500</v>
      </c>
      <c r="E346" s="133">
        <v>42872</v>
      </c>
      <c r="F346" s="134" t="s">
        <v>1534</v>
      </c>
    </row>
    <row r="347" spans="1:6">
      <c r="A347" s="132">
        <v>12128000</v>
      </c>
      <c r="B347" s="132">
        <v>12101500</v>
      </c>
      <c r="C347" s="132">
        <v>12170500</v>
      </c>
      <c r="D347" s="132">
        <v>12150500</v>
      </c>
      <c r="E347" s="133">
        <v>42871</v>
      </c>
      <c r="F347" s="134" t="s">
        <v>1535</v>
      </c>
    </row>
    <row r="348" spans="1:6">
      <c r="A348" s="132">
        <v>12145500</v>
      </c>
      <c r="B348" s="132">
        <v>12115000</v>
      </c>
      <c r="C348" s="132">
        <v>12171500</v>
      </c>
      <c r="D348" s="132">
        <v>12122000</v>
      </c>
      <c r="E348" s="133">
        <v>42870</v>
      </c>
      <c r="F348" s="134" t="s">
        <v>1536</v>
      </c>
    </row>
    <row r="349" spans="1:6">
      <c r="A349" s="132">
        <v>12096500</v>
      </c>
      <c r="B349" s="132">
        <v>12091500</v>
      </c>
      <c r="C349" s="132">
        <v>12151000</v>
      </c>
      <c r="D349" s="132">
        <v>12140500</v>
      </c>
      <c r="E349" s="133">
        <v>42869</v>
      </c>
      <c r="F349" s="134" t="s">
        <v>1537</v>
      </c>
    </row>
    <row r="350" spans="1:6">
      <c r="A350" s="132">
        <v>12086000</v>
      </c>
      <c r="B350" s="132">
        <v>12060000</v>
      </c>
      <c r="C350" s="132">
        <v>12105000</v>
      </c>
      <c r="D350" s="132">
        <v>12093500</v>
      </c>
      <c r="E350" s="133">
        <v>42868</v>
      </c>
      <c r="F350" s="134" t="s">
        <v>1538</v>
      </c>
    </row>
    <row r="351" spans="1:6">
      <c r="A351" s="132">
        <v>12062500</v>
      </c>
      <c r="B351" s="132">
        <v>12061000</v>
      </c>
      <c r="C351" s="132">
        <v>12090000</v>
      </c>
      <c r="D351" s="132">
        <v>12083500</v>
      </c>
      <c r="E351" s="133">
        <v>42866</v>
      </c>
      <c r="F351" s="134" t="s">
        <v>1539</v>
      </c>
    </row>
    <row r="352" spans="1:6">
      <c r="A352" s="132">
        <v>12049000</v>
      </c>
      <c r="B352" s="132">
        <v>12041000</v>
      </c>
      <c r="C352" s="132">
        <v>12068000</v>
      </c>
      <c r="D352" s="132">
        <v>12060000</v>
      </c>
      <c r="E352" s="133">
        <v>42865</v>
      </c>
      <c r="F352" s="134" t="s">
        <v>1540</v>
      </c>
    </row>
    <row r="353" spans="1:6">
      <c r="A353" s="132">
        <v>12031000</v>
      </c>
      <c r="B353" s="132">
        <v>11996500</v>
      </c>
      <c r="C353" s="132">
        <v>12046500</v>
      </c>
      <c r="D353" s="132">
        <v>12033000</v>
      </c>
      <c r="E353" s="133">
        <v>42864</v>
      </c>
      <c r="F353" s="134" t="s">
        <v>1541</v>
      </c>
    </row>
    <row r="354" spans="1:6">
      <c r="A354" s="132">
        <v>11963500</v>
      </c>
      <c r="B354" s="132">
        <v>11957500</v>
      </c>
      <c r="C354" s="132">
        <v>12049500</v>
      </c>
      <c r="D354" s="132">
        <v>12032000</v>
      </c>
      <c r="E354" s="133">
        <v>42863</v>
      </c>
      <c r="F354" s="134" t="s">
        <v>1542</v>
      </c>
    </row>
    <row r="355" spans="1:6">
      <c r="A355" s="132">
        <v>11923000</v>
      </c>
      <c r="B355" s="132">
        <v>11866500</v>
      </c>
      <c r="C355" s="132">
        <v>11960500</v>
      </c>
      <c r="D355" s="132">
        <v>11956000</v>
      </c>
      <c r="E355" s="133">
        <v>42862</v>
      </c>
      <c r="F355" s="134" t="s">
        <v>1543</v>
      </c>
    </row>
    <row r="356" spans="1:6">
      <c r="A356" s="132">
        <v>12045000</v>
      </c>
      <c r="B356" s="132">
        <v>11950500</v>
      </c>
      <c r="C356" s="132">
        <v>12045000</v>
      </c>
      <c r="D356" s="132">
        <v>11958000</v>
      </c>
      <c r="E356" s="133">
        <v>42861</v>
      </c>
      <c r="F356" s="134" t="s">
        <v>1544</v>
      </c>
    </row>
    <row r="357" spans="1:6">
      <c r="A357" s="132">
        <v>12084000</v>
      </c>
      <c r="B357" s="132">
        <v>12058000</v>
      </c>
      <c r="C357" s="132">
        <v>12088000</v>
      </c>
      <c r="D357" s="132">
        <v>12080000</v>
      </c>
      <c r="E357" s="133">
        <v>42859</v>
      </c>
      <c r="F357" s="134" t="s">
        <v>1545</v>
      </c>
    </row>
    <row r="358" spans="1:6">
      <c r="A358" s="132">
        <v>12100000</v>
      </c>
      <c r="B358" s="132">
        <v>12086000</v>
      </c>
      <c r="C358" s="132">
        <v>12135000</v>
      </c>
      <c r="D358" s="132">
        <v>12113000</v>
      </c>
      <c r="E358" s="133">
        <v>42858</v>
      </c>
      <c r="F358" s="134" t="s">
        <v>1546</v>
      </c>
    </row>
    <row r="359" spans="1:6">
      <c r="A359" s="132">
        <v>12125000</v>
      </c>
      <c r="B359" s="132">
        <v>12084000</v>
      </c>
      <c r="C359" s="132">
        <v>12132000</v>
      </c>
      <c r="D359" s="132">
        <v>12092000</v>
      </c>
      <c r="E359" s="133">
        <v>42857</v>
      </c>
      <c r="F359" s="134" t="s">
        <v>1547</v>
      </c>
    </row>
    <row r="360" spans="1:6">
      <c r="A360" s="132">
        <v>12201000</v>
      </c>
      <c r="B360" s="132">
        <v>12132000</v>
      </c>
      <c r="C360" s="132">
        <v>12201000</v>
      </c>
      <c r="D360" s="132">
        <v>12134000</v>
      </c>
      <c r="E360" s="133">
        <v>42856</v>
      </c>
      <c r="F360" s="134" t="s">
        <v>1548</v>
      </c>
    </row>
    <row r="361" spans="1:6">
      <c r="A361" s="132">
        <v>12187500</v>
      </c>
      <c r="B361" s="132">
        <v>12187500</v>
      </c>
      <c r="C361" s="132">
        <v>12210500</v>
      </c>
      <c r="D361" s="132">
        <v>12202000</v>
      </c>
      <c r="E361" s="133">
        <v>42855</v>
      </c>
      <c r="F361" s="134" t="s">
        <v>1549</v>
      </c>
    </row>
    <row r="362" spans="1:6">
      <c r="A362" s="132">
        <v>12194000</v>
      </c>
      <c r="B362" s="132">
        <v>12159500</v>
      </c>
      <c r="C362" s="132">
        <v>12198000</v>
      </c>
      <c r="D362" s="132">
        <v>12188000</v>
      </c>
      <c r="E362" s="133">
        <v>42854</v>
      </c>
      <c r="F362" s="134" t="s">
        <v>1550</v>
      </c>
    </row>
    <row r="363" spans="1:6">
      <c r="A363" s="132">
        <v>12214500</v>
      </c>
      <c r="B363" s="132">
        <v>12199500</v>
      </c>
      <c r="C363" s="132">
        <v>12218000</v>
      </c>
      <c r="D363" s="132">
        <v>12204000</v>
      </c>
      <c r="E363" s="133">
        <v>42852</v>
      </c>
      <c r="F363" s="134" t="s">
        <v>1551</v>
      </c>
    </row>
    <row r="364" spans="1:6">
      <c r="A364" s="132">
        <v>12195500</v>
      </c>
      <c r="B364" s="132">
        <v>12188000</v>
      </c>
      <c r="C364" s="132">
        <v>12212500</v>
      </c>
      <c r="D364" s="132">
        <v>12199500</v>
      </c>
      <c r="E364" s="133">
        <v>42851</v>
      </c>
      <c r="F364" s="134" t="s">
        <v>1552</v>
      </c>
    </row>
    <row r="365" spans="1:6">
      <c r="A365" s="132">
        <v>12202500</v>
      </c>
      <c r="B365" s="132">
        <v>12192500</v>
      </c>
      <c r="C365" s="132">
        <v>12208500</v>
      </c>
      <c r="D365" s="132">
        <v>12196000</v>
      </c>
      <c r="E365" s="133">
        <v>42850</v>
      </c>
      <c r="F365" s="134" t="s">
        <v>1553</v>
      </c>
    </row>
    <row r="366" spans="1:6">
      <c r="A366" s="132">
        <v>12244000</v>
      </c>
      <c r="B366" s="132">
        <v>12185000</v>
      </c>
      <c r="C366" s="132">
        <v>12244000</v>
      </c>
      <c r="D366" s="132">
        <v>12203500</v>
      </c>
      <c r="E366" s="133">
        <v>42849</v>
      </c>
      <c r="F366" s="134" t="s">
        <v>1554</v>
      </c>
    </row>
    <row r="367" spans="1:6">
      <c r="A367" s="132">
        <v>12235000</v>
      </c>
      <c r="B367" s="132">
        <v>12221500</v>
      </c>
      <c r="C367" s="132">
        <v>12266000</v>
      </c>
      <c r="D367" s="132">
        <v>12250000</v>
      </c>
      <c r="E367" s="133">
        <v>42848</v>
      </c>
      <c r="F367" s="134" t="s">
        <v>1555</v>
      </c>
    </row>
    <row r="368" spans="1:6">
      <c r="A368" s="132">
        <v>12170500</v>
      </c>
      <c r="B368" s="132">
        <v>12165000</v>
      </c>
      <c r="C368" s="132">
        <v>12237500</v>
      </c>
      <c r="D368" s="132">
        <v>12230000</v>
      </c>
      <c r="E368" s="133">
        <v>42847</v>
      </c>
      <c r="F368" s="134" t="s">
        <v>1556</v>
      </c>
    </row>
    <row r="369" spans="1:6">
      <c r="A369" s="132">
        <v>12159000</v>
      </c>
      <c r="B369" s="132">
        <v>12141500</v>
      </c>
      <c r="C369" s="132">
        <v>12173500</v>
      </c>
      <c r="D369" s="132">
        <v>12170000</v>
      </c>
      <c r="E369" s="133">
        <v>42845</v>
      </c>
      <c r="F369" s="134" t="s">
        <v>1557</v>
      </c>
    </row>
    <row r="370" spans="1:6">
      <c r="A370" s="132">
        <v>12226000</v>
      </c>
      <c r="B370" s="132">
        <v>12162500</v>
      </c>
      <c r="C370" s="132">
        <v>12226000</v>
      </c>
      <c r="D370" s="132">
        <v>12167000</v>
      </c>
      <c r="E370" s="133">
        <v>42844</v>
      </c>
      <c r="F370" s="134" t="s">
        <v>1558</v>
      </c>
    </row>
    <row r="371" spans="1:6">
      <c r="A371" s="132">
        <v>12273500</v>
      </c>
      <c r="B371" s="132">
        <v>12190000</v>
      </c>
      <c r="C371" s="132">
        <v>12273500</v>
      </c>
      <c r="D371" s="132">
        <v>12221000</v>
      </c>
      <c r="E371" s="133">
        <v>42843</v>
      </c>
      <c r="F371" s="134" t="s">
        <v>1559</v>
      </c>
    </row>
    <row r="372" spans="1:6">
      <c r="A372" s="132">
        <v>12228500</v>
      </c>
      <c r="B372" s="132">
        <v>12196000</v>
      </c>
      <c r="C372" s="132">
        <v>12306000</v>
      </c>
      <c r="D372" s="132">
        <v>12279000</v>
      </c>
      <c r="E372" s="133">
        <v>42842</v>
      </c>
      <c r="F372" s="134" t="s">
        <v>1560</v>
      </c>
    </row>
    <row r="373" spans="1:6">
      <c r="A373" s="132">
        <v>12161000</v>
      </c>
      <c r="B373" s="132">
        <v>12149500</v>
      </c>
      <c r="C373" s="132">
        <v>12236000</v>
      </c>
      <c r="D373" s="132">
        <v>12226000</v>
      </c>
      <c r="E373" s="133">
        <v>42841</v>
      </c>
      <c r="F373" s="134" t="s">
        <v>1561</v>
      </c>
    </row>
    <row r="374" spans="1:6">
      <c r="A374" s="132">
        <v>12100500</v>
      </c>
      <c r="B374" s="132">
        <v>12097500</v>
      </c>
      <c r="C374" s="132">
        <v>12170000</v>
      </c>
      <c r="D374" s="132">
        <v>12164000</v>
      </c>
      <c r="E374" s="133">
        <v>42840</v>
      </c>
      <c r="F374" s="134" t="s">
        <v>1562</v>
      </c>
    </row>
    <row r="375" spans="1:6">
      <c r="A375" s="132">
        <v>12079000</v>
      </c>
      <c r="B375" s="132">
        <v>12066500</v>
      </c>
      <c r="C375" s="132">
        <v>12092500</v>
      </c>
      <c r="D375" s="132">
        <v>12073500</v>
      </c>
      <c r="E375" s="133">
        <v>42838</v>
      </c>
      <c r="F375" s="134" t="s">
        <v>1563</v>
      </c>
    </row>
    <row r="376" spans="1:6">
      <c r="A376" s="132">
        <v>12020000</v>
      </c>
      <c r="B376" s="132">
        <v>12015000</v>
      </c>
      <c r="C376" s="132">
        <v>12075000</v>
      </c>
      <c r="D376" s="132">
        <v>12061500</v>
      </c>
      <c r="E376" s="133">
        <v>42837</v>
      </c>
      <c r="F376" s="134" t="s">
        <v>1564</v>
      </c>
    </row>
    <row r="377" spans="1:6">
      <c r="A377" s="132">
        <v>11997500</v>
      </c>
      <c r="B377" s="132">
        <v>11997500</v>
      </c>
      <c r="C377" s="132">
        <v>12022500</v>
      </c>
      <c r="D377" s="132">
        <v>12012500</v>
      </c>
      <c r="E377" s="133">
        <v>42836</v>
      </c>
      <c r="F377" s="134" t="s">
        <v>1565</v>
      </c>
    </row>
    <row r="378" spans="1:6">
      <c r="A378" s="132">
        <v>12015000</v>
      </c>
      <c r="B378" s="132">
        <v>11987500</v>
      </c>
      <c r="C378" s="132">
        <v>12026500</v>
      </c>
      <c r="D378" s="132">
        <v>12000000</v>
      </c>
      <c r="E378" s="133">
        <v>42835</v>
      </c>
      <c r="F378" s="134" t="s">
        <v>1566</v>
      </c>
    </row>
    <row r="379" spans="1:6">
      <c r="A379" s="132">
        <v>12020000</v>
      </c>
      <c r="B379" s="132">
        <v>12009000</v>
      </c>
      <c r="C379" s="132">
        <v>12050000</v>
      </c>
      <c r="D379" s="132">
        <v>12014500</v>
      </c>
      <c r="E379" s="133">
        <v>42834</v>
      </c>
      <c r="F379" s="134" t="s">
        <v>1567</v>
      </c>
    </row>
    <row r="380" spans="1:6">
      <c r="A380" s="132">
        <v>12115000</v>
      </c>
      <c r="B380" s="132">
        <v>12005000</v>
      </c>
      <c r="C380" s="132">
        <v>12115000</v>
      </c>
      <c r="D380" s="132">
        <v>12025000</v>
      </c>
      <c r="E380" s="133">
        <v>42833</v>
      </c>
      <c r="F380" s="134" t="s">
        <v>1568</v>
      </c>
    </row>
    <row r="381" spans="1:6">
      <c r="A381" s="132">
        <v>12095000</v>
      </c>
      <c r="B381" s="132">
        <v>12080000</v>
      </c>
      <c r="C381" s="132">
        <v>12125000</v>
      </c>
      <c r="D381" s="132">
        <v>12095000</v>
      </c>
      <c r="E381" s="133">
        <v>42831</v>
      </c>
      <c r="F381" s="134" t="s">
        <v>1569</v>
      </c>
    </row>
    <row r="382" spans="1:6">
      <c r="A382" s="132">
        <v>12090000</v>
      </c>
      <c r="B382" s="132">
        <v>12010000</v>
      </c>
      <c r="C382" s="132">
        <v>12120000</v>
      </c>
      <c r="D382" s="132">
        <v>12100000</v>
      </c>
      <c r="E382" s="133">
        <v>42830</v>
      </c>
      <c r="F382" s="134" t="s">
        <v>1570</v>
      </c>
    </row>
    <row r="383" spans="1:6">
      <c r="A383" s="132">
        <v>12050000</v>
      </c>
      <c r="B383" s="132">
        <v>12040000</v>
      </c>
      <c r="C383" s="132">
        <v>12110000</v>
      </c>
      <c r="D383" s="132">
        <v>12085000</v>
      </c>
      <c r="E383" s="133">
        <v>42829</v>
      </c>
      <c r="F383" s="134" t="s">
        <v>1571</v>
      </c>
    </row>
    <row r="384" spans="1:6">
      <c r="A384" s="132">
        <v>12040000</v>
      </c>
      <c r="B384" s="132">
        <v>11985000</v>
      </c>
      <c r="C384" s="132">
        <v>12040000</v>
      </c>
      <c r="D384" s="132">
        <v>12040000</v>
      </c>
      <c r="E384" s="133">
        <v>42828</v>
      </c>
      <c r="F384" s="134" t="s">
        <v>1572</v>
      </c>
    </row>
    <row r="385" spans="1:6">
      <c r="A385" s="132">
        <v>12035000</v>
      </c>
      <c r="B385" s="132">
        <v>12035000</v>
      </c>
      <c r="C385" s="132">
        <v>12035000</v>
      </c>
      <c r="D385" s="132">
        <v>12035000</v>
      </c>
      <c r="E385" s="133">
        <v>42826</v>
      </c>
      <c r="F385" s="134" t="s">
        <v>1573</v>
      </c>
    </row>
    <row r="386" spans="1:6">
      <c r="A386" s="132">
        <v>12030000</v>
      </c>
      <c r="B386" s="132">
        <v>12015000</v>
      </c>
      <c r="C386" s="132">
        <v>12055000</v>
      </c>
      <c r="D386" s="132">
        <v>12045000</v>
      </c>
      <c r="E386" s="133">
        <v>42824</v>
      </c>
      <c r="F386" s="134" t="s">
        <v>1574</v>
      </c>
    </row>
    <row r="387" spans="1:6">
      <c r="A387" s="132">
        <v>12025000</v>
      </c>
      <c r="B387" s="132">
        <v>12020000</v>
      </c>
      <c r="C387" s="132">
        <v>12045000</v>
      </c>
      <c r="D387" s="132">
        <v>12045000</v>
      </c>
      <c r="E387" s="133">
        <v>42823</v>
      </c>
      <c r="F387" s="134" t="s">
        <v>1575</v>
      </c>
    </row>
    <row r="388" spans="1:6">
      <c r="A388" s="132">
        <v>12067000</v>
      </c>
      <c r="B388" s="132">
        <v>12065000</v>
      </c>
      <c r="C388" s="132">
        <v>12080000</v>
      </c>
      <c r="D388" s="132">
        <v>12077000</v>
      </c>
      <c r="E388" s="133">
        <v>42822</v>
      </c>
      <c r="F388" s="134" t="s">
        <v>1576</v>
      </c>
    </row>
    <row r="389" spans="1:6">
      <c r="A389" s="132">
        <v>12005000</v>
      </c>
      <c r="B389" s="132">
        <v>12005000</v>
      </c>
      <c r="C389" s="132">
        <v>12090000</v>
      </c>
      <c r="D389" s="132">
        <v>12052000</v>
      </c>
      <c r="E389" s="133">
        <v>42821</v>
      </c>
      <c r="F389" s="134" t="s">
        <v>1577</v>
      </c>
    </row>
    <row r="390" spans="1:6">
      <c r="A390" s="132">
        <v>12010000</v>
      </c>
      <c r="B390" s="132">
        <v>11965000</v>
      </c>
      <c r="C390" s="132">
        <v>12010000</v>
      </c>
      <c r="D390" s="132">
        <v>12010000</v>
      </c>
      <c r="E390" s="133">
        <v>42820</v>
      </c>
      <c r="F390" s="134" t="s">
        <v>1578</v>
      </c>
    </row>
    <row r="391" spans="1:6">
      <c r="A391" s="132">
        <v>12008000</v>
      </c>
      <c r="B391" s="132">
        <v>11993000</v>
      </c>
      <c r="C391" s="132">
        <v>12008000</v>
      </c>
      <c r="D391" s="132">
        <v>12008000</v>
      </c>
      <c r="E391" s="133">
        <v>42815</v>
      </c>
      <c r="F391" s="134" t="s">
        <v>1579</v>
      </c>
    </row>
    <row r="392" spans="1:6">
      <c r="A392" s="132">
        <v>11967000</v>
      </c>
      <c r="B392" s="132">
        <v>11925000</v>
      </c>
      <c r="C392" s="132">
        <v>11973000</v>
      </c>
      <c r="D392" s="132">
        <v>11968000</v>
      </c>
      <c r="E392" s="133">
        <v>42812</v>
      </c>
      <c r="F392" s="134" t="s">
        <v>1580</v>
      </c>
    </row>
    <row r="393" spans="1:6">
      <c r="A393" s="132">
        <v>11925000</v>
      </c>
      <c r="B393" s="132">
        <v>11925000</v>
      </c>
      <c r="C393" s="132">
        <v>11982000</v>
      </c>
      <c r="D393" s="132">
        <v>11952000</v>
      </c>
      <c r="E393" s="133">
        <v>42810</v>
      </c>
      <c r="F393" s="134" t="s">
        <v>1581</v>
      </c>
    </row>
    <row r="394" spans="1:6">
      <c r="A394" s="132">
        <v>11890000</v>
      </c>
      <c r="B394" s="132">
        <v>11835000</v>
      </c>
      <c r="C394" s="132">
        <v>11910000</v>
      </c>
      <c r="D394" s="132">
        <v>11885000</v>
      </c>
      <c r="E394" s="133">
        <v>42809</v>
      </c>
      <c r="F394" s="134" t="s">
        <v>1582</v>
      </c>
    </row>
    <row r="395" spans="1:6">
      <c r="A395" s="132">
        <v>11973000</v>
      </c>
      <c r="B395" s="132">
        <v>11870000</v>
      </c>
      <c r="C395" s="132">
        <v>12233000</v>
      </c>
      <c r="D395" s="132">
        <v>11880000</v>
      </c>
      <c r="E395" s="133">
        <v>42808</v>
      </c>
      <c r="F395" s="134" t="s">
        <v>1583</v>
      </c>
    </row>
    <row r="396" spans="1:6">
      <c r="A396" s="132">
        <v>12050000</v>
      </c>
      <c r="B396" s="132">
        <v>11908000</v>
      </c>
      <c r="C396" s="132">
        <v>12213000</v>
      </c>
      <c r="D396" s="132">
        <v>11983000</v>
      </c>
      <c r="E396" s="133">
        <v>42807</v>
      </c>
      <c r="F396" s="134" t="s">
        <v>1584</v>
      </c>
    </row>
    <row r="397" spans="1:6">
      <c r="A397" s="132">
        <v>11885000</v>
      </c>
      <c r="B397" s="132">
        <v>11875000</v>
      </c>
      <c r="C397" s="132">
        <v>12108000</v>
      </c>
      <c r="D397" s="132">
        <v>12100000</v>
      </c>
      <c r="E397" s="133">
        <v>42806</v>
      </c>
      <c r="F397" s="134" t="s">
        <v>1585</v>
      </c>
    </row>
    <row r="398" spans="1:6">
      <c r="A398" s="132">
        <v>11935000</v>
      </c>
      <c r="B398" s="132">
        <v>11856000</v>
      </c>
      <c r="C398" s="132">
        <v>11950000</v>
      </c>
      <c r="D398" s="132">
        <v>11891000</v>
      </c>
      <c r="E398" s="133">
        <v>42805</v>
      </c>
      <c r="F398" s="134" t="s">
        <v>1586</v>
      </c>
    </row>
    <row r="399" spans="1:6">
      <c r="A399" s="132">
        <v>11898000</v>
      </c>
      <c r="B399" s="132">
        <v>11865000</v>
      </c>
      <c r="C399" s="132">
        <v>11965000</v>
      </c>
      <c r="D399" s="132">
        <v>11945000</v>
      </c>
      <c r="E399" s="133">
        <v>42803</v>
      </c>
      <c r="F399" s="134" t="s">
        <v>1587</v>
      </c>
    </row>
    <row r="400" spans="1:6">
      <c r="A400" s="132">
        <v>11990000</v>
      </c>
      <c r="B400" s="132">
        <v>11838000</v>
      </c>
      <c r="C400" s="132">
        <v>11990000</v>
      </c>
      <c r="D400" s="132">
        <v>11878000</v>
      </c>
      <c r="E400" s="133">
        <v>42802</v>
      </c>
      <c r="F400" s="134" t="s">
        <v>1588</v>
      </c>
    </row>
    <row r="401" spans="1:6">
      <c r="A401" s="132">
        <v>12030000</v>
      </c>
      <c r="B401" s="132">
        <v>11987000</v>
      </c>
      <c r="C401" s="132">
        <v>12032000</v>
      </c>
      <c r="D401" s="132">
        <v>11995000</v>
      </c>
      <c r="E401" s="133">
        <v>42801</v>
      </c>
      <c r="F401" s="134" t="s">
        <v>1589</v>
      </c>
    </row>
    <row r="402" spans="1:6">
      <c r="A402" s="132">
        <v>12007000</v>
      </c>
      <c r="B402" s="132">
        <v>11980000</v>
      </c>
      <c r="C402" s="132">
        <v>12038000</v>
      </c>
      <c r="D402" s="132">
        <v>12015000</v>
      </c>
      <c r="E402" s="133">
        <v>42800</v>
      </c>
      <c r="F402" s="134" t="s">
        <v>1590</v>
      </c>
    </row>
    <row r="403" spans="1:6">
      <c r="A403" s="132">
        <v>12039000</v>
      </c>
      <c r="B403" s="132">
        <v>11981000</v>
      </c>
      <c r="C403" s="132">
        <v>12050000</v>
      </c>
      <c r="D403" s="132">
        <v>12012000</v>
      </c>
      <c r="E403" s="133">
        <v>42799</v>
      </c>
      <c r="F403" s="134" t="s">
        <v>1591</v>
      </c>
    </row>
    <row r="404" spans="1:6">
      <c r="A404" s="132">
        <v>11960000</v>
      </c>
      <c r="B404" s="132">
        <v>11945000</v>
      </c>
      <c r="C404" s="132">
        <v>12034000</v>
      </c>
      <c r="D404" s="132">
        <v>12029000</v>
      </c>
      <c r="E404" s="133">
        <v>42798</v>
      </c>
      <c r="F404" s="134" t="s">
        <v>1592</v>
      </c>
    </row>
    <row r="405" spans="1:6">
      <c r="A405" s="132">
        <v>11972000</v>
      </c>
      <c r="B405" s="132">
        <v>11965000</v>
      </c>
      <c r="C405" s="132">
        <v>12020000</v>
      </c>
      <c r="D405" s="132">
        <v>11985000</v>
      </c>
      <c r="E405" s="133">
        <v>42795</v>
      </c>
      <c r="F405" s="134" t="s">
        <v>1593</v>
      </c>
    </row>
    <row r="406" spans="1:6">
      <c r="A406" s="132">
        <v>12020000</v>
      </c>
      <c r="B406" s="132">
        <v>11985000</v>
      </c>
      <c r="C406" s="132">
        <v>12045000</v>
      </c>
      <c r="D406" s="132">
        <v>12013000</v>
      </c>
      <c r="E406" s="133">
        <v>42794</v>
      </c>
      <c r="F406" s="134" t="s">
        <v>1594</v>
      </c>
    </row>
    <row r="407" spans="1:6">
      <c r="A407" s="132">
        <v>12140000</v>
      </c>
      <c r="B407" s="132">
        <v>12015000</v>
      </c>
      <c r="C407" s="132">
        <v>12149000</v>
      </c>
      <c r="D407" s="132">
        <v>12040000</v>
      </c>
      <c r="E407" s="133">
        <v>42793</v>
      </c>
      <c r="F407" s="134" t="s">
        <v>1595</v>
      </c>
    </row>
    <row r="408" spans="1:6">
      <c r="A408" s="132">
        <v>12078000</v>
      </c>
      <c r="B408" s="132">
        <v>12073000</v>
      </c>
      <c r="C408" s="132">
        <v>12147000</v>
      </c>
      <c r="D408" s="132">
        <v>12145000</v>
      </c>
      <c r="E408" s="133">
        <v>42792</v>
      </c>
      <c r="F408" s="134" t="s">
        <v>1596</v>
      </c>
    </row>
    <row r="409" spans="1:6">
      <c r="A409" s="132">
        <v>12032000</v>
      </c>
      <c r="B409" s="132">
        <v>12022000</v>
      </c>
      <c r="C409" s="132">
        <v>12091000</v>
      </c>
      <c r="D409" s="132">
        <v>12081000</v>
      </c>
      <c r="E409" s="133">
        <v>42791</v>
      </c>
      <c r="F409" s="134" t="s">
        <v>1597</v>
      </c>
    </row>
    <row r="410" spans="1:6">
      <c r="A410" s="132">
        <v>11960000</v>
      </c>
      <c r="B410" s="132">
        <v>11945000</v>
      </c>
      <c r="C410" s="132">
        <v>12010000</v>
      </c>
      <c r="D410" s="132">
        <v>12000000</v>
      </c>
      <c r="E410" s="133">
        <v>42789</v>
      </c>
      <c r="F410" s="134" t="s">
        <v>1598</v>
      </c>
    </row>
    <row r="411" spans="1:6">
      <c r="A411" s="132">
        <v>11900000</v>
      </c>
      <c r="B411" s="132">
        <v>11900000</v>
      </c>
      <c r="C411" s="132">
        <v>11960000</v>
      </c>
      <c r="D411" s="132">
        <v>11935000</v>
      </c>
      <c r="E411" s="133">
        <v>42788</v>
      </c>
      <c r="F411" s="134" t="s">
        <v>1599</v>
      </c>
    </row>
    <row r="412" spans="1:6">
      <c r="A412" s="132">
        <v>11940000</v>
      </c>
      <c r="B412" s="132">
        <v>11875000</v>
      </c>
      <c r="C412" s="132">
        <v>11940000</v>
      </c>
      <c r="D412" s="132">
        <v>11920000</v>
      </c>
      <c r="E412" s="133">
        <v>42787</v>
      </c>
      <c r="F412" s="134" t="s">
        <v>1600</v>
      </c>
    </row>
    <row r="413" spans="1:6">
      <c r="A413" s="132">
        <v>11885000</v>
      </c>
      <c r="B413" s="132">
        <v>11885000</v>
      </c>
      <c r="C413" s="132">
        <v>11945000</v>
      </c>
      <c r="D413" s="132">
        <v>11930000</v>
      </c>
      <c r="E413" s="133">
        <v>42786</v>
      </c>
      <c r="F413" s="134" t="s">
        <v>1601</v>
      </c>
    </row>
    <row r="414" spans="1:6">
      <c r="A414" s="132">
        <v>11900000</v>
      </c>
      <c r="B414" s="132">
        <v>11869000</v>
      </c>
      <c r="C414" s="132">
        <v>11910000</v>
      </c>
      <c r="D414" s="132">
        <v>11890000</v>
      </c>
      <c r="E414" s="133">
        <v>42785</v>
      </c>
      <c r="F414" s="134" t="s">
        <v>1602</v>
      </c>
    </row>
    <row r="415" spans="1:6">
      <c r="A415" s="132">
        <v>11970000</v>
      </c>
      <c r="B415" s="132">
        <v>11883000</v>
      </c>
      <c r="C415" s="132">
        <v>11975000</v>
      </c>
      <c r="D415" s="132">
        <v>11890000</v>
      </c>
      <c r="E415" s="133">
        <v>42784</v>
      </c>
      <c r="F415" s="134" t="s">
        <v>1603</v>
      </c>
    </row>
    <row r="416" spans="1:6">
      <c r="A416" s="132">
        <v>11943000</v>
      </c>
      <c r="B416" s="132">
        <v>11922000</v>
      </c>
      <c r="C416" s="132">
        <v>11985000</v>
      </c>
      <c r="D416" s="132">
        <v>11975000</v>
      </c>
      <c r="E416" s="133">
        <v>42782</v>
      </c>
      <c r="F416" s="134" t="s">
        <v>1604</v>
      </c>
    </row>
    <row r="417" spans="1:6">
      <c r="A417" s="132">
        <v>11897000</v>
      </c>
      <c r="B417" s="132">
        <v>11833000</v>
      </c>
      <c r="C417" s="132">
        <v>11932000</v>
      </c>
      <c r="D417" s="132">
        <v>11903000</v>
      </c>
      <c r="E417" s="133">
        <v>42781</v>
      </c>
      <c r="F417" s="134" t="s">
        <v>1605</v>
      </c>
    </row>
    <row r="418" spans="1:6">
      <c r="A418" s="132">
        <v>11845000</v>
      </c>
      <c r="B418" s="132">
        <v>11835000</v>
      </c>
      <c r="C418" s="132">
        <v>11922000</v>
      </c>
      <c r="D418" s="132">
        <v>11877000</v>
      </c>
      <c r="E418" s="133">
        <v>42780</v>
      </c>
      <c r="F418" s="134" t="s">
        <v>1606</v>
      </c>
    </row>
    <row r="419" spans="1:6">
      <c r="A419" s="132">
        <v>12005000</v>
      </c>
      <c r="B419" s="132">
        <v>11820000</v>
      </c>
      <c r="C419" s="132">
        <v>12005000</v>
      </c>
      <c r="D419" s="132">
        <v>11840000</v>
      </c>
      <c r="E419" s="133">
        <v>42779</v>
      </c>
      <c r="F419" s="134" t="s">
        <v>1607</v>
      </c>
    </row>
    <row r="420" spans="1:6">
      <c r="A420" s="132">
        <v>12013000</v>
      </c>
      <c r="B420" s="132">
        <v>12005000</v>
      </c>
      <c r="C420" s="132">
        <v>12053000</v>
      </c>
      <c r="D420" s="132">
        <v>12015000</v>
      </c>
      <c r="E420" s="133">
        <v>42778</v>
      </c>
      <c r="F420" s="134" t="s">
        <v>1608</v>
      </c>
    </row>
    <row r="421" spans="1:6">
      <c r="A421" s="132">
        <v>11988000</v>
      </c>
      <c r="B421" s="132">
        <v>11963000</v>
      </c>
      <c r="C421" s="132">
        <v>12028000</v>
      </c>
      <c r="D421" s="132">
        <v>12023000</v>
      </c>
      <c r="E421" s="133">
        <v>42777</v>
      </c>
      <c r="F421" s="134" t="s">
        <v>1609</v>
      </c>
    </row>
    <row r="422" spans="1:6">
      <c r="A422" s="132">
        <v>12023000</v>
      </c>
      <c r="B422" s="132">
        <v>11978000</v>
      </c>
      <c r="C422" s="132">
        <v>12070000</v>
      </c>
      <c r="D422" s="132">
        <v>11993000</v>
      </c>
      <c r="E422" s="133">
        <v>42775</v>
      </c>
      <c r="F422" s="134" t="s">
        <v>1610</v>
      </c>
    </row>
    <row r="423" spans="1:6">
      <c r="A423" s="132">
        <v>12102000</v>
      </c>
      <c r="B423" s="132">
        <v>12003000</v>
      </c>
      <c r="C423" s="132">
        <v>12120000</v>
      </c>
      <c r="D423" s="132">
        <v>12033000</v>
      </c>
      <c r="E423" s="133">
        <v>42774</v>
      </c>
      <c r="F423" s="134" t="s">
        <v>1611</v>
      </c>
    </row>
    <row r="424" spans="1:6">
      <c r="A424" s="132">
        <v>12132000</v>
      </c>
      <c r="B424" s="132">
        <v>12087000</v>
      </c>
      <c r="C424" s="132">
        <v>12175000</v>
      </c>
      <c r="D424" s="132">
        <v>12097000</v>
      </c>
      <c r="E424" s="133">
        <v>42773</v>
      </c>
      <c r="F424" s="134" t="s">
        <v>1612</v>
      </c>
    </row>
    <row r="425" spans="1:6">
      <c r="A425" s="132">
        <v>12007000</v>
      </c>
      <c r="B425" s="132">
        <v>11990000</v>
      </c>
      <c r="C425" s="132">
        <v>12135000</v>
      </c>
      <c r="D425" s="132">
        <v>12135000</v>
      </c>
      <c r="E425" s="133">
        <v>42772</v>
      </c>
      <c r="F425" s="134" t="s">
        <v>1613</v>
      </c>
    </row>
    <row r="426" spans="1:6">
      <c r="A426" s="132">
        <v>11970000</v>
      </c>
      <c r="B426" s="132">
        <v>11952000</v>
      </c>
      <c r="C426" s="132">
        <v>12030000</v>
      </c>
      <c r="D426" s="132">
        <v>11972000</v>
      </c>
      <c r="E426" s="133">
        <v>42771</v>
      </c>
      <c r="F426" s="134" t="s">
        <v>1614</v>
      </c>
    </row>
    <row r="427" spans="1:6">
      <c r="A427" s="132">
        <v>11876000</v>
      </c>
      <c r="B427" s="132">
        <v>11876000</v>
      </c>
      <c r="C427" s="132">
        <v>11965000</v>
      </c>
      <c r="D427" s="132">
        <v>11965000</v>
      </c>
      <c r="E427" s="133">
        <v>42770</v>
      </c>
      <c r="F427" s="134" t="s">
        <v>1615</v>
      </c>
    </row>
    <row r="428" spans="1:6">
      <c r="A428" s="132">
        <v>11877000</v>
      </c>
      <c r="B428" s="132">
        <v>11850000</v>
      </c>
      <c r="C428" s="132">
        <v>11936000</v>
      </c>
      <c r="D428" s="132">
        <v>11886000</v>
      </c>
      <c r="E428" s="133">
        <v>42768</v>
      </c>
      <c r="F428" s="134" t="s">
        <v>1616</v>
      </c>
    </row>
    <row r="429" spans="1:6">
      <c r="A429" s="132">
        <v>11890000</v>
      </c>
      <c r="B429" s="132">
        <v>11797000</v>
      </c>
      <c r="C429" s="132">
        <v>11940000</v>
      </c>
      <c r="D429" s="132">
        <v>11837000</v>
      </c>
      <c r="E429" s="133">
        <v>42767</v>
      </c>
      <c r="F429" s="134" t="s">
        <v>1617</v>
      </c>
    </row>
    <row r="430" spans="1:6">
      <c r="A430" s="132">
        <v>11697000</v>
      </c>
      <c r="B430" s="132">
        <v>11687000</v>
      </c>
      <c r="C430" s="132">
        <v>11905000</v>
      </c>
      <c r="D430" s="132">
        <v>11870000</v>
      </c>
      <c r="E430" s="133">
        <v>42766</v>
      </c>
      <c r="F430" s="134" t="s">
        <v>1618</v>
      </c>
    </row>
    <row r="431" spans="1:6">
      <c r="A431" s="132">
        <v>11760000</v>
      </c>
      <c r="B431" s="132">
        <v>11672000</v>
      </c>
      <c r="C431" s="132">
        <v>11760000</v>
      </c>
      <c r="D431" s="132">
        <v>11692000</v>
      </c>
      <c r="E431" s="133">
        <v>42765</v>
      </c>
      <c r="F431" s="134" t="s">
        <v>1619</v>
      </c>
    </row>
    <row r="432" spans="1:6">
      <c r="A432" s="132">
        <v>11730000</v>
      </c>
      <c r="B432" s="132">
        <v>11720000</v>
      </c>
      <c r="C432" s="132">
        <v>11775000</v>
      </c>
      <c r="D432" s="132">
        <v>11755000</v>
      </c>
      <c r="E432" s="133">
        <v>42764</v>
      </c>
      <c r="F432" s="134" t="s">
        <v>1620</v>
      </c>
    </row>
    <row r="433" spans="1:6">
      <c r="A433" s="132">
        <v>11749000</v>
      </c>
      <c r="B433" s="132">
        <v>11698000</v>
      </c>
      <c r="C433" s="132">
        <v>11780000</v>
      </c>
      <c r="D433" s="132">
        <v>11740000</v>
      </c>
      <c r="E433" s="133">
        <v>42763</v>
      </c>
      <c r="F433" s="134" t="s">
        <v>1621</v>
      </c>
    </row>
    <row r="434" spans="1:6">
      <c r="A434" s="132">
        <v>11771000</v>
      </c>
      <c r="B434" s="132">
        <v>11714000</v>
      </c>
      <c r="C434" s="132">
        <v>11794000</v>
      </c>
      <c r="D434" s="132">
        <v>11724000</v>
      </c>
      <c r="E434" s="133">
        <v>42761</v>
      </c>
      <c r="F434" s="134" t="s">
        <v>1622</v>
      </c>
    </row>
    <row r="435" spans="1:6">
      <c r="A435" s="132">
        <v>11797000</v>
      </c>
      <c r="B435" s="132">
        <v>11752000</v>
      </c>
      <c r="C435" s="132">
        <v>11836000</v>
      </c>
      <c r="D435" s="132">
        <v>11786000</v>
      </c>
      <c r="E435" s="133">
        <v>42760</v>
      </c>
      <c r="F435" s="134" t="s">
        <v>1623</v>
      </c>
    </row>
    <row r="436" spans="1:6">
      <c r="A436" s="132">
        <v>11860000</v>
      </c>
      <c r="B436" s="132">
        <v>11817000</v>
      </c>
      <c r="C436" s="132">
        <v>11895000</v>
      </c>
      <c r="D436" s="132">
        <v>11827000</v>
      </c>
      <c r="E436" s="133">
        <v>42759</v>
      </c>
      <c r="F436" s="134" t="s">
        <v>1624</v>
      </c>
    </row>
    <row r="437" spans="1:6">
      <c r="A437" s="132">
        <v>11792000</v>
      </c>
      <c r="B437" s="132">
        <v>11792000</v>
      </c>
      <c r="C437" s="132">
        <v>11894000</v>
      </c>
      <c r="D437" s="132">
        <v>11864000</v>
      </c>
      <c r="E437" s="133">
        <v>42758</v>
      </c>
      <c r="F437" s="134" t="s">
        <v>1625</v>
      </c>
    </row>
    <row r="438" spans="1:6">
      <c r="A438" s="132">
        <v>11663000</v>
      </c>
      <c r="B438" s="132">
        <v>11663000</v>
      </c>
      <c r="C438" s="132">
        <v>11792000</v>
      </c>
      <c r="D438" s="132">
        <v>11782000</v>
      </c>
      <c r="E438" s="133">
        <v>42757</v>
      </c>
      <c r="F438" s="134" t="s">
        <v>1626</v>
      </c>
    </row>
    <row r="439" spans="1:6">
      <c r="A439" s="132">
        <v>11777000</v>
      </c>
      <c r="B439" s="132">
        <v>11630000</v>
      </c>
      <c r="C439" s="132">
        <v>11800000</v>
      </c>
      <c r="D439" s="132">
        <v>11638000</v>
      </c>
      <c r="E439" s="133">
        <v>42756</v>
      </c>
      <c r="F439" s="134" t="s">
        <v>1627</v>
      </c>
    </row>
    <row r="440" spans="1:6">
      <c r="A440" s="132">
        <v>11844000</v>
      </c>
      <c r="B440" s="132">
        <v>11782000</v>
      </c>
      <c r="C440" s="132">
        <v>11865000</v>
      </c>
      <c r="D440" s="132">
        <v>11837000</v>
      </c>
      <c r="E440" s="133">
        <v>42754</v>
      </c>
      <c r="F440" s="134" t="s">
        <v>1628</v>
      </c>
    </row>
    <row r="441" spans="1:6">
      <c r="A441" s="132">
        <v>11858000</v>
      </c>
      <c r="B441" s="132">
        <v>11812000</v>
      </c>
      <c r="C441" s="132">
        <v>11872000</v>
      </c>
      <c r="D441" s="132">
        <v>11847000</v>
      </c>
      <c r="E441" s="133">
        <v>42753</v>
      </c>
      <c r="F441" s="134" t="s">
        <v>1629</v>
      </c>
    </row>
    <row r="442" spans="1:6">
      <c r="A442" s="132">
        <v>11889000</v>
      </c>
      <c r="B442" s="132">
        <v>11815000</v>
      </c>
      <c r="C442" s="132">
        <v>11907000</v>
      </c>
      <c r="D442" s="132">
        <v>11845000</v>
      </c>
      <c r="E442" s="133">
        <v>42752</v>
      </c>
      <c r="F442" s="134" t="s">
        <v>1630</v>
      </c>
    </row>
    <row r="443" spans="1:6">
      <c r="A443" s="132">
        <v>11865000</v>
      </c>
      <c r="B443" s="132">
        <v>11819000</v>
      </c>
      <c r="C443" s="132">
        <v>11933000</v>
      </c>
      <c r="D443" s="132">
        <v>11837000</v>
      </c>
      <c r="E443" s="133">
        <v>42751</v>
      </c>
      <c r="F443" s="134" t="s">
        <v>1631</v>
      </c>
    </row>
    <row r="444" spans="1:6">
      <c r="A444" s="132">
        <v>11767000</v>
      </c>
      <c r="B444" s="132">
        <v>11717000</v>
      </c>
      <c r="C444" s="132">
        <v>11878000</v>
      </c>
      <c r="D444" s="132">
        <v>11863000</v>
      </c>
      <c r="E444" s="133">
        <v>42750</v>
      </c>
      <c r="F444" s="134" t="s">
        <v>1632</v>
      </c>
    </row>
    <row r="445" spans="1:6">
      <c r="A445" s="132">
        <v>11978000</v>
      </c>
      <c r="B445" s="132">
        <v>11752000</v>
      </c>
      <c r="C445" s="132">
        <v>11997000</v>
      </c>
      <c r="D445" s="132">
        <v>11762000</v>
      </c>
      <c r="E445" s="133">
        <v>42749</v>
      </c>
      <c r="F445" s="134" t="s">
        <v>1633</v>
      </c>
    </row>
    <row r="446" spans="1:6">
      <c r="A446" s="132">
        <v>11979000</v>
      </c>
      <c r="B446" s="132">
        <v>11979000</v>
      </c>
      <c r="C446" s="132">
        <v>12060000</v>
      </c>
      <c r="D446" s="132">
        <v>12003000</v>
      </c>
      <c r="E446" s="133">
        <v>42747</v>
      </c>
      <c r="F446" s="134" t="s">
        <v>1634</v>
      </c>
    </row>
    <row r="447" spans="1:6">
      <c r="A447" s="132">
        <v>11933000</v>
      </c>
      <c r="B447" s="132">
        <v>11874000</v>
      </c>
      <c r="C447" s="132">
        <v>11977000</v>
      </c>
      <c r="D447" s="132">
        <v>11947000</v>
      </c>
      <c r="E447" s="133">
        <v>42746</v>
      </c>
      <c r="F447" s="134" t="s">
        <v>1635</v>
      </c>
    </row>
    <row r="448" spans="1:6">
      <c r="A448" s="132">
        <v>11875000</v>
      </c>
      <c r="B448" s="132">
        <v>11865000</v>
      </c>
      <c r="C448" s="132">
        <v>11920000</v>
      </c>
      <c r="D448" s="132">
        <v>11898000</v>
      </c>
      <c r="E448" s="133">
        <v>42745</v>
      </c>
      <c r="F448" s="134" t="s">
        <v>1636</v>
      </c>
    </row>
    <row r="449" spans="1:6">
      <c r="A449" s="132">
        <v>11776000</v>
      </c>
      <c r="B449" s="132">
        <v>11757000</v>
      </c>
      <c r="C449" s="132">
        <v>11886000</v>
      </c>
      <c r="D449" s="132">
        <v>11870000</v>
      </c>
      <c r="E449" s="133">
        <v>42744</v>
      </c>
      <c r="F449" s="134" t="s">
        <v>1637</v>
      </c>
    </row>
    <row r="450" spans="1:6">
      <c r="A450" s="132">
        <v>11919000</v>
      </c>
      <c r="B450" s="132">
        <v>11736000</v>
      </c>
      <c r="C450" s="132">
        <v>11945000</v>
      </c>
      <c r="D450" s="132">
        <v>11804000</v>
      </c>
      <c r="E450" s="133">
        <v>42743</v>
      </c>
      <c r="F450" s="134" t="s">
        <v>1638</v>
      </c>
    </row>
    <row r="451" spans="1:6">
      <c r="A451" s="132">
        <v>11887000</v>
      </c>
      <c r="B451" s="132">
        <v>11675000</v>
      </c>
      <c r="C451" s="132">
        <v>11942000</v>
      </c>
      <c r="D451" s="132">
        <v>11887000</v>
      </c>
      <c r="E451" s="133">
        <v>42742</v>
      </c>
      <c r="F451" s="134" t="s">
        <v>1639</v>
      </c>
    </row>
    <row r="452" spans="1:6">
      <c r="A452" s="132">
        <v>11740000</v>
      </c>
      <c r="B452" s="132">
        <v>11630000</v>
      </c>
      <c r="C452" s="132">
        <v>11745000</v>
      </c>
      <c r="D452" s="132">
        <v>11740000</v>
      </c>
      <c r="E452" s="133">
        <v>42740</v>
      </c>
      <c r="F452" s="134" t="s">
        <v>1640</v>
      </c>
    </row>
    <row r="453" spans="1:6">
      <c r="A453" s="132">
        <v>11627000</v>
      </c>
      <c r="B453" s="132">
        <v>11497000</v>
      </c>
      <c r="C453" s="132">
        <v>11655000</v>
      </c>
      <c r="D453" s="132">
        <v>11627000</v>
      </c>
      <c r="E453" s="133">
        <v>42739</v>
      </c>
      <c r="F453" s="134" t="s">
        <v>1641</v>
      </c>
    </row>
    <row r="454" spans="1:6">
      <c r="A454" s="132">
        <v>11557000</v>
      </c>
      <c r="B454" s="132">
        <v>11472000</v>
      </c>
      <c r="C454" s="132">
        <v>11720000</v>
      </c>
      <c r="D454" s="132">
        <v>11557000</v>
      </c>
      <c r="E454" s="133">
        <v>42738</v>
      </c>
      <c r="F454" s="134" t="s">
        <v>1642</v>
      </c>
    </row>
    <row r="455" spans="1:6">
      <c r="A455" s="132">
        <v>11565000</v>
      </c>
      <c r="B455" s="132">
        <v>11382000</v>
      </c>
      <c r="C455" s="132">
        <v>11635000</v>
      </c>
      <c r="D455" s="132">
        <v>11565000</v>
      </c>
      <c r="E455" s="133">
        <v>42737</v>
      </c>
      <c r="F455" s="134" t="s">
        <v>1643</v>
      </c>
    </row>
    <row r="456" spans="1:6">
      <c r="A456" s="132">
        <v>11460000</v>
      </c>
      <c r="B456" s="132">
        <v>11102000</v>
      </c>
      <c r="C456" s="132">
        <v>11507000</v>
      </c>
      <c r="D456" s="132">
        <v>11460000</v>
      </c>
      <c r="E456" s="133">
        <v>42736</v>
      </c>
      <c r="F456" s="134" t="s">
        <v>1644</v>
      </c>
    </row>
    <row r="457" spans="1:6">
      <c r="A457" s="132">
        <v>11302000</v>
      </c>
      <c r="B457" s="132">
        <v>11279000</v>
      </c>
      <c r="C457" s="132">
        <v>11645000</v>
      </c>
      <c r="D457" s="132">
        <v>11302000</v>
      </c>
      <c r="E457" s="133">
        <v>42735</v>
      </c>
      <c r="F457" s="134" t="s">
        <v>1645</v>
      </c>
    </row>
    <row r="458" spans="1:6">
      <c r="A458" s="132">
        <v>11682000</v>
      </c>
      <c r="B458" s="132">
        <v>11642000</v>
      </c>
      <c r="C458" s="132">
        <v>11915000</v>
      </c>
      <c r="D458" s="132">
        <v>11682000</v>
      </c>
      <c r="E458" s="133">
        <v>42733</v>
      </c>
      <c r="F458" s="134" t="s">
        <v>1646</v>
      </c>
    </row>
    <row r="459" spans="1:6">
      <c r="A459" s="132">
        <v>11885000</v>
      </c>
      <c r="B459" s="132">
        <v>11827000</v>
      </c>
      <c r="C459" s="132">
        <v>12250000</v>
      </c>
      <c r="D459" s="132">
        <v>11885000</v>
      </c>
      <c r="E459" s="133">
        <v>42732</v>
      </c>
      <c r="F459" s="134" t="s">
        <v>1647</v>
      </c>
    </row>
    <row r="460" spans="1:6">
      <c r="A460" s="132">
        <v>12163000</v>
      </c>
      <c r="B460" s="132">
        <v>11917000</v>
      </c>
      <c r="C460" s="132">
        <v>12223000</v>
      </c>
      <c r="D460" s="132">
        <v>12163000</v>
      </c>
      <c r="E460" s="133">
        <v>42731</v>
      </c>
      <c r="F460" s="134" t="s">
        <v>1648</v>
      </c>
    </row>
    <row r="461" spans="1:6">
      <c r="A461" s="132">
        <v>11864000</v>
      </c>
      <c r="B461" s="132">
        <v>11707000</v>
      </c>
      <c r="C461" s="132">
        <v>11985000</v>
      </c>
      <c r="D461" s="132">
        <v>11864000</v>
      </c>
      <c r="E461" s="133">
        <v>42730</v>
      </c>
      <c r="F461" s="134" t="s">
        <v>1649</v>
      </c>
    </row>
    <row r="462" spans="1:6">
      <c r="A462" s="132">
        <v>11713000</v>
      </c>
      <c r="B462" s="132">
        <v>11593000</v>
      </c>
      <c r="C462" s="132">
        <v>11713000</v>
      </c>
      <c r="D462" s="132">
        <v>11713000</v>
      </c>
      <c r="E462" s="133">
        <v>42729</v>
      </c>
      <c r="F462" s="134" t="s">
        <v>1650</v>
      </c>
    </row>
    <row r="463" spans="1:6">
      <c r="A463" s="132">
        <v>11568000</v>
      </c>
      <c r="B463" s="132">
        <v>11472000</v>
      </c>
      <c r="C463" s="132">
        <v>11586000</v>
      </c>
      <c r="D463" s="132">
        <v>11568000</v>
      </c>
      <c r="E463" s="133">
        <v>42728</v>
      </c>
      <c r="F463" s="134" t="s">
        <v>1651</v>
      </c>
    </row>
    <row r="464" spans="1:6">
      <c r="A464" s="132">
        <v>11477000</v>
      </c>
      <c r="B464" s="132">
        <v>11455000</v>
      </c>
      <c r="C464" s="132">
        <v>11493000</v>
      </c>
      <c r="D464" s="132">
        <v>11477000</v>
      </c>
      <c r="E464" s="133">
        <v>42726</v>
      </c>
      <c r="F464" s="134" t="s">
        <v>1652</v>
      </c>
    </row>
    <row r="465" spans="1:6">
      <c r="A465" s="132">
        <v>11461000</v>
      </c>
      <c r="B465" s="132">
        <v>11417000</v>
      </c>
      <c r="C465" s="132">
        <v>11494000</v>
      </c>
      <c r="D465" s="132">
        <v>11461000</v>
      </c>
      <c r="E465" s="133">
        <v>42725</v>
      </c>
      <c r="F465" s="134" t="s">
        <v>1653</v>
      </c>
    </row>
    <row r="466" spans="1:6">
      <c r="A466" s="132">
        <v>11412000</v>
      </c>
      <c r="B466" s="132">
        <v>11385000</v>
      </c>
      <c r="C466" s="132">
        <v>11414000</v>
      </c>
      <c r="D466" s="132">
        <v>11412000</v>
      </c>
      <c r="E466" s="133">
        <v>42724</v>
      </c>
      <c r="F466" s="134" t="s">
        <v>1654</v>
      </c>
    </row>
    <row r="467" spans="1:6">
      <c r="A467" s="132">
        <v>11388000</v>
      </c>
      <c r="B467" s="132">
        <v>11366000</v>
      </c>
      <c r="C467" s="132">
        <v>11393000</v>
      </c>
      <c r="D467" s="132">
        <v>11388000</v>
      </c>
      <c r="E467" s="133">
        <v>42723</v>
      </c>
      <c r="F467" s="134" t="s">
        <v>1655</v>
      </c>
    </row>
    <row r="468" spans="1:6">
      <c r="A468" s="132">
        <v>11379000</v>
      </c>
      <c r="B468" s="132">
        <v>11365000</v>
      </c>
      <c r="C468" s="132">
        <v>11395000</v>
      </c>
      <c r="D468" s="132">
        <v>11379000</v>
      </c>
      <c r="E468" s="133">
        <v>42722</v>
      </c>
      <c r="F468" s="134" t="s">
        <v>1656</v>
      </c>
    </row>
    <row r="469" spans="1:6">
      <c r="A469" s="132">
        <v>11387000</v>
      </c>
      <c r="B469" s="132">
        <v>11377000</v>
      </c>
      <c r="C469" s="132">
        <v>11400000</v>
      </c>
      <c r="D469" s="132">
        <v>11387000</v>
      </c>
      <c r="E469" s="133">
        <v>42721</v>
      </c>
      <c r="F469" s="134" t="s">
        <v>1657</v>
      </c>
    </row>
    <row r="470" spans="1:6">
      <c r="A470" s="132">
        <v>11382000</v>
      </c>
      <c r="B470" s="132">
        <v>11372000</v>
      </c>
      <c r="C470" s="132">
        <v>11415000</v>
      </c>
      <c r="D470" s="132">
        <v>11382000</v>
      </c>
      <c r="E470" s="133">
        <v>42719</v>
      </c>
      <c r="F470" s="134" t="s">
        <v>1658</v>
      </c>
    </row>
    <row r="471" spans="1:6">
      <c r="A471" s="132">
        <v>11455000</v>
      </c>
      <c r="B471" s="132">
        <v>11424000</v>
      </c>
      <c r="C471" s="132">
        <v>11467000</v>
      </c>
      <c r="D471" s="132">
        <v>11455000</v>
      </c>
      <c r="E471" s="133">
        <v>42718</v>
      </c>
      <c r="F471" s="134" t="s">
        <v>1659</v>
      </c>
    </row>
    <row r="472" spans="1:6">
      <c r="A472" s="132">
        <v>11426000</v>
      </c>
      <c r="B472" s="132">
        <v>11395000</v>
      </c>
      <c r="C472" s="132">
        <v>11436000</v>
      </c>
      <c r="D472" s="132">
        <v>11426000</v>
      </c>
      <c r="E472" s="133">
        <v>42717</v>
      </c>
      <c r="F472" s="134" t="s">
        <v>1660</v>
      </c>
    </row>
    <row r="473" spans="1:6">
      <c r="A473" s="132">
        <v>11414000</v>
      </c>
      <c r="B473" s="132">
        <v>11340000</v>
      </c>
      <c r="C473" s="132">
        <v>11423000</v>
      </c>
      <c r="D473" s="132">
        <v>11414000</v>
      </c>
      <c r="E473" s="133">
        <v>42716</v>
      </c>
      <c r="F473" s="134" t="s">
        <v>1661</v>
      </c>
    </row>
    <row r="474" spans="1:6">
      <c r="A474" s="132">
        <v>11363000</v>
      </c>
      <c r="B474" s="132">
        <v>11347000</v>
      </c>
      <c r="C474" s="132">
        <v>11387000</v>
      </c>
      <c r="D474" s="132">
        <v>11363000</v>
      </c>
      <c r="E474" s="133">
        <v>42715</v>
      </c>
      <c r="F474" s="134" t="s">
        <v>1662</v>
      </c>
    </row>
    <row r="475" spans="1:6">
      <c r="A475" s="132">
        <v>11382000</v>
      </c>
      <c r="B475" s="132">
        <v>11361000</v>
      </c>
      <c r="C475" s="132">
        <v>11410000</v>
      </c>
      <c r="D475" s="132">
        <v>11382000</v>
      </c>
      <c r="E475" s="133">
        <v>42714</v>
      </c>
      <c r="F475" s="134" t="s">
        <v>1663</v>
      </c>
    </row>
    <row r="476" spans="1:6">
      <c r="A476" s="132">
        <v>11387000</v>
      </c>
      <c r="B476" s="132">
        <v>11372000</v>
      </c>
      <c r="C476" s="132">
        <v>11400000</v>
      </c>
      <c r="D476" s="132">
        <v>11387000</v>
      </c>
      <c r="E476" s="133">
        <v>42712</v>
      </c>
      <c r="F476" s="134" t="s">
        <v>1664</v>
      </c>
    </row>
    <row r="477" spans="1:6">
      <c r="A477" s="132">
        <v>11373000</v>
      </c>
      <c r="B477" s="132">
        <v>11339000</v>
      </c>
      <c r="C477" s="132">
        <v>11395000</v>
      </c>
      <c r="D477" s="132">
        <v>11373000</v>
      </c>
      <c r="E477" s="133">
        <v>42711</v>
      </c>
      <c r="F477" s="134" t="s">
        <v>1665</v>
      </c>
    </row>
    <row r="478" spans="1:6">
      <c r="A478" s="132">
        <v>11350000</v>
      </c>
      <c r="B478" s="132">
        <v>11343000</v>
      </c>
      <c r="C478" s="132">
        <v>11388000</v>
      </c>
      <c r="D478" s="132">
        <v>11350000</v>
      </c>
      <c r="E478" s="133">
        <v>42710</v>
      </c>
      <c r="F478" s="134" t="s">
        <v>1666</v>
      </c>
    </row>
    <row r="479" spans="1:6">
      <c r="A479" s="132">
        <v>11381000</v>
      </c>
      <c r="B479" s="132">
        <v>11319000</v>
      </c>
      <c r="C479" s="132">
        <v>11429000</v>
      </c>
      <c r="D479" s="132">
        <v>11381000</v>
      </c>
      <c r="E479" s="133">
        <v>42709</v>
      </c>
      <c r="F479" s="134" t="s">
        <v>1667</v>
      </c>
    </row>
    <row r="480" spans="1:6">
      <c r="A480" s="132">
        <v>11387000</v>
      </c>
      <c r="B480" s="132">
        <v>11321000</v>
      </c>
      <c r="C480" s="132">
        <v>11450000</v>
      </c>
      <c r="D480" s="132">
        <v>11387000</v>
      </c>
      <c r="E480" s="133">
        <v>42708</v>
      </c>
      <c r="F480" s="134" t="s">
        <v>1668</v>
      </c>
    </row>
    <row r="481" spans="1:6">
      <c r="A481" s="132">
        <v>11316000</v>
      </c>
      <c r="B481" s="132">
        <v>11140000</v>
      </c>
      <c r="C481" s="132">
        <v>11319000</v>
      </c>
      <c r="D481" s="132">
        <v>11316000</v>
      </c>
      <c r="E481" s="133">
        <v>42707</v>
      </c>
      <c r="F481" s="134" t="s">
        <v>1669</v>
      </c>
    </row>
    <row r="482" spans="1:6">
      <c r="A482" s="132">
        <v>11158000</v>
      </c>
      <c r="B482" s="132">
        <v>11144000</v>
      </c>
      <c r="C482" s="132">
        <v>11189000</v>
      </c>
      <c r="D482" s="132">
        <v>11158000</v>
      </c>
      <c r="E482" s="133">
        <v>42705</v>
      </c>
      <c r="F482" s="134" t="s">
        <v>1670</v>
      </c>
    </row>
    <row r="483" spans="1:6">
      <c r="A483" s="132">
        <v>11280000</v>
      </c>
      <c r="B483" s="132">
        <v>11202000</v>
      </c>
      <c r="C483" s="132">
        <v>11280000</v>
      </c>
      <c r="D483" s="132">
        <v>11280000</v>
      </c>
      <c r="E483" s="133">
        <v>42703</v>
      </c>
      <c r="F483" s="134" t="s">
        <v>1671</v>
      </c>
    </row>
    <row r="484" spans="1:6">
      <c r="A484" s="132">
        <v>11202000</v>
      </c>
      <c r="B484" s="132">
        <v>11162000</v>
      </c>
      <c r="C484" s="132">
        <v>11220000</v>
      </c>
      <c r="D484" s="132">
        <v>11202000</v>
      </c>
      <c r="E484" s="133">
        <v>42702</v>
      </c>
      <c r="F484" s="134" t="s">
        <v>1672</v>
      </c>
    </row>
    <row r="485" spans="1:6">
      <c r="A485" s="132">
        <v>11144000</v>
      </c>
      <c r="B485" s="132">
        <v>11040000</v>
      </c>
      <c r="C485" s="132">
        <v>11155000</v>
      </c>
      <c r="D485" s="132">
        <v>11144000</v>
      </c>
      <c r="E485" s="133">
        <v>42701</v>
      </c>
      <c r="F485" s="134" t="s">
        <v>1673</v>
      </c>
    </row>
    <row r="486" spans="1:6">
      <c r="A486" s="132">
        <v>11048000</v>
      </c>
      <c r="B486" s="132">
        <v>11003000</v>
      </c>
      <c r="C486" s="132">
        <v>11105000</v>
      </c>
      <c r="D486" s="132">
        <v>11048000</v>
      </c>
      <c r="E486" s="133">
        <v>42700</v>
      </c>
      <c r="F486" s="134" t="s">
        <v>1674</v>
      </c>
    </row>
    <row r="487" spans="1:6">
      <c r="A487" s="132">
        <v>11079000</v>
      </c>
      <c r="B487" s="132">
        <v>11062000</v>
      </c>
      <c r="C487" s="132">
        <v>11104000</v>
      </c>
      <c r="D487" s="132">
        <v>11079000</v>
      </c>
      <c r="E487" s="133">
        <v>42698</v>
      </c>
      <c r="F487" s="134" t="s">
        <v>1675</v>
      </c>
    </row>
    <row r="488" spans="1:6">
      <c r="A488" s="132">
        <v>11092000</v>
      </c>
      <c r="B488" s="132">
        <v>11069000</v>
      </c>
      <c r="C488" s="132">
        <v>11168000</v>
      </c>
      <c r="D488" s="132">
        <v>11092000</v>
      </c>
      <c r="E488" s="133">
        <v>42697</v>
      </c>
      <c r="F488" s="134" t="s">
        <v>1676</v>
      </c>
    </row>
    <row r="489" spans="1:6">
      <c r="A489" s="132">
        <v>11127000</v>
      </c>
      <c r="B489" s="132">
        <v>11022000</v>
      </c>
      <c r="C489" s="132">
        <v>11132000</v>
      </c>
      <c r="D489" s="132">
        <v>11127000</v>
      </c>
      <c r="E489" s="133">
        <v>42696</v>
      </c>
      <c r="F489" s="134" t="s">
        <v>1677</v>
      </c>
    </row>
    <row r="490" spans="1:6">
      <c r="A490" s="132">
        <v>11010000</v>
      </c>
      <c r="B490" s="132">
        <v>10982000</v>
      </c>
      <c r="C490" s="132">
        <v>11032000</v>
      </c>
      <c r="D490" s="132">
        <v>11010000</v>
      </c>
      <c r="E490" s="133">
        <v>42695</v>
      </c>
      <c r="F490" s="134" t="s">
        <v>1678</v>
      </c>
    </row>
    <row r="491" spans="1:6">
      <c r="A491" s="132">
        <v>11003000</v>
      </c>
      <c r="B491" s="132">
        <v>10983000</v>
      </c>
      <c r="C491" s="132">
        <v>11046000</v>
      </c>
      <c r="D491" s="132">
        <v>11003000</v>
      </c>
      <c r="E491" s="133">
        <v>42693</v>
      </c>
      <c r="F491" s="134" t="s">
        <v>1679</v>
      </c>
    </row>
    <row r="492" spans="1:6">
      <c r="A492" s="132">
        <v>11088000</v>
      </c>
      <c r="B492" s="132">
        <v>11081000</v>
      </c>
      <c r="C492" s="132">
        <v>11143000</v>
      </c>
      <c r="D492" s="132">
        <v>11088000</v>
      </c>
      <c r="E492" s="133">
        <v>42691</v>
      </c>
      <c r="F492" s="134" t="s">
        <v>1680</v>
      </c>
    </row>
    <row r="493" spans="1:6">
      <c r="A493" s="132">
        <v>11130000</v>
      </c>
      <c r="B493" s="132">
        <v>11090000</v>
      </c>
      <c r="C493" s="132">
        <v>11136000</v>
      </c>
      <c r="D493" s="132">
        <v>11130000</v>
      </c>
      <c r="E493" s="133">
        <v>42690</v>
      </c>
      <c r="F493" s="134" t="s">
        <v>1681</v>
      </c>
    </row>
    <row r="494" spans="1:6">
      <c r="A494" s="132">
        <v>11119000</v>
      </c>
      <c r="B494" s="132">
        <v>11051000</v>
      </c>
      <c r="C494" s="132">
        <v>11160000</v>
      </c>
      <c r="D494" s="132">
        <v>11119000</v>
      </c>
      <c r="E494" s="133">
        <v>42689</v>
      </c>
      <c r="F494" s="134" t="s">
        <v>1682</v>
      </c>
    </row>
    <row r="495" spans="1:6">
      <c r="A495" s="132">
        <v>11150000</v>
      </c>
      <c r="B495" s="132">
        <v>11052000</v>
      </c>
      <c r="C495" s="132">
        <v>11155000</v>
      </c>
      <c r="D495" s="132">
        <v>11150000</v>
      </c>
      <c r="E495" s="133">
        <v>42688</v>
      </c>
      <c r="F495" s="134" t="s">
        <v>1683</v>
      </c>
    </row>
    <row r="496" spans="1:6">
      <c r="A496" s="132">
        <v>11099000</v>
      </c>
      <c r="B496" s="132">
        <v>11054000</v>
      </c>
      <c r="C496" s="132">
        <v>11099000</v>
      </c>
      <c r="D496" s="132">
        <v>11099000</v>
      </c>
      <c r="E496" s="133">
        <v>42687</v>
      </c>
      <c r="F496" s="134" t="s">
        <v>1684</v>
      </c>
    </row>
    <row r="497" spans="1:6">
      <c r="A497" s="132">
        <v>11066000</v>
      </c>
      <c r="B497" s="132">
        <v>11042000</v>
      </c>
      <c r="C497" s="132">
        <v>11080000</v>
      </c>
      <c r="D497" s="132">
        <v>11066000</v>
      </c>
      <c r="E497" s="133">
        <v>42686</v>
      </c>
      <c r="F497" s="134" t="s">
        <v>1685</v>
      </c>
    </row>
    <row r="498" spans="1:6">
      <c r="A498" s="132">
        <v>11232000</v>
      </c>
      <c r="B498" s="132">
        <v>11210000</v>
      </c>
      <c r="C498" s="132">
        <v>11285000</v>
      </c>
      <c r="D498" s="132">
        <v>11232000</v>
      </c>
      <c r="E498" s="133">
        <v>42684</v>
      </c>
      <c r="F498" s="134" t="s">
        <v>1686</v>
      </c>
    </row>
    <row r="499" spans="1:6">
      <c r="A499" s="132">
        <v>11240000</v>
      </c>
      <c r="B499" s="132">
        <v>11240000</v>
      </c>
      <c r="C499" s="132">
        <v>11399000</v>
      </c>
      <c r="D499" s="132">
        <v>11240000</v>
      </c>
      <c r="E499" s="133">
        <v>42683</v>
      </c>
      <c r="F499" s="134" t="s">
        <v>1687</v>
      </c>
    </row>
    <row r="500" spans="1:6">
      <c r="A500" s="132">
        <v>11170000</v>
      </c>
      <c r="B500" s="132">
        <v>11159000</v>
      </c>
      <c r="C500" s="132">
        <v>11222000</v>
      </c>
      <c r="D500" s="132">
        <v>11170000</v>
      </c>
      <c r="E500" s="133">
        <v>42682</v>
      </c>
      <c r="F500" s="134" t="s">
        <v>1688</v>
      </c>
    </row>
    <row r="501" spans="1:6">
      <c r="A501" s="132">
        <v>11160000</v>
      </c>
      <c r="B501" s="132">
        <v>11140000</v>
      </c>
      <c r="C501" s="132">
        <v>11213000</v>
      </c>
      <c r="D501" s="132">
        <v>11160000</v>
      </c>
      <c r="E501" s="133">
        <v>42681</v>
      </c>
      <c r="F501" s="134" t="s">
        <v>1689</v>
      </c>
    </row>
    <row r="502" spans="1:6">
      <c r="A502" s="132">
        <v>11269000</v>
      </c>
      <c r="B502" s="132">
        <v>11252000</v>
      </c>
      <c r="C502" s="132">
        <v>11279000</v>
      </c>
      <c r="D502" s="132">
        <v>11269000</v>
      </c>
      <c r="E502" s="133">
        <v>42680</v>
      </c>
      <c r="F502" s="134" t="s">
        <v>1690</v>
      </c>
    </row>
    <row r="503" spans="1:6">
      <c r="A503" s="132">
        <v>11245000</v>
      </c>
      <c r="B503" s="132">
        <v>11205000</v>
      </c>
      <c r="C503" s="132">
        <v>11247000</v>
      </c>
      <c r="D503" s="132">
        <v>11245000</v>
      </c>
      <c r="E503" s="133">
        <v>42679</v>
      </c>
      <c r="F503" s="134" t="s">
        <v>1691</v>
      </c>
    </row>
    <row r="504" spans="1:6">
      <c r="A504" s="132">
        <v>11229000</v>
      </c>
      <c r="B504" s="132">
        <v>11204000</v>
      </c>
      <c r="C504" s="132">
        <v>11268000</v>
      </c>
      <c r="D504" s="132">
        <v>11229000</v>
      </c>
      <c r="E504" s="133">
        <v>42677</v>
      </c>
      <c r="F504" s="134" t="s">
        <v>1692</v>
      </c>
    </row>
    <row r="505" spans="1:6">
      <c r="A505" s="132">
        <v>11271000</v>
      </c>
      <c r="B505" s="132">
        <v>11202000</v>
      </c>
      <c r="C505" s="132">
        <v>11281000</v>
      </c>
      <c r="D505" s="132">
        <v>11271000</v>
      </c>
      <c r="E505" s="133">
        <v>42676</v>
      </c>
      <c r="F505" s="134" t="s">
        <v>1693</v>
      </c>
    </row>
    <row r="506" spans="1:6">
      <c r="A506" s="132">
        <v>11179000</v>
      </c>
      <c r="B506" s="132">
        <v>11122000</v>
      </c>
      <c r="C506" s="132">
        <v>11186000</v>
      </c>
      <c r="D506" s="132">
        <v>11179000</v>
      </c>
      <c r="E506" s="133">
        <v>42675</v>
      </c>
      <c r="F506" s="134" t="s">
        <v>1694</v>
      </c>
    </row>
    <row r="507" spans="1:6">
      <c r="A507" s="132">
        <v>11117000</v>
      </c>
      <c r="B507" s="132">
        <v>11100000</v>
      </c>
      <c r="C507" s="132">
        <v>11180000</v>
      </c>
      <c r="D507" s="132">
        <v>11117000</v>
      </c>
      <c r="E507" s="133">
        <v>42674</v>
      </c>
      <c r="F507" s="134" t="s">
        <v>1695</v>
      </c>
    </row>
    <row r="508" spans="1:6">
      <c r="A508" s="132">
        <v>11183000</v>
      </c>
      <c r="B508" s="132">
        <v>11103000</v>
      </c>
      <c r="C508" s="132">
        <v>11186000</v>
      </c>
      <c r="D508" s="132">
        <v>11183000</v>
      </c>
      <c r="E508" s="133">
        <v>42673</v>
      </c>
      <c r="F508" s="134" t="s">
        <v>1696</v>
      </c>
    </row>
    <row r="509" spans="1:6">
      <c r="A509" s="132">
        <v>11101000</v>
      </c>
      <c r="B509" s="132">
        <v>11088000</v>
      </c>
      <c r="C509" s="132">
        <v>11145000</v>
      </c>
      <c r="D509" s="132">
        <v>11101000</v>
      </c>
      <c r="E509" s="133">
        <v>42672</v>
      </c>
      <c r="F509" s="134" t="s">
        <v>1697</v>
      </c>
    </row>
    <row r="510" spans="1:6">
      <c r="A510" s="132">
        <v>11096000</v>
      </c>
      <c r="B510" s="132">
        <v>11037000</v>
      </c>
      <c r="C510" s="132">
        <v>11099000</v>
      </c>
      <c r="D510" s="132">
        <v>11096000</v>
      </c>
      <c r="E510" s="133">
        <v>42670</v>
      </c>
      <c r="F510" s="134" t="s">
        <v>1698</v>
      </c>
    </row>
    <row r="511" spans="1:6">
      <c r="A511" s="132">
        <v>11088000</v>
      </c>
      <c r="B511" s="132">
        <v>11064000</v>
      </c>
      <c r="C511" s="132">
        <v>11164000</v>
      </c>
      <c r="D511" s="132">
        <v>11088000</v>
      </c>
      <c r="E511" s="133">
        <v>42669</v>
      </c>
      <c r="F511" s="134" t="s">
        <v>1699</v>
      </c>
    </row>
    <row r="512" spans="1:6">
      <c r="A512" s="132">
        <v>11107000</v>
      </c>
      <c r="B512" s="132">
        <v>11035000</v>
      </c>
      <c r="C512" s="132">
        <v>11110000</v>
      </c>
      <c r="D512" s="132">
        <v>11107000</v>
      </c>
      <c r="E512" s="133">
        <v>42668</v>
      </c>
      <c r="F512" s="134" t="s">
        <v>1700</v>
      </c>
    </row>
    <row r="513" spans="1:6">
      <c r="A513" s="132">
        <v>11029000</v>
      </c>
      <c r="B513" s="132">
        <v>10966000</v>
      </c>
      <c r="C513" s="132">
        <v>11046000</v>
      </c>
      <c r="D513" s="132">
        <v>11029000</v>
      </c>
      <c r="E513" s="133">
        <v>42667</v>
      </c>
      <c r="F513" s="134" t="s">
        <v>1701</v>
      </c>
    </row>
    <row r="514" spans="1:6">
      <c r="A514" s="132">
        <v>10974000</v>
      </c>
      <c r="B514" s="132">
        <v>10948000</v>
      </c>
      <c r="C514" s="132">
        <v>10981000</v>
      </c>
      <c r="D514" s="132">
        <v>10974000</v>
      </c>
      <c r="E514" s="133">
        <v>42666</v>
      </c>
      <c r="F514" s="134" t="s">
        <v>1702</v>
      </c>
    </row>
    <row r="515" spans="1:6">
      <c r="A515" s="132">
        <v>10964000</v>
      </c>
      <c r="B515" s="132">
        <v>10936000</v>
      </c>
      <c r="C515" s="132">
        <v>10968000</v>
      </c>
      <c r="D515" s="132">
        <v>10964000</v>
      </c>
      <c r="E515" s="133">
        <v>42665</v>
      </c>
      <c r="F515" s="134" t="s">
        <v>1703</v>
      </c>
    </row>
    <row r="516" spans="1:6">
      <c r="A516" s="132">
        <v>10944000</v>
      </c>
      <c r="B516" s="132">
        <v>10928000</v>
      </c>
      <c r="C516" s="132">
        <v>10963000</v>
      </c>
      <c r="D516" s="132">
        <v>10944000</v>
      </c>
      <c r="E516" s="133">
        <v>42663</v>
      </c>
      <c r="F516" s="134" t="s">
        <v>1704</v>
      </c>
    </row>
    <row r="517" spans="1:6">
      <c r="A517" s="132">
        <v>10923000</v>
      </c>
      <c r="B517" s="132">
        <v>10919000</v>
      </c>
      <c r="C517" s="132">
        <v>10968000</v>
      </c>
      <c r="D517" s="132">
        <v>10923000</v>
      </c>
      <c r="E517" s="133">
        <v>42662</v>
      </c>
      <c r="F517" s="134" t="s">
        <v>1705</v>
      </c>
    </row>
    <row r="518" spans="1:6">
      <c r="A518" s="132">
        <v>10927000</v>
      </c>
      <c r="B518" s="132">
        <v>10880000</v>
      </c>
      <c r="C518" s="132">
        <v>10936000</v>
      </c>
      <c r="D518" s="132">
        <v>10927000</v>
      </c>
      <c r="E518" s="133">
        <v>42661</v>
      </c>
      <c r="F518" s="134" t="s">
        <v>1706</v>
      </c>
    </row>
    <row r="519" spans="1:6">
      <c r="A519" s="132">
        <v>10883000</v>
      </c>
      <c r="B519" s="132">
        <v>10839000</v>
      </c>
      <c r="C519" s="132">
        <v>10883000</v>
      </c>
      <c r="D519" s="132">
        <v>10883000</v>
      </c>
      <c r="E519" s="133">
        <v>42660</v>
      </c>
      <c r="F519" s="134" t="s">
        <v>1707</v>
      </c>
    </row>
    <row r="520" spans="1:6">
      <c r="A520" s="132">
        <v>10839000</v>
      </c>
      <c r="B520" s="132">
        <v>10825000</v>
      </c>
      <c r="C520" s="132">
        <v>10843000</v>
      </c>
      <c r="D520" s="132">
        <v>10839000</v>
      </c>
      <c r="E520" s="133">
        <v>42659</v>
      </c>
      <c r="F520" s="134" t="s">
        <v>1708</v>
      </c>
    </row>
    <row r="521" spans="1:6">
      <c r="A521" s="132">
        <v>10838000</v>
      </c>
      <c r="B521" s="132">
        <v>10812000</v>
      </c>
      <c r="C521" s="132">
        <v>10850000</v>
      </c>
      <c r="D521" s="132">
        <v>10838000</v>
      </c>
      <c r="E521" s="133">
        <v>42658</v>
      </c>
      <c r="F521" s="134" t="s">
        <v>1709</v>
      </c>
    </row>
    <row r="522" spans="1:6">
      <c r="A522" s="132">
        <v>10852000</v>
      </c>
      <c r="B522" s="132">
        <v>10836000</v>
      </c>
      <c r="C522" s="132">
        <v>10860000</v>
      </c>
      <c r="D522" s="132">
        <v>10852000</v>
      </c>
      <c r="E522" s="133">
        <v>42656</v>
      </c>
      <c r="F522" s="134" t="s">
        <v>1710</v>
      </c>
    </row>
    <row r="523" spans="1:6">
      <c r="A523" s="132">
        <v>10835000</v>
      </c>
      <c r="B523" s="132">
        <v>10830000</v>
      </c>
      <c r="C523" s="132">
        <v>10835000</v>
      </c>
      <c r="D523" s="132">
        <v>10835000</v>
      </c>
      <c r="E523" s="133">
        <v>42655</v>
      </c>
      <c r="F523" s="134" t="s">
        <v>1711</v>
      </c>
    </row>
    <row r="524" spans="1:6">
      <c r="A524" s="132">
        <v>10851000</v>
      </c>
      <c r="B524" s="132">
        <v>10851000</v>
      </c>
      <c r="C524" s="132">
        <v>10851000</v>
      </c>
      <c r="D524" s="132">
        <v>10851000</v>
      </c>
      <c r="E524" s="133">
        <v>42654</v>
      </c>
      <c r="F524" s="134" t="s">
        <v>1712</v>
      </c>
    </row>
    <row r="525" spans="1:6">
      <c r="A525" s="132">
        <v>10848000</v>
      </c>
      <c r="B525" s="132">
        <v>10845000</v>
      </c>
      <c r="C525" s="132">
        <v>10864000</v>
      </c>
      <c r="D525" s="132">
        <v>10848000</v>
      </c>
      <c r="E525" s="133">
        <v>42653</v>
      </c>
      <c r="F525" s="134" t="s">
        <v>1713</v>
      </c>
    </row>
    <row r="526" spans="1:6">
      <c r="A526" s="132">
        <v>10835000</v>
      </c>
      <c r="B526" s="132">
        <v>10822000</v>
      </c>
      <c r="C526" s="132">
        <v>10840000</v>
      </c>
      <c r="D526" s="132">
        <v>10835000</v>
      </c>
      <c r="E526" s="133">
        <v>42652</v>
      </c>
      <c r="F526" s="134" t="s">
        <v>1714</v>
      </c>
    </row>
    <row r="527" spans="1:6">
      <c r="A527" s="132">
        <v>10828000</v>
      </c>
      <c r="B527" s="132">
        <v>10825000</v>
      </c>
      <c r="C527" s="132">
        <v>10835000</v>
      </c>
      <c r="D527" s="132">
        <v>10828000</v>
      </c>
      <c r="E527" s="133">
        <v>42651</v>
      </c>
      <c r="F527" s="134" t="s">
        <v>1715</v>
      </c>
    </row>
    <row r="528" spans="1:6">
      <c r="A528" s="132">
        <v>10833000</v>
      </c>
      <c r="B528" s="132">
        <v>10821000</v>
      </c>
      <c r="C528" s="132">
        <v>10894000</v>
      </c>
      <c r="D528" s="132">
        <v>10833000</v>
      </c>
      <c r="E528" s="133">
        <v>42649</v>
      </c>
      <c r="F528" s="134" t="s">
        <v>1716</v>
      </c>
    </row>
    <row r="529" spans="1:6">
      <c r="A529" s="132">
        <v>10875000</v>
      </c>
      <c r="B529" s="132">
        <v>10837000</v>
      </c>
      <c r="C529" s="132">
        <v>10930000</v>
      </c>
      <c r="D529" s="132">
        <v>10875000</v>
      </c>
      <c r="E529" s="133">
        <v>42648</v>
      </c>
      <c r="F529" s="134" t="s">
        <v>1717</v>
      </c>
    </row>
    <row r="530" spans="1:6">
      <c r="A530" s="132">
        <v>10907000</v>
      </c>
      <c r="B530" s="132">
        <v>10889000</v>
      </c>
      <c r="C530" s="132">
        <v>11150000</v>
      </c>
      <c r="D530" s="132">
        <v>10907000</v>
      </c>
      <c r="E530" s="133">
        <v>42647</v>
      </c>
      <c r="F530" s="134" t="s">
        <v>1718</v>
      </c>
    </row>
    <row r="531" spans="1:6">
      <c r="A531" s="132">
        <v>11160000</v>
      </c>
      <c r="B531" s="132">
        <v>11155000</v>
      </c>
      <c r="C531" s="132">
        <v>11183000</v>
      </c>
      <c r="D531" s="132">
        <v>11160000</v>
      </c>
      <c r="E531" s="133">
        <v>42646</v>
      </c>
      <c r="F531" s="134" t="s">
        <v>1719</v>
      </c>
    </row>
    <row r="532" spans="1:6">
      <c r="A532" s="132">
        <v>11168000</v>
      </c>
      <c r="B532" s="132">
        <v>11147000</v>
      </c>
      <c r="C532" s="132">
        <v>11170000</v>
      </c>
      <c r="D532" s="132">
        <v>11168000</v>
      </c>
      <c r="E532" s="133">
        <v>42645</v>
      </c>
      <c r="F532" s="134" t="s">
        <v>1720</v>
      </c>
    </row>
    <row r="533" spans="1:6">
      <c r="A533" s="132">
        <v>11156000</v>
      </c>
      <c r="B533" s="132">
        <v>11137000</v>
      </c>
      <c r="C533" s="132">
        <v>11160000</v>
      </c>
      <c r="D533" s="132">
        <v>11156000</v>
      </c>
      <c r="E533" s="133">
        <v>42644</v>
      </c>
      <c r="F533" s="134" t="s">
        <v>1721</v>
      </c>
    </row>
    <row r="534" spans="1:6">
      <c r="A534" s="132">
        <v>11151000</v>
      </c>
      <c r="B534" s="132">
        <v>11136000</v>
      </c>
      <c r="C534" s="132">
        <v>11153000</v>
      </c>
      <c r="D534" s="132">
        <v>11151000</v>
      </c>
      <c r="E534" s="133">
        <v>42642</v>
      </c>
      <c r="F534" s="134" t="s">
        <v>1722</v>
      </c>
    </row>
    <row r="535" spans="1:6">
      <c r="A535" s="132">
        <v>11145000</v>
      </c>
      <c r="B535" s="132">
        <v>11135000</v>
      </c>
      <c r="C535" s="132">
        <v>11164000</v>
      </c>
      <c r="D535" s="132">
        <v>11145000</v>
      </c>
      <c r="E535" s="133">
        <v>42641</v>
      </c>
      <c r="F535" s="134" t="s">
        <v>1723</v>
      </c>
    </row>
    <row r="536" spans="1:6">
      <c r="A536" s="132">
        <v>11166000</v>
      </c>
      <c r="B536" s="132">
        <v>11157000</v>
      </c>
      <c r="C536" s="132">
        <v>11185000</v>
      </c>
      <c r="D536" s="132">
        <v>11166000</v>
      </c>
      <c r="E536" s="133">
        <v>42640</v>
      </c>
      <c r="F536" s="134" t="s">
        <v>1724</v>
      </c>
    </row>
    <row r="537" spans="1:6">
      <c r="A537" s="132">
        <v>11187000</v>
      </c>
      <c r="B537" s="132">
        <v>11156000</v>
      </c>
      <c r="C537" s="132">
        <v>11193000</v>
      </c>
      <c r="D537" s="132">
        <v>11187000</v>
      </c>
      <c r="E537" s="133">
        <v>42639</v>
      </c>
      <c r="F537" s="134" t="s">
        <v>1725</v>
      </c>
    </row>
    <row r="538" spans="1:6">
      <c r="A538" s="132">
        <v>11192000</v>
      </c>
      <c r="B538" s="132">
        <v>11175000</v>
      </c>
      <c r="C538" s="132">
        <v>11200000</v>
      </c>
      <c r="D538" s="132">
        <v>11192000</v>
      </c>
      <c r="E538" s="133">
        <v>42638</v>
      </c>
      <c r="F538" s="134" t="s">
        <v>1726</v>
      </c>
    </row>
    <row r="539" spans="1:6">
      <c r="A539" s="132">
        <v>11177000</v>
      </c>
      <c r="B539" s="132">
        <v>11174000</v>
      </c>
      <c r="C539" s="132">
        <v>11216000</v>
      </c>
      <c r="D539" s="132">
        <v>11177000</v>
      </c>
      <c r="E539" s="133">
        <v>42637</v>
      </c>
      <c r="F539" s="134" t="s">
        <v>1727</v>
      </c>
    </row>
    <row r="540" spans="1:6">
      <c r="A540" s="132">
        <v>11177000</v>
      </c>
      <c r="B540" s="132">
        <v>11142000</v>
      </c>
      <c r="C540" s="132">
        <v>11183000</v>
      </c>
      <c r="D540" s="132">
        <v>11177000</v>
      </c>
      <c r="E540" s="133">
        <v>42634</v>
      </c>
      <c r="F540" s="134" t="s">
        <v>1728</v>
      </c>
    </row>
    <row r="541" spans="1:6">
      <c r="A541" s="132">
        <v>11202000</v>
      </c>
      <c r="B541" s="132">
        <v>11196000</v>
      </c>
      <c r="C541" s="132">
        <v>11230000</v>
      </c>
      <c r="D541" s="132">
        <v>11202000</v>
      </c>
      <c r="E541" s="133">
        <v>42635</v>
      </c>
      <c r="F541" s="134" t="s">
        <v>1729</v>
      </c>
    </row>
    <row r="542" spans="1:6">
      <c r="A542" s="132">
        <v>11136000</v>
      </c>
      <c r="B542" s="132">
        <v>11112000</v>
      </c>
      <c r="C542" s="132">
        <v>11143000</v>
      </c>
      <c r="D542" s="132">
        <v>11136000</v>
      </c>
      <c r="E542" s="133">
        <v>42633</v>
      </c>
      <c r="F542" s="134" t="s">
        <v>1730</v>
      </c>
    </row>
    <row r="543" spans="1:6">
      <c r="A543" s="132">
        <v>11130000</v>
      </c>
      <c r="B543" s="132">
        <v>11126000</v>
      </c>
      <c r="C543" s="132">
        <v>11166000</v>
      </c>
      <c r="D543" s="132">
        <v>11130000</v>
      </c>
      <c r="E543" s="133">
        <v>42632</v>
      </c>
      <c r="F543" s="134" t="s">
        <v>1731</v>
      </c>
    </row>
    <row r="544" spans="1:6">
      <c r="A544" s="132">
        <v>11136000</v>
      </c>
      <c r="B544" s="132">
        <v>11121000</v>
      </c>
      <c r="C544" s="132">
        <v>11138000</v>
      </c>
      <c r="D544" s="132">
        <v>11136000</v>
      </c>
      <c r="E544" s="133">
        <v>42631</v>
      </c>
      <c r="F544" s="134" t="s">
        <v>1732</v>
      </c>
    </row>
    <row r="545" spans="1:6">
      <c r="A545" s="132">
        <v>11126000</v>
      </c>
      <c r="B545" s="132">
        <v>11112000</v>
      </c>
      <c r="C545" s="132">
        <v>11130000</v>
      </c>
      <c r="D545" s="132">
        <v>11126000</v>
      </c>
      <c r="E545" s="133">
        <v>42630</v>
      </c>
      <c r="F545" s="134" t="s">
        <v>1733</v>
      </c>
    </row>
    <row r="546" spans="1:6">
      <c r="A546" s="132">
        <v>11155000</v>
      </c>
      <c r="B546" s="132">
        <v>11132000</v>
      </c>
      <c r="C546" s="132">
        <v>11190000</v>
      </c>
      <c r="D546" s="132">
        <v>11155000</v>
      </c>
      <c r="E546" s="133">
        <v>42628</v>
      </c>
      <c r="F546" s="134" t="s">
        <v>1734</v>
      </c>
    </row>
    <row r="547" spans="1:6">
      <c r="A547" s="132">
        <v>11155000</v>
      </c>
      <c r="B547" s="132">
        <v>11149000</v>
      </c>
      <c r="C547" s="132">
        <v>11172000</v>
      </c>
      <c r="D547" s="132">
        <v>11155000</v>
      </c>
      <c r="E547" s="133">
        <v>42627</v>
      </c>
      <c r="F547" s="134" t="s">
        <v>1735</v>
      </c>
    </row>
    <row r="548" spans="1:6">
      <c r="A548" s="132">
        <v>11161000</v>
      </c>
      <c r="B548" s="132">
        <v>11140000</v>
      </c>
      <c r="C548" s="132">
        <v>11171000</v>
      </c>
      <c r="D548" s="132">
        <v>11161000</v>
      </c>
      <c r="E548" s="133">
        <v>42626</v>
      </c>
      <c r="F548" s="134" t="s">
        <v>1736</v>
      </c>
    </row>
    <row r="549" spans="1:6">
      <c r="A549" s="132">
        <v>11155000</v>
      </c>
      <c r="B549" s="132">
        <v>11152000</v>
      </c>
      <c r="C549" s="132">
        <v>11189000</v>
      </c>
      <c r="D549" s="132">
        <v>11155000</v>
      </c>
      <c r="E549" s="133">
        <v>42625</v>
      </c>
      <c r="F549" s="134" t="s">
        <v>1737</v>
      </c>
    </row>
    <row r="550" spans="1:6">
      <c r="A550" s="132">
        <v>11170000</v>
      </c>
      <c r="B550" s="132">
        <v>11148000</v>
      </c>
      <c r="C550" s="132">
        <v>11171000</v>
      </c>
      <c r="D550" s="132">
        <v>11170000</v>
      </c>
      <c r="E550" s="133">
        <v>42624</v>
      </c>
      <c r="F550" s="134" t="s">
        <v>1738</v>
      </c>
    </row>
    <row r="551" spans="1:6">
      <c r="A551" s="132">
        <v>11148000</v>
      </c>
      <c r="B551" s="132">
        <v>11137000</v>
      </c>
      <c r="C551" s="132">
        <v>11178000</v>
      </c>
      <c r="D551" s="132">
        <v>11148000</v>
      </c>
      <c r="E551" s="133">
        <v>42623</v>
      </c>
      <c r="F551" s="134" t="s">
        <v>1739</v>
      </c>
    </row>
    <row r="552" spans="1:6">
      <c r="A552" s="132">
        <v>11219000</v>
      </c>
      <c r="B552" s="132">
        <v>11216000</v>
      </c>
      <c r="C552" s="132">
        <v>11262000</v>
      </c>
      <c r="D552" s="132">
        <v>11219000</v>
      </c>
      <c r="E552" s="133">
        <v>42621</v>
      </c>
      <c r="F552" s="134" t="s">
        <v>1740</v>
      </c>
    </row>
    <row r="553" spans="1:6">
      <c r="A553" s="132">
        <v>11216000</v>
      </c>
      <c r="B553" s="132">
        <v>11209000</v>
      </c>
      <c r="C553" s="132">
        <v>11275000</v>
      </c>
      <c r="D553" s="132">
        <v>11216000</v>
      </c>
      <c r="E553" s="133">
        <v>42620</v>
      </c>
      <c r="F553" s="134" t="s">
        <v>1741</v>
      </c>
    </row>
    <row r="554" spans="1:6">
      <c r="A554" s="132">
        <v>11230000</v>
      </c>
      <c r="B554" s="132">
        <v>11157000</v>
      </c>
      <c r="C554" s="132">
        <v>11231000</v>
      </c>
      <c r="D554" s="132">
        <v>11230000</v>
      </c>
      <c r="E554" s="133">
        <v>42619</v>
      </c>
      <c r="F554" s="134" t="s">
        <v>1742</v>
      </c>
    </row>
    <row r="555" spans="1:6">
      <c r="A555" s="132">
        <v>11164000</v>
      </c>
      <c r="B555" s="132">
        <v>11144000</v>
      </c>
      <c r="C555" s="132">
        <v>11207000</v>
      </c>
      <c r="D555" s="132">
        <v>11164000</v>
      </c>
      <c r="E555" s="133">
        <v>42618</v>
      </c>
      <c r="F555" s="134" t="s">
        <v>1743</v>
      </c>
    </row>
    <row r="556" spans="1:6">
      <c r="A556" s="132">
        <v>11197000</v>
      </c>
      <c r="B556" s="132">
        <v>11192000</v>
      </c>
      <c r="C556" s="132">
        <v>11210000</v>
      </c>
      <c r="D556" s="132">
        <v>11197000</v>
      </c>
      <c r="E556" s="133">
        <v>42617</v>
      </c>
      <c r="F556" s="134" t="s">
        <v>1744</v>
      </c>
    </row>
    <row r="557" spans="1:6">
      <c r="A557" s="132">
        <v>11198000</v>
      </c>
      <c r="B557" s="132">
        <v>11169000</v>
      </c>
      <c r="C557" s="132">
        <v>11214000</v>
      </c>
      <c r="D557" s="132">
        <v>11198000</v>
      </c>
      <c r="E557" s="133">
        <v>42616</v>
      </c>
      <c r="F557" s="134" t="s">
        <v>1745</v>
      </c>
    </row>
    <row r="558" spans="1:6">
      <c r="A558" s="132">
        <v>11115000</v>
      </c>
      <c r="B558" s="132">
        <v>11085000</v>
      </c>
      <c r="C558" s="132">
        <v>11122000</v>
      </c>
      <c r="D558" s="132">
        <v>11115000</v>
      </c>
      <c r="E558" s="133">
        <v>42614</v>
      </c>
      <c r="F558" s="134" t="s">
        <v>1746</v>
      </c>
    </row>
    <row r="559" spans="1:6">
      <c r="A559" s="132">
        <v>11094000</v>
      </c>
      <c r="B559" s="132">
        <v>11087000</v>
      </c>
      <c r="C559" s="132">
        <v>11129000</v>
      </c>
      <c r="D559" s="132">
        <v>11094000</v>
      </c>
      <c r="E559" s="133">
        <v>42613</v>
      </c>
      <c r="F559" s="134" t="s">
        <v>1747</v>
      </c>
    </row>
    <row r="560" spans="1:6">
      <c r="A560" s="132">
        <v>11127000</v>
      </c>
      <c r="B560" s="132">
        <v>11127000</v>
      </c>
      <c r="C560" s="132">
        <v>11156000</v>
      </c>
      <c r="D560" s="132">
        <v>11127000</v>
      </c>
      <c r="E560" s="133">
        <v>42612</v>
      </c>
      <c r="F560" s="134" t="s">
        <v>1748</v>
      </c>
    </row>
    <row r="561" spans="1:6">
      <c r="A561" s="132">
        <v>11150000</v>
      </c>
      <c r="B561" s="132">
        <v>11102000</v>
      </c>
      <c r="C561" s="132">
        <v>11160000</v>
      </c>
      <c r="D561" s="132">
        <v>11150000</v>
      </c>
      <c r="E561" s="133">
        <v>42611</v>
      </c>
      <c r="F561" s="134" t="s">
        <v>1749</v>
      </c>
    </row>
    <row r="562" spans="1:6">
      <c r="A562" s="132">
        <v>11114000</v>
      </c>
      <c r="B562" s="132">
        <v>11107000</v>
      </c>
      <c r="C562" s="132">
        <v>11123000</v>
      </c>
      <c r="D562" s="132">
        <v>11114000</v>
      </c>
      <c r="E562" s="133">
        <v>42610</v>
      </c>
      <c r="F562" s="134" t="s">
        <v>1750</v>
      </c>
    </row>
    <row r="563" spans="1:6">
      <c r="A563" s="132">
        <v>11115000</v>
      </c>
      <c r="B563" s="132">
        <v>11095000</v>
      </c>
      <c r="C563" s="132">
        <v>11119000</v>
      </c>
      <c r="D563" s="132">
        <v>11115000</v>
      </c>
      <c r="E563" s="133">
        <v>42609</v>
      </c>
      <c r="F563" s="134" t="s">
        <v>1751</v>
      </c>
    </row>
    <row r="564" spans="1:6">
      <c r="A564" s="132">
        <v>11090000</v>
      </c>
      <c r="B564" s="132">
        <v>11081000</v>
      </c>
      <c r="C564" s="132">
        <v>11112000</v>
      </c>
      <c r="D564" s="132">
        <v>11090000</v>
      </c>
      <c r="E564" s="133">
        <v>42607</v>
      </c>
      <c r="F564" s="134" t="s">
        <v>1752</v>
      </c>
    </row>
    <row r="565" spans="1:6">
      <c r="A565" s="132">
        <v>11097000</v>
      </c>
      <c r="B565" s="132">
        <v>11082000</v>
      </c>
      <c r="C565" s="132">
        <v>11165000</v>
      </c>
      <c r="D565" s="132">
        <v>11097000</v>
      </c>
      <c r="E565" s="133">
        <v>42606</v>
      </c>
      <c r="F565" s="134" t="s">
        <v>1753</v>
      </c>
    </row>
    <row r="566" spans="1:6">
      <c r="A566" s="132">
        <v>11163000</v>
      </c>
      <c r="B566" s="132">
        <v>11127000</v>
      </c>
      <c r="C566" s="132">
        <v>11174000</v>
      </c>
      <c r="D566" s="132">
        <v>11163000</v>
      </c>
      <c r="E566" s="133">
        <v>42605</v>
      </c>
      <c r="F566" s="134" t="s">
        <v>1754</v>
      </c>
    </row>
    <row r="567" spans="1:6">
      <c r="A567" s="132">
        <v>11134000</v>
      </c>
      <c r="B567" s="132">
        <v>11107000</v>
      </c>
      <c r="C567" s="132">
        <v>11137000</v>
      </c>
      <c r="D567" s="132">
        <v>11134000</v>
      </c>
      <c r="E567" s="133">
        <v>42604</v>
      </c>
      <c r="F567" s="134" t="s">
        <v>1755</v>
      </c>
    </row>
    <row r="568" spans="1:6">
      <c r="A568" s="132">
        <v>11147000</v>
      </c>
      <c r="B568" s="132">
        <v>11113800</v>
      </c>
      <c r="C568" s="132">
        <v>11154000</v>
      </c>
      <c r="D568" s="132">
        <v>11147000</v>
      </c>
      <c r="E568" s="133">
        <v>42603</v>
      </c>
      <c r="F568" s="134" t="s">
        <v>1756</v>
      </c>
    </row>
    <row r="569" spans="1:6">
      <c r="A569" s="132">
        <v>11140000</v>
      </c>
      <c r="B569" s="132">
        <v>11127000</v>
      </c>
      <c r="C569" s="132">
        <v>11161000</v>
      </c>
      <c r="D569" s="132">
        <v>11140000</v>
      </c>
      <c r="E569" s="133">
        <v>42602</v>
      </c>
      <c r="F569" s="134" t="s">
        <v>1757</v>
      </c>
    </row>
    <row r="570" spans="1:6">
      <c r="A570" s="132">
        <v>11205000</v>
      </c>
      <c r="B570" s="132">
        <v>11196000</v>
      </c>
      <c r="C570" s="132">
        <v>11242000</v>
      </c>
      <c r="D570" s="132">
        <v>11205000</v>
      </c>
      <c r="E570" s="133">
        <v>42600</v>
      </c>
      <c r="F570" s="134" t="s">
        <v>1758</v>
      </c>
    </row>
    <row r="571" spans="1:6">
      <c r="A571" s="132">
        <v>11184000</v>
      </c>
      <c r="B571" s="132">
        <v>11171000</v>
      </c>
      <c r="C571" s="132">
        <v>11210000</v>
      </c>
      <c r="D571" s="132">
        <v>11184000</v>
      </c>
      <c r="E571" s="133">
        <v>42599</v>
      </c>
      <c r="F571" s="134" t="s">
        <v>1759</v>
      </c>
    </row>
    <row r="572" spans="1:6">
      <c r="A572" s="132">
        <v>11188000</v>
      </c>
      <c r="B572" s="132">
        <v>11167000</v>
      </c>
      <c r="C572" s="132">
        <v>11230000</v>
      </c>
      <c r="D572" s="132">
        <v>11188000</v>
      </c>
      <c r="E572" s="133">
        <v>42598</v>
      </c>
      <c r="F572" s="134" t="s">
        <v>1760</v>
      </c>
    </row>
    <row r="573" spans="1:6">
      <c r="A573" s="132">
        <v>11126000</v>
      </c>
      <c r="B573" s="132">
        <v>11090000</v>
      </c>
      <c r="C573" s="132">
        <v>11135000</v>
      </c>
      <c r="D573" s="132">
        <v>11126000</v>
      </c>
      <c r="E573" s="133">
        <v>42597</v>
      </c>
      <c r="F573" s="134" t="s">
        <v>1761</v>
      </c>
    </row>
    <row r="574" spans="1:6">
      <c r="A574" s="132">
        <v>11086000</v>
      </c>
      <c r="B574" s="132">
        <v>11083000</v>
      </c>
      <c r="C574" s="132">
        <v>11104000</v>
      </c>
      <c r="D574" s="132">
        <v>11086000</v>
      </c>
      <c r="E574" s="133">
        <v>42596</v>
      </c>
      <c r="F574" s="134" t="s">
        <v>1762</v>
      </c>
    </row>
    <row r="575" spans="1:6">
      <c r="A575" s="132">
        <v>11089000</v>
      </c>
      <c r="B575" s="132">
        <v>11086000</v>
      </c>
      <c r="C575" s="132">
        <v>11134000</v>
      </c>
      <c r="D575" s="132">
        <v>11089000</v>
      </c>
      <c r="E575" s="133">
        <v>42595</v>
      </c>
      <c r="F575" s="134" t="s">
        <v>1763</v>
      </c>
    </row>
    <row r="576" spans="1:6">
      <c r="A576" s="132">
        <v>11195000</v>
      </c>
      <c r="B576" s="132">
        <v>11185000</v>
      </c>
      <c r="C576" s="132">
        <v>11210000</v>
      </c>
      <c r="D576" s="132">
        <v>11195000</v>
      </c>
      <c r="E576" s="133">
        <v>42593</v>
      </c>
      <c r="F576" s="134" t="s">
        <v>1764</v>
      </c>
    </row>
    <row r="577" spans="1:6">
      <c r="A577" s="132">
        <v>11210000</v>
      </c>
      <c r="B577" s="132">
        <v>11207000</v>
      </c>
      <c r="C577" s="132">
        <v>11263000</v>
      </c>
      <c r="D577" s="132">
        <v>11210000</v>
      </c>
      <c r="E577" s="133">
        <v>42592</v>
      </c>
      <c r="F577" s="134" t="s">
        <v>1765</v>
      </c>
    </row>
    <row r="578" spans="1:6">
      <c r="A578" s="132">
        <v>11141000</v>
      </c>
      <c r="B578" s="132">
        <v>11056000</v>
      </c>
      <c r="C578" s="132">
        <v>11143000</v>
      </c>
      <c r="D578" s="132">
        <v>11141000</v>
      </c>
      <c r="E578" s="133">
        <v>42591</v>
      </c>
      <c r="F578" s="134" t="s">
        <v>1766</v>
      </c>
    </row>
    <row r="579" spans="1:6">
      <c r="A579" s="132">
        <v>11071000</v>
      </c>
      <c r="B579" s="132">
        <v>11053000</v>
      </c>
      <c r="C579" s="132">
        <v>11080000</v>
      </c>
      <c r="D579" s="132">
        <v>11071000</v>
      </c>
      <c r="E579" s="133">
        <v>42590</v>
      </c>
      <c r="F579" s="134" t="s">
        <v>1767</v>
      </c>
    </row>
    <row r="580" spans="1:6">
      <c r="A580" s="132">
        <v>11060000</v>
      </c>
      <c r="B580" s="132">
        <v>11053000</v>
      </c>
      <c r="C580" s="132">
        <v>11074000</v>
      </c>
      <c r="D580" s="132">
        <v>11060000</v>
      </c>
      <c r="E580" s="133">
        <v>42589</v>
      </c>
      <c r="F580" s="134" t="s">
        <v>1768</v>
      </c>
    </row>
    <row r="581" spans="1:6">
      <c r="A581" s="132">
        <v>11047000</v>
      </c>
      <c r="B581" s="132">
        <v>11030000</v>
      </c>
      <c r="C581" s="132">
        <v>11055000</v>
      </c>
      <c r="D581" s="132">
        <v>11047000</v>
      </c>
      <c r="E581" s="133">
        <v>42588</v>
      </c>
      <c r="F581" s="134" t="s">
        <v>1769</v>
      </c>
    </row>
    <row r="582" spans="1:6">
      <c r="A582" s="132">
        <v>11205000</v>
      </c>
      <c r="B582" s="132">
        <v>11140000</v>
      </c>
      <c r="C582" s="132">
        <v>11223000</v>
      </c>
      <c r="D582" s="132">
        <v>11205000</v>
      </c>
      <c r="E582" s="133">
        <v>42586</v>
      </c>
      <c r="F582" s="134" t="s">
        <v>1770</v>
      </c>
    </row>
    <row r="583" spans="1:6">
      <c r="A583" s="132">
        <v>11198000</v>
      </c>
      <c r="B583" s="132">
        <v>11189000</v>
      </c>
      <c r="C583" s="132">
        <v>11292000</v>
      </c>
      <c r="D583" s="132">
        <v>11198000</v>
      </c>
      <c r="E583" s="133">
        <v>42585</v>
      </c>
      <c r="F583" s="134" t="s">
        <v>1771</v>
      </c>
    </row>
    <row r="584" spans="1:6">
      <c r="A584" s="132">
        <v>11287000</v>
      </c>
      <c r="B584" s="132">
        <v>11174000</v>
      </c>
      <c r="C584" s="132">
        <v>11297000</v>
      </c>
      <c r="D584" s="132">
        <v>11287000</v>
      </c>
      <c r="E584" s="133">
        <v>42584</v>
      </c>
      <c r="F584" s="134" t="s">
        <v>1772</v>
      </c>
    </row>
    <row r="585" spans="1:6">
      <c r="A585" s="132">
        <v>11174000</v>
      </c>
      <c r="B585" s="132">
        <v>11130000</v>
      </c>
      <c r="C585" s="132">
        <v>11181000</v>
      </c>
      <c r="D585" s="132">
        <v>11174000</v>
      </c>
      <c r="E585" s="133">
        <v>42583</v>
      </c>
      <c r="F585" s="134" t="s">
        <v>1773</v>
      </c>
    </row>
    <row r="586" spans="1:6">
      <c r="A586" s="132">
        <v>11157000</v>
      </c>
      <c r="B586" s="132">
        <v>11137000</v>
      </c>
      <c r="C586" s="132">
        <v>11168000</v>
      </c>
      <c r="D586" s="132">
        <v>11157000</v>
      </c>
      <c r="E586" s="133">
        <v>42582</v>
      </c>
      <c r="F586" s="134" t="s">
        <v>1774</v>
      </c>
    </row>
    <row r="587" spans="1:6">
      <c r="A587" s="132">
        <v>11162000</v>
      </c>
      <c r="B587" s="132">
        <v>11145000</v>
      </c>
      <c r="C587" s="132">
        <v>11165000</v>
      </c>
      <c r="D587" s="132">
        <v>11162000</v>
      </c>
      <c r="E587" s="133">
        <v>42581</v>
      </c>
      <c r="F587" s="134" t="s">
        <v>1775</v>
      </c>
    </row>
    <row r="588" spans="1:6">
      <c r="A588" s="132">
        <v>11062000</v>
      </c>
      <c r="B588" s="132">
        <v>11055000</v>
      </c>
      <c r="C588" s="132">
        <v>11129000</v>
      </c>
      <c r="D588" s="132">
        <v>11062000</v>
      </c>
      <c r="E588" s="133">
        <v>42579</v>
      </c>
      <c r="F588" s="134" t="s">
        <v>1776</v>
      </c>
    </row>
    <row r="589" spans="1:6">
      <c r="A589" s="132">
        <v>10979000</v>
      </c>
      <c r="B589" s="132">
        <v>10897000</v>
      </c>
      <c r="C589" s="132">
        <v>10982000</v>
      </c>
      <c r="D589" s="132">
        <v>10979000</v>
      </c>
      <c r="E589" s="133">
        <v>42578</v>
      </c>
      <c r="F589" s="134" t="s">
        <v>1777</v>
      </c>
    </row>
    <row r="590" spans="1:6">
      <c r="A590" s="132">
        <v>10922000</v>
      </c>
      <c r="B590" s="132">
        <v>10854000</v>
      </c>
      <c r="C590" s="132">
        <v>10936000</v>
      </c>
      <c r="D590" s="132">
        <v>10922000</v>
      </c>
      <c r="E590" s="133">
        <v>42577</v>
      </c>
      <c r="F590" s="134" t="s">
        <v>1778</v>
      </c>
    </row>
    <row r="591" spans="1:6">
      <c r="A591" s="132">
        <v>10875000</v>
      </c>
      <c r="B591" s="132">
        <v>10835000</v>
      </c>
      <c r="C591" s="132">
        <v>10875000</v>
      </c>
      <c r="D591" s="132">
        <v>10875000</v>
      </c>
      <c r="E591" s="133">
        <v>42576</v>
      </c>
      <c r="F591" s="134" t="s">
        <v>1779</v>
      </c>
    </row>
    <row r="592" spans="1:6">
      <c r="A592" s="132">
        <v>10857000</v>
      </c>
      <c r="B592" s="132">
        <v>10790000</v>
      </c>
      <c r="C592" s="132">
        <v>10890000</v>
      </c>
      <c r="D592" s="132">
        <v>10857000</v>
      </c>
      <c r="E592" s="133">
        <v>42575</v>
      </c>
      <c r="F592" s="134" t="s">
        <v>1780</v>
      </c>
    </row>
    <row r="593" spans="1:6">
      <c r="A593" s="132">
        <v>10872000</v>
      </c>
      <c r="B593" s="132">
        <v>10832000</v>
      </c>
      <c r="C593" s="132">
        <v>10882000</v>
      </c>
      <c r="D593" s="132">
        <v>10872000</v>
      </c>
      <c r="E593" s="133">
        <v>42574</v>
      </c>
      <c r="F593" s="134" t="s">
        <v>1781</v>
      </c>
    </row>
    <row r="594" spans="1:6">
      <c r="A594" s="132">
        <v>10896000</v>
      </c>
      <c r="B594" s="132">
        <v>10814000</v>
      </c>
      <c r="C594" s="132">
        <v>10896000</v>
      </c>
      <c r="D594" s="132">
        <v>10896000</v>
      </c>
      <c r="E594" s="133">
        <v>42572</v>
      </c>
      <c r="F594" s="134" t="s">
        <v>1782</v>
      </c>
    </row>
    <row r="595" spans="1:6">
      <c r="A595" s="132">
        <v>10822000</v>
      </c>
      <c r="B595" s="132">
        <v>10821000</v>
      </c>
      <c r="C595" s="132">
        <v>10877000</v>
      </c>
      <c r="D595" s="132">
        <v>10822000</v>
      </c>
      <c r="E595" s="133">
        <v>42571</v>
      </c>
      <c r="F595" s="134" t="s">
        <v>1783</v>
      </c>
    </row>
    <row r="596" spans="1:6">
      <c r="A596" s="132">
        <v>10875000</v>
      </c>
      <c r="B596" s="132">
        <v>10849000</v>
      </c>
      <c r="C596" s="132">
        <v>10892000</v>
      </c>
      <c r="D596" s="132">
        <v>10875000</v>
      </c>
      <c r="E596" s="133">
        <v>42570</v>
      </c>
      <c r="F596" s="134" t="s">
        <v>1784</v>
      </c>
    </row>
    <row r="597" spans="1:6">
      <c r="A597" s="132">
        <v>10844500</v>
      </c>
      <c r="B597" s="132">
        <v>10818000</v>
      </c>
      <c r="C597" s="132">
        <v>10885000</v>
      </c>
      <c r="D597" s="132">
        <v>10844500</v>
      </c>
      <c r="E597" s="133">
        <v>42569</v>
      </c>
      <c r="F597" s="134" t="s">
        <v>1785</v>
      </c>
    </row>
    <row r="598" spans="1:6">
      <c r="A598" s="132">
        <v>10894000</v>
      </c>
      <c r="B598" s="132">
        <v>10890000</v>
      </c>
      <c r="C598" s="132">
        <v>10917000</v>
      </c>
      <c r="D598" s="132">
        <v>10894000</v>
      </c>
      <c r="E598" s="133">
        <v>42568</v>
      </c>
      <c r="F598" s="134" t="s">
        <v>1786</v>
      </c>
    </row>
    <row r="599" spans="1:6">
      <c r="A599" s="132">
        <v>10914000</v>
      </c>
      <c r="B599" s="132">
        <v>10914000</v>
      </c>
      <c r="C599" s="132">
        <v>10980000</v>
      </c>
      <c r="D599" s="132">
        <v>10914000</v>
      </c>
      <c r="E599" s="133">
        <v>42567</v>
      </c>
      <c r="F599" s="134" t="s">
        <v>1787</v>
      </c>
    </row>
    <row r="600" spans="1:6">
      <c r="A600" s="132">
        <v>10940000</v>
      </c>
      <c r="B600" s="132">
        <v>10905000</v>
      </c>
      <c r="C600" s="132">
        <v>11029000</v>
      </c>
      <c r="D600" s="132">
        <v>10940000</v>
      </c>
      <c r="E600" s="133">
        <v>42565</v>
      </c>
      <c r="F600" s="134" t="s">
        <v>1788</v>
      </c>
    </row>
    <row r="601" spans="1:6">
      <c r="A601" s="132">
        <v>11023000</v>
      </c>
      <c r="B601" s="132">
        <v>10974000</v>
      </c>
      <c r="C601" s="132">
        <v>11045000</v>
      </c>
      <c r="D601" s="132">
        <v>11023000</v>
      </c>
      <c r="E601" s="133">
        <v>42564</v>
      </c>
      <c r="F601" s="134" t="s">
        <v>1789</v>
      </c>
    </row>
    <row r="602" spans="1:6">
      <c r="A602" s="132">
        <v>11070000</v>
      </c>
      <c r="B602" s="132">
        <v>11058500</v>
      </c>
      <c r="C602" s="132">
        <v>11184000</v>
      </c>
      <c r="D602" s="132">
        <v>11070000</v>
      </c>
      <c r="E602" s="133">
        <v>42563</v>
      </c>
      <c r="F602" s="134" t="s">
        <v>1790</v>
      </c>
    </row>
    <row r="603" spans="1:6">
      <c r="A603" s="132">
        <v>11164000</v>
      </c>
      <c r="B603" s="132">
        <v>11139000</v>
      </c>
      <c r="C603" s="132">
        <v>11182000</v>
      </c>
      <c r="D603" s="132">
        <v>11164000</v>
      </c>
      <c r="E603" s="133">
        <v>42562</v>
      </c>
      <c r="F603" s="134" t="s">
        <v>1791</v>
      </c>
    </row>
    <row r="604" spans="1:6">
      <c r="A604" s="132">
        <v>11187000</v>
      </c>
      <c r="B604" s="132">
        <v>11168000</v>
      </c>
      <c r="C604" s="132">
        <v>11220000</v>
      </c>
      <c r="D604" s="132">
        <v>11187000</v>
      </c>
      <c r="E604" s="133">
        <v>42561</v>
      </c>
      <c r="F604" s="134" t="s">
        <v>1792</v>
      </c>
    </row>
    <row r="605" spans="1:6">
      <c r="A605" s="132">
        <v>11203000</v>
      </c>
      <c r="B605" s="132">
        <v>11130000</v>
      </c>
      <c r="C605" s="132">
        <v>11217000</v>
      </c>
      <c r="D605" s="132">
        <v>11203000</v>
      </c>
      <c r="E605" s="133">
        <v>42560</v>
      </c>
      <c r="F605" s="134" t="s">
        <v>1793</v>
      </c>
    </row>
    <row r="606" spans="1:6">
      <c r="A606" s="132">
        <v>11008000</v>
      </c>
      <c r="B606" s="132">
        <v>10947000</v>
      </c>
      <c r="C606" s="132">
        <v>11023000</v>
      </c>
      <c r="D606" s="132">
        <v>11008000</v>
      </c>
      <c r="E606" s="133">
        <v>42556</v>
      </c>
      <c r="F606" s="134" t="s">
        <v>1794</v>
      </c>
    </row>
    <row r="607" spans="1:6">
      <c r="A607" s="132">
        <v>11002000</v>
      </c>
      <c r="B607" s="132">
        <v>10952000</v>
      </c>
      <c r="C607" s="132">
        <v>11026000</v>
      </c>
      <c r="D607" s="132">
        <v>11002000</v>
      </c>
      <c r="E607" s="133">
        <v>42555</v>
      </c>
      <c r="F607" s="134" t="s">
        <v>1795</v>
      </c>
    </row>
    <row r="608" spans="1:6">
      <c r="A608" s="132">
        <v>10974000</v>
      </c>
      <c r="B608" s="132">
        <v>10969000</v>
      </c>
      <c r="C608" s="132">
        <v>11002000</v>
      </c>
      <c r="D608" s="132">
        <v>10974000</v>
      </c>
      <c r="E608" s="133">
        <v>42554</v>
      </c>
      <c r="F608" s="134" t="s">
        <v>1796</v>
      </c>
    </row>
    <row r="609" spans="1:6">
      <c r="A609" s="132">
        <v>11026000</v>
      </c>
      <c r="B609" s="132">
        <v>10982000</v>
      </c>
      <c r="C609" s="132">
        <v>11065000</v>
      </c>
      <c r="D609" s="132">
        <v>11026000</v>
      </c>
      <c r="E609" s="133">
        <v>42553</v>
      </c>
      <c r="F609" s="134" t="s">
        <v>1797</v>
      </c>
    </row>
    <row r="610" spans="1:6">
      <c r="A610" s="132">
        <v>10813000</v>
      </c>
      <c r="B610" s="132">
        <v>10790000</v>
      </c>
      <c r="C610" s="132">
        <v>10868000</v>
      </c>
      <c r="D610" s="132">
        <v>10813000</v>
      </c>
      <c r="E610" s="133">
        <v>42551</v>
      </c>
      <c r="F610" s="134" t="s">
        <v>1798</v>
      </c>
    </row>
    <row r="611" spans="1:6">
      <c r="A611" s="132">
        <v>10885000</v>
      </c>
      <c r="B611" s="132">
        <v>10729000</v>
      </c>
      <c r="C611" s="132">
        <v>10885000</v>
      </c>
      <c r="D611" s="132">
        <v>10885000</v>
      </c>
      <c r="E611" s="133">
        <v>42550</v>
      </c>
      <c r="F611" s="134" t="s">
        <v>1799</v>
      </c>
    </row>
    <row r="612" spans="1:6">
      <c r="A612" s="132">
        <v>10730000</v>
      </c>
      <c r="B612" s="132">
        <v>10691000</v>
      </c>
      <c r="C612" s="132">
        <v>10799000</v>
      </c>
      <c r="D612" s="132">
        <v>10730000</v>
      </c>
      <c r="E612" s="133">
        <v>42549</v>
      </c>
      <c r="F612" s="134" t="s">
        <v>1800</v>
      </c>
    </row>
    <row r="613" spans="1:6">
      <c r="A613" s="132">
        <v>10757000</v>
      </c>
      <c r="B613" s="132">
        <v>10696000</v>
      </c>
      <c r="C613" s="132">
        <v>10846000</v>
      </c>
      <c r="D613" s="132">
        <v>10757000</v>
      </c>
      <c r="E613" s="133">
        <v>42548</v>
      </c>
      <c r="F613" s="134" t="s">
        <v>1801</v>
      </c>
    </row>
    <row r="614" spans="1:6">
      <c r="A614" s="132">
        <v>10691000</v>
      </c>
      <c r="B614" s="132">
        <v>10599000</v>
      </c>
      <c r="C614" s="132">
        <v>10701000</v>
      </c>
      <c r="D614" s="132">
        <v>10691000</v>
      </c>
      <c r="E614" s="133">
        <v>42547</v>
      </c>
      <c r="F614" s="134" t="s">
        <v>1802</v>
      </c>
    </row>
    <row r="615" spans="1:6">
      <c r="A615" s="132">
        <v>10621000</v>
      </c>
      <c r="B615" s="132">
        <v>10555000</v>
      </c>
      <c r="C615" s="132">
        <v>10627000</v>
      </c>
      <c r="D615" s="132">
        <v>10621000</v>
      </c>
      <c r="E615" s="133">
        <v>42546</v>
      </c>
      <c r="F615" s="134" t="s">
        <v>1803</v>
      </c>
    </row>
    <row r="616" spans="1:6">
      <c r="A616" s="132">
        <v>10254000</v>
      </c>
      <c r="B616" s="132">
        <v>10254000</v>
      </c>
      <c r="C616" s="132">
        <v>10300000</v>
      </c>
      <c r="D616" s="132">
        <v>10254000</v>
      </c>
      <c r="E616" s="133">
        <v>42544</v>
      </c>
      <c r="F616" s="134" t="s">
        <v>1804</v>
      </c>
    </row>
    <row r="617" spans="1:6">
      <c r="A617" s="132">
        <v>10278000</v>
      </c>
      <c r="B617" s="132">
        <v>10260000</v>
      </c>
      <c r="C617" s="132">
        <v>10283000</v>
      </c>
      <c r="D617" s="132">
        <v>10278000</v>
      </c>
      <c r="E617" s="133">
        <v>42543</v>
      </c>
      <c r="F617" s="134" t="s">
        <v>1805</v>
      </c>
    </row>
    <row r="618" spans="1:6">
      <c r="A618" s="132">
        <v>10287000</v>
      </c>
      <c r="B618" s="132">
        <v>10279000</v>
      </c>
      <c r="C618" s="132">
        <v>10355000</v>
      </c>
      <c r="D618" s="132">
        <v>10287000</v>
      </c>
      <c r="E618" s="133">
        <v>42542</v>
      </c>
      <c r="F618" s="134" t="s">
        <v>1806</v>
      </c>
    </row>
    <row r="619" spans="1:6">
      <c r="A619" s="132">
        <v>10340000</v>
      </c>
      <c r="B619" s="132">
        <v>10308000</v>
      </c>
      <c r="C619" s="132">
        <v>10354000</v>
      </c>
      <c r="D619" s="132">
        <v>10340000</v>
      </c>
      <c r="E619" s="133">
        <v>42541</v>
      </c>
      <c r="F619" s="134" t="s">
        <v>1807</v>
      </c>
    </row>
    <row r="620" spans="1:6">
      <c r="A620" s="132">
        <v>10421000</v>
      </c>
      <c r="B620" s="132">
        <v>10416000</v>
      </c>
      <c r="C620" s="132">
        <v>10432000</v>
      </c>
      <c r="D620" s="132">
        <v>10421000</v>
      </c>
      <c r="E620" s="133">
        <v>42540</v>
      </c>
      <c r="F620" s="134" t="s">
        <v>1808</v>
      </c>
    </row>
    <row r="621" spans="1:6">
      <c r="A621" s="132">
        <v>10422000</v>
      </c>
      <c r="B621" s="132">
        <v>10413000</v>
      </c>
      <c r="C621" s="132">
        <v>10433000</v>
      </c>
      <c r="D621" s="132">
        <v>10422000</v>
      </c>
      <c r="E621" s="133">
        <v>42539</v>
      </c>
      <c r="F621" s="134" t="s">
        <v>1809</v>
      </c>
    </row>
    <row r="622" spans="1:6">
      <c r="A622" s="132">
        <v>10493000</v>
      </c>
      <c r="B622" s="132">
        <v>10400000</v>
      </c>
      <c r="C622" s="132">
        <v>10523000</v>
      </c>
      <c r="D622" s="132">
        <v>10493000</v>
      </c>
      <c r="E622" s="133">
        <v>42537</v>
      </c>
      <c r="F622" s="134" t="s">
        <v>1810</v>
      </c>
    </row>
    <row r="623" spans="1:6">
      <c r="A623" s="132">
        <v>10314000</v>
      </c>
      <c r="B623" s="132">
        <v>10303000</v>
      </c>
      <c r="C623" s="132">
        <v>10334000</v>
      </c>
      <c r="D623" s="132">
        <v>10314000</v>
      </c>
      <c r="E623" s="133">
        <v>42536</v>
      </c>
      <c r="F623" s="134" t="s">
        <v>1811</v>
      </c>
    </row>
    <row r="624" spans="1:6">
      <c r="A624" s="132">
        <v>10317000</v>
      </c>
      <c r="B624" s="132">
        <v>10273000</v>
      </c>
      <c r="C624" s="132">
        <v>10340000</v>
      </c>
      <c r="D624" s="132">
        <v>10317000</v>
      </c>
      <c r="E624" s="133">
        <v>42535</v>
      </c>
      <c r="F624" s="134" t="s">
        <v>1812</v>
      </c>
    </row>
    <row r="625" spans="1:6">
      <c r="A625" s="132">
        <v>10306000</v>
      </c>
      <c r="B625" s="132">
        <v>10286000</v>
      </c>
      <c r="C625" s="132">
        <v>10335000</v>
      </c>
      <c r="D625" s="132">
        <v>10306000</v>
      </c>
      <c r="E625" s="133">
        <v>42534</v>
      </c>
      <c r="F625" s="134" t="s">
        <v>1813</v>
      </c>
    </row>
    <row r="626" spans="1:6">
      <c r="A626" s="132">
        <v>10288000</v>
      </c>
      <c r="B626" s="132">
        <v>10280000</v>
      </c>
      <c r="C626" s="132">
        <v>10302500</v>
      </c>
      <c r="D626" s="132">
        <v>10288000</v>
      </c>
      <c r="E626" s="133">
        <v>42533</v>
      </c>
      <c r="F626" s="134" t="s">
        <v>1814</v>
      </c>
    </row>
    <row r="627" spans="1:6">
      <c r="A627" s="132">
        <v>10295000</v>
      </c>
      <c r="B627" s="132">
        <v>10292500</v>
      </c>
      <c r="C627" s="132">
        <v>10329000</v>
      </c>
      <c r="D627" s="132">
        <v>10295000</v>
      </c>
      <c r="E627" s="133">
        <v>42532</v>
      </c>
      <c r="F627" s="134" t="s">
        <v>1815</v>
      </c>
    </row>
    <row r="628" spans="1:6">
      <c r="A628" s="132">
        <v>10267000</v>
      </c>
      <c r="B628" s="132">
        <v>10179000</v>
      </c>
      <c r="C628" s="132">
        <v>10267000</v>
      </c>
      <c r="D628" s="132">
        <v>10267000</v>
      </c>
      <c r="E628" s="133">
        <v>42530</v>
      </c>
      <c r="F628" s="134" t="s">
        <v>1816</v>
      </c>
    </row>
    <row r="629" spans="1:6">
      <c r="A629" s="132">
        <v>10168500</v>
      </c>
      <c r="B629" s="132">
        <v>10064000</v>
      </c>
      <c r="C629" s="132">
        <v>10168500</v>
      </c>
      <c r="D629" s="132">
        <v>10168500</v>
      </c>
      <c r="E629" s="133">
        <v>42529</v>
      </c>
      <c r="F629" s="134" t="s">
        <v>1817</v>
      </c>
    </row>
    <row r="630" spans="1:6">
      <c r="A630" s="132">
        <v>10040000</v>
      </c>
      <c r="B630" s="132">
        <v>10019000</v>
      </c>
      <c r="C630" s="132">
        <v>10080000</v>
      </c>
      <c r="D630" s="132">
        <v>10040000</v>
      </c>
      <c r="E630" s="133">
        <v>42528</v>
      </c>
      <c r="F630" s="134" t="s">
        <v>1818</v>
      </c>
    </row>
    <row r="631" spans="1:6">
      <c r="A631" s="132">
        <v>10080000</v>
      </c>
      <c r="B631" s="132">
        <v>10059500</v>
      </c>
      <c r="C631" s="132">
        <v>10122000</v>
      </c>
      <c r="D631" s="132">
        <v>10080000</v>
      </c>
      <c r="E631" s="133">
        <v>42527</v>
      </c>
      <c r="F631" s="134" t="s">
        <v>1819</v>
      </c>
    </row>
    <row r="632" spans="1:6">
      <c r="A632" s="132">
        <v>10126000</v>
      </c>
      <c r="B632" s="132">
        <v>10118000</v>
      </c>
      <c r="C632" s="132">
        <v>10150000</v>
      </c>
      <c r="D632" s="132">
        <v>10126000</v>
      </c>
      <c r="E632" s="133">
        <v>42526</v>
      </c>
      <c r="F632" s="134" t="s">
        <v>1820</v>
      </c>
    </row>
    <row r="633" spans="1:6">
      <c r="A633" s="132">
        <v>10025000</v>
      </c>
      <c r="B633" s="132">
        <v>9988000</v>
      </c>
      <c r="C633" s="132">
        <v>10025000</v>
      </c>
      <c r="D633" s="132">
        <v>10025000</v>
      </c>
      <c r="E633" s="133">
        <v>42523</v>
      </c>
      <c r="F633" s="134" t="s">
        <v>1821</v>
      </c>
    </row>
    <row r="634" spans="1:6">
      <c r="A634" s="132">
        <v>9986000</v>
      </c>
      <c r="B634" s="132">
        <v>9986000</v>
      </c>
      <c r="C634" s="132">
        <v>10035000</v>
      </c>
      <c r="D634" s="132">
        <v>9986000</v>
      </c>
      <c r="E634" s="133">
        <v>42522</v>
      </c>
      <c r="F634" s="134" t="s">
        <v>1822</v>
      </c>
    </row>
    <row r="635" spans="1:6">
      <c r="A635" s="132">
        <v>10014000</v>
      </c>
      <c r="B635" s="132">
        <v>9996000</v>
      </c>
      <c r="C635" s="132">
        <v>10032000</v>
      </c>
      <c r="D635" s="132">
        <v>10014000</v>
      </c>
      <c r="E635" s="133">
        <v>42521</v>
      </c>
      <c r="F635" s="134" t="s">
        <v>1823</v>
      </c>
    </row>
    <row r="636" spans="1:6">
      <c r="A636" s="132">
        <v>10002000</v>
      </c>
      <c r="B636" s="132">
        <v>9927000</v>
      </c>
      <c r="C636" s="132">
        <v>10024000</v>
      </c>
      <c r="D636" s="132">
        <v>10002000</v>
      </c>
      <c r="E636" s="133">
        <v>42520</v>
      </c>
      <c r="F636" s="134" t="s">
        <v>1824</v>
      </c>
    </row>
    <row r="637" spans="1:6">
      <c r="A637" s="132">
        <v>9975000</v>
      </c>
      <c r="B637" s="132">
        <v>9968500</v>
      </c>
      <c r="C637" s="132">
        <v>10025000</v>
      </c>
      <c r="D637" s="132">
        <v>9975000</v>
      </c>
      <c r="E637" s="133">
        <v>42519</v>
      </c>
      <c r="F637" s="134" t="s">
        <v>1825</v>
      </c>
    </row>
    <row r="638" spans="1:6">
      <c r="A638" s="132">
        <v>10000000</v>
      </c>
      <c r="B638" s="132">
        <v>9938000</v>
      </c>
      <c r="C638" s="132">
        <v>10017000</v>
      </c>
      <c r="D638" s="132">
        <v>10000000</v>
      </c>
      <c r="E638" s="133">
        <v>42518</v>
      </c>
      <c r="F638" s="134" t="s">
        <v>1826</v>
      </c>
    </row>
    <row r="639" spans="1:6">
      <c r="A639" s="132">
        <v>10020000</v>
      </c>
      <c r="B639" s="132">
        <v>10004000</v>
      </c>
      <c r="C639" s="132">
        <v>10082000</v>
      </c>
      <c r="D639" s="132">
        <v>10020000</v>
      </c>
      <c r="E639" s="133">
        <v>42516</v>
      </c>
      <c r="F639" s="134" t="s">
        <v>1827</v>
      </c>
    </row>
    <row r="640" spans="1:6">
      <c r="A640" s="132">
        <v>9988000</v>
      </c>
      <c r="B640" s="132">
        <v>9944000</v>
      </c>
      <c r="C640" s="132">
        <v>10026500</v>
      </c>
      <c r="D640" s="132">
        <v>9988000</v>
      </c>
      <c r="E640" s="133">
        <v>42515</v>
      </c>
      <c r="F640" s="134" t="s">
        <v>1828</v>
      </c>
    </row>
    <row r="641" spans="1:6">
      <c r="A641" s="132">
        <v>10062000</v>
      </c>
      <c r="B641" s="132">
        <v>10030000</v>
      </c>
      <c r="C641" s="132">
        <v>10106000</v>
      </c>
      <c r="D641" s="132">
        <v>10062000</v>
      </c>
      <c r="E641" s="133">
        <v>42514</v>
      </c>
      <c r="F641" s="134" t="s">
        <v>1829</v>
      </c>
    </row>
    <row r="642" spans="1:6">
      <c r="A642" s="132">
        <v>10097000</v>
      </c>
      <c r="B642" s="132">
        <v>10089000</v>
      </c>
      <c r="C642" s="132">
        <v>10126000</v>
      </c>
      <c r="D642" s="132">
        <v>10097000</v>
      </c>
      <c r="E642" s="133">
        <v>42513</v>
      </c>
      <c r="F642" s="134" t="s">
        <v>1830</v>
      </c>
    </row>
    <row r="643" spans="1:6">
      <c r="A643" s="132">
        <v>10112000</v>
      </c>
      <c r="B643" s="132">
        <v>10089000</v>
      </c>
      <c r="C643" s="132">
        <v>10182000</v>
      </c>
      <c r="D643" s="132">
        <v>10112000</v>
      </c>
      <c r="E643" s="133">
        <v>42509</v>
      </c>
      <c r="F643" s="134" t="s">
        <v>1831</v>
      </c>
    </row>
    <row r="644" spans="1:6">
      <c r="A644" s="132">
        <v>10094000</v>
      </c>
      <c r="B644" s="132">
        <v>10090000</v>
      </c>
      <c r="C644" s="132">
        <v>10100000</v>
      </c>
      <c r="D644" s="132">
        <v>10094000</v>
      </c>
      <c r="E644" s="133">
        <v>42512</v>
      </c>
      <c r="F644" s="134" t="s">
        <v>1832</v>
      </c>
    </row>
    <row r="645" spans="1:6">
      <c r="A645" s="132">
        <v>10246000</v>
      </c>
      <c r="B645" s="132">
        <v>10232000</v>
      </c>
      <c r="C645" s="132">
        <v>10254000</v>
      </c>
      <c r="D645" s="132">
        <v>10246000</v>
      </c>
      <c r="E645" s="133">
        <v>42508</v>
      </c>
      <c r="F645" s="134" t="s">
        <v>1833</v>
      </c>
    </row>
    <row r="646" spans="1:6">
      <c r="A646" s="132">
        <v>10098000</v>
      </c>
      <c r="B646" s="132">
        <v>10076000</v>
      </c>
      <c r="C646" s="132">
        <v>10098000</v>
      </c>
      <c r="D646" s="132">
        <v>10098000</v>
      </c>
      <c r="E646" s="133">
        <v>42511</v>
      </c>
      <c r="F646" s="134" t="s">
        <v>1834</v>
      </c>
    </row>
    <row r="647" spans="1:6">
      <c r="A647" s="132">
        <v>10243000</v>
      </c>
      <c r="B647" s="132">
        <v>10235000</v>
      </c>
      <c r="C647" s="132">
        <v>10274000</v>
      </c>
      <c r="D647" s="132">
        <v>10243000</v>
      </c>
      <c r="E647" s="133">
        <v>42507</v>
      </c>
      <c r="F647" s="134" t="s">
        <v>1835</v>
      </c>
    </row>
    <row r="648" spans="1:6">
      <c r="A648" s="132">
        <v>10270000</v>
      </c>
      <c r="B648" s="132">
        <v>10267000</v>
      </c>
      <c r="C648" s="132">
        <v>10322000</v>
      </c>
      <c r="D648" s="132">
        <v>10270000</v>
      </c>
      <c r="E648" s="133">
        <v>42506</v>
      </c>
      <c r="F648" s="134" t="s">
        <v>1836</v>
      </c>
    </row>
    <row r="649" spans="1:6">
      <c r="A649" s="132">
        <v>10281000</v>
      </c>
      <c r="B649" s="132">
        <v>10247000</v>
      </c>
      <c r="C649" s="132">
        <v>10287000</v>
      </c>
      <c r="D649" s="132">
        <v>10281000</v>
      </c>
      <c r="E649" s="133">
        <v>42505</v>
      </c>
      <c r="F649" s="134" t="s">
        <v>1837</v>
      </c>
    </row>
    <row r="650" spans="1:6">
      <c r="A650" s="132">
        <v>10243000</v>
      </c>
      <c r="B650" s="132">
        <v>10242000</v>
      </c>
      <c r="C650" s="132">
        <v>10291000</v>
      </c>
      <c r="D650" s="132">
        <v>10243000</v>
      </c>
      <c r="E650" s="133">
        <v>42504</v>
      </c>
      <c r="F650" s="134" t="s">
        <v>1838</v>
      </c>
    </row>
    <row r="651" spans="1:6">
      <c r="A651" s="132">
        <v>10301000</v>
      </c>
      <c r="B651" s="132">
        <v>10293000</v>
      </c>
      <c r="C651" s="132">
        <v>10335000</v>
      </c>
      <c r="D651" s="132">
        <v>10301000</v>
      </c>
      <c r="E651" s="133">
        <v>42502</v>
      </c>
      <c r="F651" s="134" t="s">
        <v>1839</v>
      </c>
    </row>
    <row r="652" spans="1:6">
      <c r="A652" s="132">
        <v>10336000</v>
      </c>
      <c r="B652" s="132">
        <v>10333000</v>
      </c>
      <c r="C652" s="132">
        <v>10368000</v>
      </c>
      <c r="D652" s="132">
        <v>10336000</v>
      </c>
      <c r="E652" s="133">
        <v>42501</v>
      </c>
      <c r="F652" s="134" t="s">
        <v>1840</v>
      </c>
    </row>
    <row r="653" spans="1:6">
      <c r="A653" s="132">
        <v>10313000</v>
      </c>
      <c r="B653" s="132">
        <v>10313000</v>
      </c>
      <c r="C653" s="132">
        <v>10345000</v>
      </c>
      <c r="D653" s="132">
        <v>10313000</v>
      </c>
      <c r="E653" s="133">
        <v>42500</v>
      </c>
      <c r="F653" s="134" t="s">
        <v>1841</v>
      </c>
    </row>
    <row r="654" spans="1:6">
      <c r="A654" s="132">
        <v>10318000</v>
      </c>
      <c r="B654" s="132">
        <v>10316000</v>
      </c>
      <c r="C654" s="132">
        <v>10389000</v>
      </c>
      <c r="D654" s="132">
        <v>10318000</v>
      </c>
      <c r="E654" s="133">
        <v>42499</v>
      </c>
      <c r="F654" s="134" t="s">
        <v>1842</v>
      </c>
    </row>
    <row r="655" spans="1:6">
      <c r="A655" s="132">
        <v>10388000</v>
      </c>
      <c r="B655" s="132">
        <v>10387000</v>
      </c>
      <c r="C655" s="132">
        <v>10400000</v>
      </c>
      <c r="D655" s="132">
        <v>10388000</v>
      </c>
      <c r="E655" s="133">
        <v>42498</v>
      </c>
      <c r="F655" s="134" t="s">
        <v>1843</v>
      </c>
    </row>
    <row r="656" spans="1:6">
      <c r="A656" s="132">
        <v>10395000</v>
      </c>
      <c r="B656" s="132">
        <v>10370000</v>
      </c>
      <c r="C656" s="132">
        <v>10395000</v>
      </c>
      <c r="D656" s="132">
        <v>10395000</v>
      </c>
      <c r="E656" s="133">
        <v>42497</v>
      </c>
      <c r="F656" s="134" t="s">
        <v>1844</v>
      </c>
    </row>
    <row r="657" spans="1:6">
      <c r="A657" s="132">
        <v>10330000</v>
      </c>
      <c r="B657" s="132">
        <v>10325000</v>
      </c>
      <c r="C657" s="132">
        <v>10350000</v>
      </c>
      <c r="D657" s="132">
        <v>10330000</v>
      </c>
      <c r="E657" s="133">
        <v>42495</v>
      </c>
      <c r="F657" s="134" t="s">
        <v>1845</v>
      </c>
    </row>
    <row r="658" spans="1:6">
      <c r="A658" s="132">
        <v>10335000</v>
      </c>
      <c r="B658" s="132">
        <v>10335000</v>
      </c>
      <c r="C658" s="132">
        <v>10380000</v>
      </c>
      <c r="D658" s="132">
        <v>10335000</v>
      </c>
      <c r="E658" s="133">
        <v>42494</v>
      </c>
      <c r="F658" s="134" t="s">
        <v>1846</v>
      </c>
    </row>
    <row r="659" spans="1:6">
      <c r="A659" s="132">
        <v>10400000</v>
      </c>
      <c r="B659" s="132">
        <v>10390000</v>
      </c>
      <c r="C659" s="132">
        <v>10475000</v>
      </c>
      <c r="D659" s="132">
        <v>10400000</v>
      </c>
      <c r="E659" s="133">
        <v>42493</v>
      </c>
      <c r="F659" s="134" t="s">
        <v>1847</v>
      </c>
    </row>
    <row r="660" spans="1:6">
      <c r="A660" s="132">
        <v>10415000</v>
      </c>
      <c r="B660" s="132">
        <v>10410000</v>
      </c>
      <c r="C660" s="132">
        <v>10475000</v>
      </c>
      <c r="D660" s="132">
        <v>10415000</v>
      </c>
      <c r="E660" s="133">
        <v>42492</v>
      </c>
      <c r="F660" s="134" t="s">
        <v>1848</v>
      </c>
    </row>
    <row r="661" spans="1:6">
      <c r="A661" s="132">
        <v>10475000</v>
      </c>
      <c r="B661" s="132">
        <v>10460000</v>
      </c>
      <c r="C661" s="132">
        <v>10485000</v>
      </c>
      <c r="D661" s="132">
        <v>10475000</v>
      </c>
      <c r="E661" s="133">
        <v>42491</v>
      </c>
      <c r="F661" s="134" t="s">
        <v>1849</v>
      </c>
    </row>
    <row r="662" spans="1:6">
      <c r="A662" s="132">
        <v>10460000</v>
      </c>
      <c r="B662" s="132">
        <v>10455000</v>
      </c>
      <c r="C662" s="132">
        <v>10510000</v>
      </c>
      <c r="D662" s="132">
        <v>10460000</v>
      </c>
      <c r="E662" s="133">
        <v>42490</v>
      </c>
      <c r="F662" s="134" t="s">
        <v>1850</v>
      </c>
    </row>
    <row r="663" spans="1:6">
      <c r="A663" s="132">
        <v>10325000</v>
      </c>
      <c r="B663" s="132">
        <v>10275000</v>
      </c>
      <c r="C663" s="132">
        <v>10325000</v>
      </c>
      <c r="D663" s="132">
        <v>10325000</v>
      </c>
      <c r="E663" s="133">
        <v>42488</v>
      </c>
      <c r="F663" s="134" t="s">
        <v>1851</v>
      </c>
    </row>
    <row r="664" spans="1:6">
      <c r="A664" s="132">
        <v>10285000</v>
      </c>
      <c r="B664" s="132">
        <v>10265000</v>
      </c>
      <c r="C664" s="132">
        <v>10300000</v>
      </c>
      <c r="D664" s="132">
        <v>10285000</v>
      </c>
      <c r="E664" s="133">
        <v>42487</v>
      </c>
      <c r="F664" s="134" t="s">
        <v>1852</v>
      </c>
    </row>
    <row r="665" spans="1:6">
      <c r="A665" s="132">
        <v>10260000</v>
      </c>
      <c r="B665" s="132">
        <v>10225000</v>
      </c>
      <c r="C665" s="132">
        <v>10260000</v>
      </c>
      <c r="D665" s="132">
        <v>10260000</v>
      </c>
      <c r="E665" s="133">
        <v>42486</v>
      </c>
      <c r="F665" s="134" t="s">
        <v>1853</v>
      </c>
    </row>
    <row r="666" spans="1:6">
      <c r="A666" s="132">
        <v>10230000</v>
      </c>
      <c r="B666" s="132">
        <v>10220000</v>
      </c>
      <c r="C666" s="132">
        <v>10240000</v>
      </c>
      <c r="D666" s="132">
        <v>10230000</v>
      </c>
      <c r="E666" s="133">
        <v>42485</v>
      </c>
      <c r="F666" s="134" t="s">
        <v>1854</v>
      </c>
    </row>
    <row r="667" spans="1:6">
      <c r="A667" s="132">
        <v>10220000</v>
      </c>
      <c r="B667" s="132">
        <v>10205000</v>
      </c>
      <c r="C667" s="132">
        <v>10230000</v>
      </c>
      <c r="D667" s="132">
        <v>10220000</v>
      </c>
      <c r="E667" s="133">
        <v>42484</v>
      </c>
      <c r="F667" s="134" t="s">
        <v>1855</v>
      </c>
    </row>
    <row r="668" spans="1:6">
      <c r="A668" s="132">
        <v>10205000</v>
      </c>
      <c r="B668" s="132">
        <v>10190000</v>
      </c>
      <c r="C668" s="132">
        <v>10230000</v>
      </c>
      <c r="D668" s="132">
        <v>10205000</v>
      </c>
      <c r="E668" s="133">
        <v>42483</v>
      </c>
      <c r="F668" s="134" t="s">
        <v>1856</v>
      </c>
    </row>
    <row r="669" spans="1:6">
      <c r="A669" s="132">
        <v>10295000</v>
      </c>
      <c r="B669" s="132">
        <v>10270000</v>
      </c>
      <c r="C669" s="132">
        <v>10335000</v>
      </c>
      <c r="D669" s="132">
        <v>10295000</v>
      </c>
      <c r="E669" s="133">
        <v>42481</v>
      </c>
      <c r="F669" s="134" t="s">
        <v>1857</v>
      </c>
    </row>
    <row r="670" spans="1:6">
      <c r="A670" s="132">
        <v>10300000</v>
      </c>
      <c r="B670" s="132">
        <v>10265000</v>
      </c>
      <c r="C670" s="132">
        <v>10305000</v>
      </c>
      <c r="D670" s="132">
        <v>10300000</v>
      </c>
      <c r="E670" s="133">
        <v>42480</v>
      </c>
      <c r="F670" s="134" t="s">
        <v>1858</v>
      </c>
    </row>
    <row r="671" spans="1:6">
      <c r="A671" s="132">
        <v>10310000</v>
      </c>
      <c r="B671" s="132">
        <v>10255000</v>
      </c>
      <c r="C671" s="132">
        <v>10310000</v>
      </c>
      <c r="D671" s="132">
        <v>10310000</v>
      </c>
      <c r="E671" s="133">
        <v>42479</v>
      </c>
      <c r="F671" s="134" t="s">
        <v>1859</v>
      </c>
    </row>
    <row r="672" spans="1:6">
      <c r="A672" s="132">
        <v>10270000</v>
      </c>
      <c r="B672" s="132">
        <v>10250000</v>
      </c>
      <c r="C672" s="132">
        <v>10300000</v>
      </c>
      <c r="D672" s="132">
        <v>10270000</v>
      </c>
      <c r="E672" s="133">
        <v>42478</v>
      </c>
      <c r="F672" s="134" t="s">
        <v>1860</v>
      </c>
    </row>
    <row r="673" spans="1:6">
      <c r="A673" s="132">
        <v>10275000</v>
      </c>
      <c r="B673" s="132">
        <v>10260000</v>
      </c>
      <c r="C673" s="132">
        <v>10280000</v>
      </c>
      <c r="D673" s="132">
        <v>10275000</v>
      </c>
      <c r="E673" s="133">
        <v>42477</v>
      </c>
      <c r="F673" s="134" t="s">
        <v>1861</v>
      </c>
    </row>
    <row r="674" spans="1:6">
      <c r="A674" s="132">
        <v>10260000</v>
      </c>
      <c r="B674" s="132">
        <v>10260000</v>
      </c>
      <c r="C674" s="132">
        <v>10295000</v>
      </c>
      <c r="D674" s="132">
        <v>10260000</v>
      </c>
      <c r="E674" s="133">
        <v>42476</v>
      </c>
      <c r="F674" s="134" t="s">
        <v>1862</v>
      </c>
    </row>
    <row r="675" spans="1:6">
      <c r="A675" s="132">
        <v>10225000</v>
      </c>
      <c r="B675" s="132">
        <v>10215000</v>
      </c>
      <c r="C675" s="132">
        <v>10270000</v>
      </c>
      <c r="D675" s="132">
        <v>10225000</v>
      </c>
      <c r="E675" s="133">
        <v>42474</v>
      </c>
      <c r="F675" s="134" t="s">
        <v>1863</v>
      </c>
    </row>
    <row r="676" spans="1:6">
      <c r="A676" s="132">
        <v>10330000</v>
      </c>
      <c r="B676" s="132">
        <v>10300000</v>
      </c>
      <c r="C676" s="132">
        <v>10410000</v>
      </c>
      <c r="D676" s="132">
        <v>10330000</v>
      </c>
      <c r="E676" s="133">
        <v>42473</v>
      </c>
      <c r="F676" s="134" t="s">
        <v>1864</v>
      </c>
    </row>
    <row r="677" spans="1:6">
      <c r="A677" s="132">
        <v>10390000</v>
      </c>
      <c r="B677" s="132">
        <v>10390000</v>
      </c>
      <c r="C677" s="132">
        <v>10450000</v>
      </c>
      <c r="D677" s="132">
        <v>10390000</v>
      </c>
      <c r="E677" s="133">
        <v>42472</v>
      </c>
      <c r="F677" s="134" t="s">
        <v>1865</v>
      </c>
    </row>
    <row r="678" spans="1:6">
      <c r="A678" s="132">
        <v>10425000</v>
      </c>
      <c r="B678" s="132">
        <v>10365000</v>
      </c>
      <c r="C678" s="132">
        <v>10430000</v>
      </c>
      <c r="D678" s="132">
        <v>10425000</v>
      </c>
      <c r="E678" s="133">
        <v>42471</v>
      </c>
      <c r="F678" s="134" t="s">
        <v>1866</v>
      </c>
    </row>
    <row r="679" spans="1:6">
      <c r="A679" s="132">
        <v>10320000</v>
      </c>
      <c r="B679" s="132">
        <v>10310000</v>
      </c>
      <c r="C679" s="132">
        <v>10350000</v>
      </c>
      <c r="D679" s="132">
        <v>10320000</v>
      </c>
      <c r="E679" s="133">
        <v>42470</v>
      </c>
      <c r="F679" s="134" t="s">
        <v>1867</v>
      </c>
    </row>
    <row r="680" spans="1:6">
      <c r="A680" s="132">
        <v>10330000</v>
      </c>
      <c r="B680" s="132">
        <v>10290000</v>
      </c>
      <c r="C680" s="132">
        <v>10335000</v>
      </c>
      <c r="D680" s="132">
        <v>10330000</v>
      </c>
      <c r="E680" s="133">
        <v>42469</v>
      </c>
      <c r="F680" s="134" t="s">
        <v>1868</v>
      </c>
    </row>
    <row r="681" spans="1:6">
      <c r="A681" s="132">
        <v>10255000</v>
      </c>
      <c r="B681" s="132">
        <v>10205000</v>
      </c>
      <c r="C681" s="132">
        <v>10275000</v>
      </c>
      <c r="D681" s="132">
        <v>10255000</v>
      </c>
      <c r="E681" s="133">
        <v>42467</v>
      </c>
      <c r="F681" s="134" t="s">
        <v>1869</v>
      </c>
    </row>
    <row r="682" spans="1:6">
      <c r="A682" s="132">
        <v>10230000</v>
      </c>
      <c r="B682" s="132">
        <v>10210000</v>
      </c>
      <c r="C682" s="132">
        <v>10280000</v>
      </c>
      <c r="D682" s="132">
        <v>10230000</v>
      </c>
      <c r="E682" s="133">
        <v>42466</v>
      </c>
      <c r="F682" s="134" t="s">
        <v>1870</v>
      </c>
    </row>
    <row r="683" spans="1:6">
      <c r="A683" s="132">
        <v>10290000</v>
      </c>
      <c r="B683" s="132">
        <v>10170000</v>
      </c>
      <c r="C683" s="132">
        <v>10300000</v>
      </c>
      <c r="D683" s="132">
        <v>10290000</v>
      </c>
      <c r="E683" s="133">
        <v>42465</v>
      </c>
      <c r="F683" s="134" t="s">
        <v>1871</v>
      </c>
    </row>
    <row r="684" spans="1:6">
      <c r="A684" s="132">
        <v>10160000</v>
      </c>
      <c r="B684" s="132">
        <v>10130000</v>
      </c>
      <c r="C684" s="132">
        <v>10170000</v>
      </c>
      <c r="D684" s="132">
        <v>10160000</v>
      </c>
      <c r="E684" s="133">
        <v>42464</v>
      </c>
      <c r="F684" s="134" t="s">
        <v>1872</v>
      </c>
    </row>
    <row r="685" spans="1:6">
      <c r="A685" s="132">
        <v>10185000</v>
      </c>
      <c r="B685" s="132">
        <v>10170000</v>
      </c>
      <c r="C685" s="132">
        <v>10190000</v>
      </c>
      <c r="D685" s="132">
        <v>10185000</v>
      </c>
      <c r="E685" s="133">
        <v>42463</v>
      </c>
      <c r="F685" s="134" t="s">
        <v>1873</v>
      </c>
    </row>
    <row r="686" spans="1:6">
      <c r="A686" s="132">
        <v>10200000</v>
      </c>
      <c r="B686" s="132">
        <v>10125000</v>
      </c>
      <c r="C686" s="132">
        <v>10210000</v>
      </c>
      <c r="D686" s="132">
        <v>10200000</v>
      </c>
      <c r="E686" s="133">
        <v>42462</v>
      </c>
      <c r="F686" s="134" t="s">
        <v>1874</v>
      </c>
    </row>
    <row r="687" spans="1:6">
      <c r="A687" s="132">
        <v>10190000</v>
      </c>
      <c r="B687" s="132">
        <v>10185000</v>
      </c>
      <c r="C687" s="132">
        <v>10195000</v>
      </c>
      <c r="D687" s="132">
        <v>10190000</v>
      </c>
      <c r="E687" s="133">
        <v>42460</v>
      </c>
      <c r="F687" s="134" t="s">
        <v>1875</v>
      </c>
    </row>
    <row r="688" spans="1:6">
      <c r="A688" s="132">
        <v>10190000</v>
      </c>
      <c r="B688" s="132">
        <v>10165000</v>
      </c>
      <c r="C688" s="132">
        <v>10190000</v>
      </c>
      <c r="D688" s="132">
        <v>10190000</v>
      </c>
      <c r="E688" s="133">
        <v>42459</v>
      </c>
      <c r="F688" s="134" t="s">
        <v>1876</v>
      </c>
    </row>
    <row r="689" spans="1:6">
      <c r="A689" s="132">
        <v>10135000</v>
      </c>
      <c r="B689" s="132">
        <v>10095000</v>
      </c>
      <c r="C689" s="132">
        <v>10135000</v>
      </c>
      <c r="D689" s="132">
        <v>10135000</v>
      </c>
      <c r="E689" s="133">
        <v>42458</v>
      </c>
      <c r="F689" s="134" t="s">
        <v>1877</v>
      </c>
    </row>
    <row r="690" spans="1:6">
      <c r="A690" s="132">
        <v>10090000</v>
      </c>
      <c r="B690" s="132">
        <v>10070000</v>
      </c>
      <c r="C690" s="132">
        <v>10090000</v>
      </c>
      <c r="D690" s="132">
        <v>10090000</v>
      </c>
      <c r="E690" s="133">
        <v>42457</v>
      </c>
      <c r="F690" s="134" t="s">
        <v>1878</v>
      </c>
    </row>
    <row r="691" spans="1:6">
      <c r="A691" s="132">
        <v>10070000</v>
      </c>
      <c r="B691" s="132">
        <v>10070000</v>
      </c>
      <c r="C691" s="132">
        <v>10070000</v>
      </c>
      <c r="D691" s="132">
        <v>10070000</v>
      </c>
      <c r="E691" s="133">
        <v>42456</v>
      </c>
      <c r="F691" s="134" t="s">
        <v>1879</v>
      </c>
    </row>
    <row r="692" spans="1:6">
      <c r="A692" s="132">
        <v>10050000</v>
      </c>
      <c r="B692" s="132">
        <v>10050000</v>
      </c>
      <c r="C692" s="132">
        <v>10125000</v>
      </c>
      <c r="D692" s="132">
        <v>10050000</v>
      </c>
      <c r="E692" s="133">
        <v>42455</v>
      </c>
      <c r="F692" s="134" t="s">
        <v>1880</v>
      </c>
    </row>
    <row r="693" spans="1:6">
      <c r="A693" s="132">
        <v>10150000</v>
      </c>
      <c r="B693" s="132">
        <v>10125000</v>
      </c>
      <c r="C693" s="132">
        <v>10150000</v>
      </c>
      <c r="D693" s="132">
        <v>10150000</v>
      </c>
      <c r="E693" s="133">
        <v>42448</v>
      </c>
      <c r="F693" s="134" t="s">
        <v>1881</v>
      </c>
    </row>
    <row r="694" spans="1:6">
      <c r="A694" s="132">
        <v>10130000</v>
      </c>
      <c r="B694" s="132">
        <v>10120000</v>
      </c>
      <c r="C694" s="132">
        <v>10200000</v>
      </c>
      <c r="D694" s="132">
        <v>10130000</v>
      </c>
      <c r="E694" s="133">
        <v>42446</v>
      </c>
      <c r="F694" s="134" t="s">
        <v>1882</v>
      </c>
    </row>
    <row r="695" spans="1:6">
      <c r="A695" s="132">
        <v>10130000</v>
      </c>
      <c r="B695" s="132">
        <v>10025000</v>
      </c>
      <c r="C695" s="132">
        <v>10130000</v>
      </c>
      <c r="D695" s="132">
        <v>10130000</v>
      </c>
      <c r="E695" s="133">
        <v>42445</v>
      </c>
      <c r="F695" s="134" t="s">
        <v>1883</v>
      </c>
    </row>
    <row r="696" spans="1:6">
      <c r="A696" s="132">
        <v>10065000</v>
      </c>
      <c r="B696" s="132">
        <v>10035000</v>
      </c>
      <c r="C696" s="132">
        <v>10100000</v>
      </c>
      <c r="D696" s="132">
        <v>10065000</v>
      </c>
      <c r="E696" s="133">
        <v>42444</v>
      </c>
      <c r="F696" s="134" t="s">
        <v>1884</v>
      </c>
    </row>
    <row r="697" spans="1:6">
      <c r="A697" s="132">
        <v>10105000</v>
      </c>
      <c r="B697" s="132">
        <v>10100000</v>
      </c>
      <c r="C697" s="132">
        <v>10185000</v>
      </c>
      <c r="D697" s="132">
        <v>10105000</v>
      </c>
      <c r="E697" s="133">
        <v>42443</v>
      </c>
      <c r="F697" s="134" t="s">
        <v>1885</v>
      </c>
    </row>
    <row r="698" spans="1:6">
      <c r="A698" s="132">
        <v>10105000</v>
      </c>
      <c r="B698" s="132">
        <v>10080000</v>
      </c>
      <c r="C698" s="132">
        <v>10115000</v>
      </c>
      <c r="D698" s="132">
        <v>10105000</v>
      </c>
      <c r="E698" s="133">
        <v>42441</v>
      </c>
      <c r="F698" s="134" t="s">
        <v>1886</v>
      </c>
    </row>
    <row r="699" spans="1:6">
      <c r="A699" s="132">
        <v>10135000</v>
      </c>
      <c r="B699" s="132">
        <v>10100000</v>
      </c>
      <c r="C699" s="132">
        <v>10135000</v>
      </c>
      <c r="D699" s="132">
        <v>10135000</v>
      </c>
      <c r="E699" s="133">
        <v>42439</v>
      </c>
      <c r="F699" s="134" t="s">
        <v>1887</v>
      </c>
    </row>
    <row r="700" spans="1:6">
      <c r="A700" s="132">
        <v>10125000</v>
      </c>
      <c r="B700" s="132">
        <v>10100000</v>
      </c>
      <c r="C700" s="132">
        <v>10140000</v>
      </c>
      <c r="D700" s="132">
        <v>10125000</v>
      </c>
      <c r="E700" s="133">
        <v>42438</v>
      </c>
      <c r="F700" s="134" t="s">
        <v>1888</v>
      </c>
    </row>
    <row r="701" spans="1:6">
      <c r="A701" s="132">
        <v>10140000</v>
      </c>
      <c r="B701" s="132">
        <v>10105000</v>
      </c>
      <c r="C701" s="132">
        <v>10170000</v>
      </c>
      <c r="D701" s="132">
        <v>10140000</v>
      </c>
      <c r="E701" s="133">
        <v>42437</v>
      </c>
      <c r="F701" s="134" t="s">
        <v>1889</v>
      </c>
    </row>
    <row r="702" spans="1:6">
      <c r="A702" s="132">
        <v>10085000</v>
      </c>
      <c r="B702" s="132">
        <v>10085000</v>
      </c>
      <c r="C702" s="132">
        <v>10150000</v>
      </c>
      <c r="D702" s="132">
        <v>10085000</v>
      </c>
      <c r="E702" s="133">
        <v>42436</v>
      </c>
      <c r="F702" s="134" t="s">
        <v>1890</v>
      </c>
    </row>
    <row r="703" spans="1:6">
      <c r="A703" s="132">
        <v>10115000</v>
      </c>
      <c r="B703" s="132">
        <v>10100000</v>
      </c>
      <c r="C703" s="132">
        <v>10140000</v>
      </c>
      <c r="D703" s="132">
        <v>10115000</v>
      </c>
      <c r="E703" s="133">
        <v>42435</v>
      </c>
      <c r="F703" s="134" t="s">
        <v>1891</v>
      </c>
    </row>
    <row r="704" spans="1:6">
      <c r="A704" s="132">
        <v>10130000</v>
      </c>
      <c r="B704" s="132">
        <v>10110000</v>
      </c>
      <c r="C704" s="132">
        <v>10160000</v>
      </c>
      <c r="D704" s="132">
        <v>10130000</v>
      </c>
      <c r="E704" s="133">
        <v>42434</v>
      </c>
      <c r="F704" s="134" t="s">
        <v>1892</v>
      </c>
    </row>
    <row r="705" spans="1:6">
      <c r="A705" s="132">
        <v>10095000</v>
      </c>
      <c r="B705" s="132">
        <v>10040000</v>
      </c>
      <c r="C705" s="132">
        <v>10105000</v>
      </c>
      <c r="D705" s="132">
        <v>10095000</v>
      </c>
      <c r="E705" s="133">
        <v>42432</v>
      </c>
      <c r="F705" s="134" t="s">
        <v>1893</v>
      </c>
    </row>
    <row r="706" spans="1:6">
      <c r="A706" s="132">
        <v>10045000</v>
      </c>
      <c r="B706" s="132">
        <v>9995000</v>
      </c>
      <c r="C706" s="132">
        <v>10065000</v>
      </c>
      <c r="D706" s="132">
        <v>10045000</v>
      </c>
      <c r="E706" s="133">
        <v>42431</v>
      </c>
      <c r="F706" s="134" t="s">
        <v>1894</v>
      </c>
    </row>
    <row r="707" spans="1:6">
      <c r="A707" s="132">
        <v>10015000</v>
      </c>
      <c r="B707" s="132">
        <v>10015000</v>
      </c>
      <c r="C707" s="132">
        <v>10105000</v>
      </c>
      <c r="D707" s="132">
        <v>10015000</v>
      </c>
      <c r="E707" s="133">
        <v>42430</v>
      </c>
      <c r="F707" s="134" t="s">
        <v>1895</v>
      </c>
    </row>
    <row r="708" spans="1:6">
      <c r="A708" s="132">
        <v>10035000</v>
      </c>
      <c r="B708" s="132">
        <v>9940000</v>
      </c>
      <c r="C708" s="132">
        <v>10040000</v>
      </c>
      <c r="D708" s="132">
        <v>10035000</v>
      </c>
      <c r="E708" s="133">
        <v>42429</v>
      </c>
      <c r="F708" s="134" t="s">
        <v>1896</v>
      </c>
    </row>
    <row r="709" spans="1:6">
      <c r="A709" s="132">
        <v>9945000</v>
      </c>
      <c r="B709" s="132">
        <v>9920000</v>
      </c>
      <c r="C709" s="132">
        <v>9975000</v>
      </c>
      <c r="D709" s="132">
        <v>9945000</v>
      </c>
      <c r="E709" s="133">
        <v>42428</v>
      </c>
      <c r="F709" s="134" t="s">
        <v>1897</v>
      </c>
    </row>
    <row r="710" spans="1:6">
      <c r="A710" s="132">
        <v>9970000</v>
      </c>
      <c r="B710" s="132">
        <v>9960000</v>
      </c>
      <c r="C710" s="132">
        <v>10025000</v>
      </c>
      <c r="D710" s="132">
        <v>9970000</v>
      </c>
      <c r="E710" s="133">
        <v>42427</v>
      </c>
      <c r="F710" s="134" t="s">
        <v>1898</v>
      </c>
    </row>
    <row r="711" spans="1:6">
      <c r="A711" s="132">
        <v>10050000</v>
      </c>
      <c r="B711" s="132">
        <v>10025000</v>
      </c>
      <c r="C711" s="132">
        <v>10095000</v>
      </c>
      <c r="D711" s="132">
        <v>10050000</v>
      </c>
      <c r="E711" s="133">
        <v>42425</v>
      </c>
      <c r="F711" s="134" t="s">
        <v>1899</v>
      </c>
    </row>
    <row r="712" spans="1:6">
      <c r="A712" s="132">
        <v>10080000</v>
      </c>
      <c r="B712" s="132">
        <v>9925000</v>
      </c>
      <c r="C712" s="132">
        <v>10150000</v>
      </c>
      <c r="D712" s="132">
        <v>10080000</v>
      </c>
      <c r="E712" s="133">
        <v>42424</v>
      </c>
      <c r="F712" s="134" t="s">
        <v>1900</v>
      </c>
    </row>
    <row r="713" spans="1:6">
      <c r="A713" s="132">
        <v>9935000</v>
      </c>
      <c r="B713" s="132">
        <v>9830000</v>
      </c>
      <c r="C713" s="132">
        <v>9945000</v>
      </c>
      <c r="D713" s="132">
        <v>9935000</v>
      </c>
      <c r="E713" s="133">
        <v>42423</v>
      </c>
      <c r="F713" s="134" t="s">
        <v>1901</v>
      </c>
    </row>
    <row r="714" spans="1:6">
      <c r="A714" s="132">
        <v>9810000</v>
      </c>
      <c r="B714" s="132">
        <v>9730000</v>
      </c>
      <c r="C714" s="132">
        <v>9870000</v>
      </c>
      <c r="D714" s="132">
        <v>9810000</v>
      </c>
      <c r="E714" s="133">
        <v>42422</v>
      </c>
      <c r="F714" s="134" t="s">
        <v>1902</v>
      </c>
    </row>
    <row r="715" spans="1:6">
      <c r="A715" s="132">
        <v>9885000</v>
      </c>
      <c r="B715" s="132">
        <v>9835000</v>
      </c>
      <c r="C715" s="132">
        <v>9905000</v>
      </c>
      <c r="D715" s="132">
        <v>9885000</v>
      </c>
      <c r="E715" s="133">
        <v>42421</v>
      </c>
      <c r="F715" s="134" t="s">
        <v>1903</v>
      </c>
    </row>
    <row r="716" spans="1:6">
      <c r="A716" s="132">
        <v>9850000</v>
      </c>
      <c r="B716" s="132">
        <v>9835000</v>
      </c>
      <c r="C716" s="132">
        <v>9965000</v>
      </c>
      <c r="D716" s="132">
        <v>9850000</v>
      </c>
      <c r="E716" s="133">
        <v>42420</v>
      </c>
      <c r="F716" s="134" t="s">
        <v>1904</v>
      </c>
    </row>
    <row r="717" spans="1:6">
      <c r="A717" s="132">
        <v>9890000</v>
      </c>
      <c r="B717" s="132">
        <v>9825000</v>
      </c>
      <c r="C717" s="132">
        <v>9895000</v>
      </c>
      <c r="D717" s="132">
        <v>9890000</v>
      </c>
      <c r="E717" s="133">
        <v>42418</v>
      </c>
      <c r="F717" s="134" t="s">
        <v>1905</v>
      </c>
    </row>
    <row r="718" spans="1:6">
      <c r="A718" s="132">
        <v>9865000</v>
      </c>
      <c r="B718" s="132">
        <v>9735000</v>
      </c>
      <c r="C718" s="132">
        <v>9865000</v>
      </c>
      <c r="D718" s="132">
        <v>9865000</v>
      </c>
      <c r="E718" s="133">
        <v>42417</v>
      </c>
      <c r="F718" s="134" t="s">
        <v>1906</v>
      </c>
    </row>
    <row r="719" spans="1:6">
      <c r="A719" s="132">
        <v>9785000</v>
      </c>
      <c r="B719" s="132">
        <v>9635000</v>
      </c>
      <c r="C719" s="132">
        <v>9810000</v>
      </c>
      <c r="D719" s="132">
        <v>9785000</v>
      </c>
      <c r="E719" s="133">
        <v>42416</v>
      </c>
      <c r="F719" s="134" t="s">
        <v>1907</v>
      </c>
    </row>
    <row r="720" spans="1:6">
      <c r="A720" s="132">
        <v>9760000</v>
      </c>
      <c r="B720" s="132">
        <v>9730000</v>
      </c>
      <c r="C720" s="132">
        <v>9900000</v>
      </c>
      <c r="D720" s="132">
        <v>9760000</v>
      </c>
      <c r="E720" s="133">
        <v>42415</v>
      </c>
      <c r="F720" s="134" t="s">
        <v>1908</v>
      </c>
    </row>
    <row r="721" spans="1:6">
      <c r="A721" s="132">
        <v>9995000</v>
      </c>
      <c r="B721" s="132">
        <v>9995000</v>
      </c>
      <c r="C721" s="132">
        <v>10065000</v>
      </c>
      <c r="D721" s="132">
        <v>9995000</v>
      </c>
      <c r="E721" s="133">
        <v>42414</v>
      </c>
      <c r="F721" s="134" t="s">
        <v>1909</v>
      </c>
    </row>
    <row r="722" spans="1:6">
      <c r="A722" s="132">
        <v>10055000</v>
      </c>
      <c r="B722" s="132">
        <v>10035000</v>
      </c>
      <c r="C722" s="132">
        <v>10115000</v>
      </c>
      <c r="D722" s="132">
        <v>10055000</v>
      </c>
      <c r="E722" s="133">
        <v>42413</v>
      </c>
      <c r="F722" s="134" t="s">
        <v>1910</v>
      </c>
    </row>
    <row r="723" spans="1:6">
      <c r="A723" s="132">
        <v>9770000</v>
      </c>
      <c r="B723" s="132">
        <v>9720000</v>
      </c>
      <c r="C723" s="132">
        <v>9775000</v>
      </c>
      <c r="D723" s="132">
        <v>9770000</v>
      </c>
      <c r="E723" s="133">
        <v>42410</v>
      </c>
      <c r="F723" s="134" t="s">
        <v>1911</v>
      </c>
    </row>
    <row r="724" spans="1:6">
      <c r="A724" s="132">
        <v>9795000</v>
      </c>
      <c r="B724" s="132">
        <v>9775000</v>
      </c>
      <c r="C724" s="132">
        <v>9870000</v>
      </c>
      <c r="D724" s="132">
        <v>9795000</v>
      </c>
      <c r="E724" s="133">
        <v>42409</v>
      </c>
      <c r="F724" s="134" t="s">
        <v>1912</v>
      </c>
    </row>
    <row r="725" spans="1:6">
      <c r="A725" s="132">
        <v>9865000</v>
      </c>
      <c r="B725" s="132">
        <v>9630000</v>
      </c>
      <c r="C725" s="132">
        <v>9875000</v>
      </c>
      <c r="D725" s="132">
        <v>9865000</v>
      </c>
      <c r="E725" s="133">
        <v>42408</v>
      </c>
      <c r="F725" s="134" t="s">
        <v>1913</v>
      </c>
    </row>
    <row r="726" spans="1:6">
      <c r="A726" s="132">
        <v>9725000</v>
      </c>
      <c r="B726" s="132">
        <v>9725000</v>
      </c>
      <c r="C726" s="132">
        <v>9895000</v>
      </c>
      <c r="D726" s="132">
        <v>9725000</v>
      </c>
      <c r="E726" s="133">
        <v>42407</v>
      </c>
      <c r="F726" s="134" t="s">
        <v>1914</v>
      </c>
    </row>
    <row r="727" spans="1:6">
      <c r="A727" s="132">
        <v>9845000</v>
      </c>
      <c r="B727" s="132">
        <v>9810000</v>
      </c>
      <c r="C727" s="132">
        <v>9870000</v>
      </c>
      <c r="D727" s="132">
        <v>9845000</v>
      </c>
      <c r="E727" s="133">
        <v>42406</v>
      </c>
      <c r="F727" s="134" t="s">
        <v>1915</v>
      </c>
    </row>
    <row r="728" spans="1:6">
      <c r="A728" s="132">
        <v>9665000</v>
      </c>
      <c r="B728" s="132">
        <v>9580000</v>
      </c>
      <c r="C728" s="132">
        <v>9665000</v>
      </c>
      <c r="D728" s="132">
        <v>9665000</v>
      </c>
      <c r="E728" s="133">
        <v>42404</v>
      </c>
      <c r="F728" s="134" t="s">
        <v>1916</v>
      </c>
    </row>
    <row r="729" spans="1:6">
      <c r="A729" s="132">
        <v>9585000</v>
      </c>
      <c r="B729" s="132">
        <v>9535000</v>
      </c>
      <c r="C729" s="132">
        <v>9585000</v>
      </c>
      <c r="D729" s="132">
        <v>9585000</v>
      </c>
      <c r="E729" s="133">
        <v>42403</v>
      </c>
      <c r="F729" s="134" t="s">
        <v>1917</v>
      </c>
    </row>
    <row r="730" spans="1:6">
      <c r="A730" s="132">
        <v>9550000</v>
      </c>
      <c r="B730" s="132">
        <v>9540000</v>
      </c>
      <c r="C730" s="132">
        <v>9575000</v>
      </c>
      <c r="D730" s="132">
        <v>9550000</v>
      </c>
      <c r="E730" s="133">
        <v>42402</v>
      </c>
      <c r="F730" s="134" t="s">
        <v>1918</v>
      </c>
    </row>
    <row r="731" spans="1:6">
      <c r="A731" s="132">
        <v>9550000</v>
      </c>
      <c r="B731" s="132">
        <v>9510000</v>
      </c>
      <c r="C731" s="132">
        <v>9565000</v>
      </c>
      <c r="D731" s="132">
        <v>9550000</v>
      </c>
      <c r="E731" s="133">
        <v>42401</v>
      </c>
      <c r="F731" s="134" t="s">
        <v>1919</v>
      </c>
    </row>
    <row r="732" spans="1:6">
      <c r="A732" s="132">
        <v>9490000</v>
      </c>
      <c r="B732" s="132">
        <v>9440000</v>
      </c>
      <c r="C732" s="132">
        <v>9490000</v>
      </c>
      <c r="D732" s="132">
        <v>9490000</v>
      </c>
      <c r="E732" s="133">
        <v>42400</v>
      </c>
      <c r="F732" s="134" t="s">
        <v>1920</v>
      </c>
    </row>
    <row r="733" spans="1:6">
      <c r="A733" s="132">
        <v>9460000</v>
      </c>
      <c r="B733" s="132">
        <v>9455000</v>
      </c>
      <c r="C733" s="132">
        <v>9510000</v>
      </c>
      <c r="D733" s="132">
        <v>9460000</v>
      </c>
      <c r="E733" s="133">
        <v>42399</v>
      </c>
      <c r="F733" s="134" t="s">
        <v>1921</v>
      </c>
    </row>
    <row r="734" spans="1:6">
      <c r="A734" s="132">
        <v>9445000</v>
      </c>
      <c r="B734" s="132">
        <v>9445000</v>
      </c>
      <c r="C734" s="132">
        <v>9520000</v>
      </c>
      <c r="D734" s="132">
        <v>9445000</v>
      </c>
      <c r="E734" s="133">
        <v>42397</v>
      </c>
      <c r="F734" s="134" t="s">
        <v>1922</v>
      </c>
    </row>
    <row r="735" spans="1:6">
      <c r="A735" s="132">
        <v>9490000</v>
      </c>
      <c r="B735" s="132">
        <v>9490000</v>
      </c>
      <c r="C735" s="132">
        <v>9585000</v>
      </c>
      <c r="D735" s="132">
        <v>9490000</v>
      </c>
      <c r="E735" s="133">
        <v>42396</v>
      </c>
      <c r="F735" s="134" t="s">
        <v>1923</v>
      </c>
    </row>
    <row r="736" spans="1:6">
      <c r="A736" s="132">
        <v>9550000</v>
      </c>
      <c r="B736" s="132">
        <v>9460000</v>
      </c>
      <c r="C736" s="132">
        <v>9550000</v>
      </c>
      <c r="D736" s="132">
        <v>9550000</v>
      </c>
      <c r="E736" s="133">
        <v>42395</v>
      </c>
      <c r="F736" s="134" t="s">
        <v>1924</v>
      </c>
    </row>
    <row r="737" spans="1:6">
      <c r="A737" s="132">
        <v>9445000</v>
      </c>
      <c r="B737" s="132">
        <v>9345000</v>
      </c>
      <c r="C737" s="132">
        <v>9455000</v>
      </c>
      <c r="D737" s="132">
        <v>9445000</v>
      </c>
      <c r="E737" s="133">
        <v>42394</v>
      </c>
      <c r="F737" s="134" t="s">
        <v>1925</v>
      </c>
    </row>
    <row r="738" spans="1:6">
      <c r="A738" s="132">
        <v>9360000</v>
      </c>
      <c r="B738" s="132">
        <v>9360000</v>
      </c>
      <c r="C738" s="132">
        <v>9360000</v>
      </c>
      <c r="D738" s="132">
        <v>9360000</v>
      </c>
      <c r="E738" s="133">
        <v>42393</v>
      </c>
      <c r="F738" s="134" t="s">
        <v>1926</v>
      </c>
    </row>
    <row r="739" spans="1:6">
      <c r="A739" s="132">
        <v>9410000</v>
      </c>
      <c r="B739" s="132">
        <v>9350000</v>
      </c>
      <c r="C739" s="132">
        <v>9430000</v>
      </c>
      <c r="D739" s="132">
        <v>9410000</v>
      </c>
      <c r="E739" s="133">
        <v>42392</v>
      </c>
      <c r="F739" s="134" t="s">
        <v>1927</v>
      </c>
    </row>
    <row r="740" spans="1:6">
      <c r="A740" s="132">
        <v>9305000</v>
      </c>
      <c r="B740" s="132">
        <v>9300000</v>
      </c>
      <c r="C740" s="132">
        <v>9345000</v>
      </c>
      <c r="D740" s="132">
        <v>9305000</v>
      </c>
      <c r="E740" s="133">
        <v>42390</v>
      </c>
      <c r="F740" s="134" t="s">
        <v>1928</v>
      </c>
    </row>
    <row r="741" spans="1:6">
      <c r="A741" s="132">
        <v>9300000</v>
      </c>
      <c r="B741" s="132">
        <v>9205000</v>
      </c>
      <c r="C741" s="132">
        <v>9300000</v>
      </c>
      <c r="D741" s="132">
        <v>9300000</v>
      </c>
      <c r="E741" s="133">
        <v>42389</v>
      </c>
      <c r="F741" s="134" t="s">
        <v>1929</v>
      </c>
    </row>
    <row r="742" spans="1:6">
      <c r="A742" s="132">
        <v>9200000</v>
      </c>
      <c r="B742" s="132">
        <v>9180000</v>
      </c>
      <c r="C742" s="132">
        <v>9230000</v>
      </c>
      <c r="D742" s="132">
        <v>9200000</v>
      </c>
      <c r="E742" s="133">
        <v>42388</v>
      </c>
      <c r="F742" s="134" t="s">
        <v>1930</v>
      </c>
    </row>
    <row r="743" spans="1:6">
      <c r="A743" s="132">
        <v>9200000</v>
      </c>
      <c r="B743" s="132">
        <v>9200000</v>
      </c>
      <c r="C743" s="132">
        <v>9250000</v>
      </c>
      <c r="D743" s="132">
        <v>9200000</v>
      </c>
      <c r="E743" s="133">
        <v>42387</v>
      </c>
      <c r="F743" s="134" t="s">
        <v>1931</v>
      </c>
    </row>
    <row r="744" spans="1:6">
      <c r="A744" s="132">
        <v>9270000</v>
      </c>
      <c r="B744" s="132">
        <v>9155000</v>
      </c>
      <c r="C744" s="132">
        <v>9295000</v>
      </c>
      <c r="D744" s="132">
        <v>9270000</v>
      </c>
      <c r="E744" s="133">
        <v>42386</v>
      </c>
      <c r="F744" s="134" t="s">
        <v>1932</v>
      </c>
    </row>
    <row r="745" spans="1:6">
      <c r="A745" s="132">
        <v>9180000</v>
      </c>
      <c r="B745" s="132">
        <v>9160000</v>
      </c>
      <c r="C745" s="132">
        <v>9240000</v>
      </c>
      <c r="D745" s="132">
        <v>9180000</v>
      </c>
      <c r="E745" s="133">
        <v>42385</v>
      </c>
      <c r="F745" s="134" t="s">
        <v>1933</v>
      </c>
    </row>
    <row r="746" spans="1:6">
      <c r="A746" s="132">
        <v>9305000</v>
      </c>
      <c r="B746" s="132">
        <v>9290000</v>
      </c>
      <c r="C746" s="132">
        <v>9345000</v>
      </c>
      <c r="D746" s="132">
        <v>9305000</v>
      </c>
      <c r="E746" s="133">
        <v>42383</v>
      </c>
      <c r="F746" s="134" t="s">
        <v>1934</v>
      </c>
    </row>
    <row r="747" spans="1:6">
      <c r="A747" s="132">
        <v>9345000</v>
      </c>
      <c r="B747" s="132">
        <v>9280000</v>
      </c>
      <c r="C747" s="132">
        <v>9355000</v>
      </c>
      <c r="D747" s="132">
        <v>9345000</v>
      </c>
      <c r="E747" s="133">
        <v>42382</v>
      </c>
      <c r="F747" s="134" t="s">
        <v>1935</v>
      </c>
    </row>
    <row r="748" spans="1:6">
      <c r="A748" s="132">
        <v>9385000</v>
      </c>
      <c r="B748" s="132">
        <v>9385000</v>
      </c>
      <c r="C748" s="132">
        <v>9445000</v>
      </c>
      <c r="D748" s="132">
        <v>9385000</v>
      </c>
      <c r="E748" s="133">
        <v>42381</v>
      </c>
      <c r="F748" s="134" t="s">
        <v>1936</v>
      </c>
    </row>
    <row r="749" spans="1:6">
      <c r="A749" s="132">
        <v>9485000</v>
      </c>
      <c r="B749" s="132">
        <v>9470000</v>
      </c>
      <c r="C749" s="132">
        <v>9575000</v>
      </c>
      <c r="D749" s="132">
        <v>9485000</v>
      </c>
      <c r="E749" s="133">
        <v>42380</v>
      </c>
      <c r="F749" s="134" t="s">
        <v>1937</v>
      </c>
    </row>
    <row r="750" spans="1:6">
      <c r="A750" s="132">
        <v>9600000</v>
      </c>
      <c r="B750" s="132">
        <v>9580000</v>
      </c>
      <c r="C750" s="132">
        <v>9660000</v>
      </c>
      <c r="D750" s="132">
        <v>9600000</v>
      </c>
      <c r="E750" s="133">
        <v>42379</v>
      </c>
      <c r="F750" s="134" t="s">
        <v>1938</v>
      </c>
    </row>
    <row r="751" spans="1:6">
      <c r="A751" s="132">
        <v>9655000</v>
      </c>
      <c r="B751" s="132">
        <v>9555000</v>
      </c>
      <c r="C751" s="132">
        <v>9670000</v>
      </c>
      <c r="D751" s="132">
        <v>9655000</v>
      </c>
      <c r="E751" s="133">
        <v>42378</v>
      </c>
      <c r="F751" s="134" t="s">
        <v>1939</v>
      </c>
    </row>
    <row r="752" spans="1:6">
      <c r="A752" s="132">
        <v>9540000</v>
      </c>
      <c r="B752" s="132">
        <v>9465000</v>
      </c>
      <c r="C752" s="132">
        <v>9540000</v>
      </c>
      <c r="D752" s="132">
        <v>9540000</v>
      </c>
      <c r="E752" s="133">
        <v>42376</v>
      </c>
      <c r="F752" s="134" t="s">
        <v>1940</v>
      </c>
    </row>
    <row r="753" spans="1:6">
      <c r="A753" s="132">
        <v>9460000</v>
      </c>
      <c r="B753" s="132">
        <v>9430000</v>
      </c>
      <c r="C753" s="132">
        <v>9475000</v>
      </c>
      <c r="D753" s="132">
        <v>9460000</v>
      </c>
      <c r="E753" s="133">
        <v>42375</v>
      </c>
      <c r="F753" s="134" t="s">
        <v>1941</v>
      </c>
    </row>
    <row r="754" spans="1:6">
      <c r="A754" s="132">
        <v>9400000</v>
      </c>
      <c r="B754" s="132">
        <v>9390000</v>
      </c>
      <c r="C754" s="132">
        <v>9430000</v>
      </c>
      <c r="D754" s="132">
        <v>9400000</v>
      </c>
      <c r="E754" s="133">
        <v>42374</v>
      </c>
      <c r="F754" s="134" t="s">
        <v>1942</v>
      </c>
    </row>
    <row r="755" spans="1:6">
      <c r="A755" s="132">
        <v>9400000</v>
      </c>
      <c r="B755" s="132">
        <v>9350000</v>
      </c>
      <c r="C755" s="132">
        <v>9435000</v>
      </c>
      <c r="D755" s="132">
        <v>9400000</v>
      </c>
      <c r="E755" s="133">
        <v>42373</v>
      </c>
      <c r="F755" s="134" t="s">
        <v>1943</v>
      </c>
    </row>
    <row r="756" spans="1:6">
      <c r="A756" s="132">
        <v>9340000</v>
      </c>
      <c r="B756" s="132">
        <v>9310000</v>
      </c>
      <c r="C756" s="132">
        <v>9350000</v>
      </c>
      <c r="D756" s="132">
        <v>9340000</v>
      </c>
      <c r="E756" s="133">
        <v>42372</v>
      </c>
      <c r="F756" s="134" t="s">
        <v>1944</v>
      </c>
    </row>
    <row r="757" spans="1:6">
      <c r="A757" s="132">
        <v>9310000</v>
      </c>
      <c r="B757" s="132">
        <v>9300000</v>
      </c>
      <c r="C757" s="132">
        <v>9335000</v>
      </c>
      <c r="D757" s="132">
        <v>9310000</v>
      </c>
      <c r="E757" s="133">
        <v>42371</v>
      </c>
      <c r="F757" s="134" t="s">
        <v>1945</v>
      </c>
    </row>
    <row r="758" spans="1:6">
      <c r="A758" s="132">
        <v>9335000</v>
      </c>
      <c r="B758" s="132">
        <v>9325000</v>
      </c>
      <c r="C758" s="132">
        <v>9340000</v>
      </c>
      <c r="D758" s="132">
        <v>9335000</v>
      </c>
      <c r="E758" s="133">
        <v>42369</v>
      </c>
      <c r="F758" s="134" t="s">
        <v>1946</v>
      </c>
    </row>
    <row r="759" spans="1:6">
      <c r="A759" s="132">
        <v>9315000</v>
      </c>
      <c r="B759" s="132">
        <v>9295000</v>
      </c>
      <c r="C759" s="132">
        <v>9340000</v>
      </c>
      <c r="D759" s="132">
        <v>9315000</v>
      </c>
      <c r="E759" s="133">
        <v>42368</v>
      </c>
      <c r="F759" s="134" t="s">
        <v>1947</v>
      </c>
    </row>
    <row r="760" spans="1:6">
      <c r="A760" s="132">
        <v>9355000</v>
      </c>
      <c r="B760" s="132">
        <v>9350000</v>
      </c>
      <c r="C760" s="132">
        <v>9355000</v>
      </c>
      <c r="D760" s="132">
        <v>9355000</v>
      </c>
      <c r="E760" s="133">
        <v>42367</v>
      </c>
      <c r="F760" s="134" t="s">
        <v>1948</v>
      </c>
    </row>
    <row r="761" spans="1:6">
      <c r="A761" s="132">
        <v>9345000</v>
      </c>
      <c r="B761" s="132">
        <v>9345000</v>
      </c>
      <c r="C761" s="132">
        <v>9415000</v>
      </c>
      <c r="D761" s="132">
        <v>9345000</v>
      </c>
      <c r="E761" s="133">
        <v>42366</v>
      </c>
      <c r="F761" s="134" t="s">
        <v>1949</v>
      </c>
    </row>
    <row r="762" spans="1:6">
      <c r="A762" s="132">
        <v>9420000</v>
      </c>
      <c r="B762" s="132">
        <v>9395000</v>
      </c>
      <c r="C762" s="132">
        <v>9440000</v>
      </c>
      <c r="D762" s="132">
        <v>9420000</v>
      </c>
      <c r="E762" s="133">
        <v>42365</v>
      </c>
      <c r="F762" s="134" t="s">
        <v>1950</v>
      </c>
    </row>
    <row r="763" spans="1:6">
      <c r="A763" s="132">
        <v>9420000</v>
      </c>
      <c r="B763" s="132">
        <v>9335000</v>
      </c>
      <c r="C763" s="132">
        <v>9430000</v>
      </c>
      <c r="D763" s="132">
        <v>9420000</v>
      </c>
      <c r="E763" s="133">
        <v>42364</v>
      </c>
      <c r="F763" s="134" t="s">
        <v>1951</v>
      </c>
    </row>
    <row r="764" spans="1:6">
      <c r="A764" s="132">
        <v>9320000</v>
      </c>
      <c r="B764" s="132">
        <v>9295000</v>
      </c>
      <c r="C764" s="132">
        <v>9335000</v>
      </c>
      <c r="D764" s="132">
        <v>9320000</v>
      </c>
      <c r="E764" s="133">
        <v>42362</v>
      </c>
      <c r="F764" s="134" t="s">
        <v>1952</v>
      </c>
    </row>
    <row r="765" spans="1:6">
      <c r="A765" s="132">
        <v>9285000</v>
      </c>
      <c r="B765" s="132">
        <v>9235000</v>
      </c>
      <c r="C765" s="132">
        <v>9295000</v>
      </c>
      <c r="D765" s="132">
        <v>9285000</v>
      </c>
      <c r="E765" s="133">
        <v>42361</v>
      </c>
      <c r="F765" s="134" t="s">
        <v>1953</v>
      </c>
    </row>
    <row r="766" spans="1:6">
      <c r="A766" s="132">
        <v>9255000</v>
      </c>
      <c r="B766" s="132">
        <v>9225000</v>
      </c>
      <c r="C766" s="132">
        <v>9270000</v>
      </c>
      <c r="D766" s="132">
        <v>9255000</v>
      </c>
      <c r="E766" s="133">
        <v>42360</v>
      </c>
      <c r="F766" s="134" t="s">
        <v>1954</v>
      </c>
    </row>
    <row r="767" spans="1:6">
      <c r="A767" s="132">
        <v>9235000</v>
      </c>
      <c r="B767" s="132">
        <v>9180000</v>
      </c>
      <c r="C767" s="132">
        <v>9240000</v>
      </c>
      <c r="D767" s="132">
        <v>9235000</v>
      </c>
      <c r="E767" s="133">
        <v>42359</v>
      </c>
      <c r="F767" s="134" t="s">
        <v>1955</v>
      </c>
    </row>
    <row r="768" spans="1:6">
      <c r="A768" s="132">
        <v>9175000</v>
      </c>
      <c r="B768" s="132">
        <v>9160000</v>
      </c>
      <c r="C768" s="132">
        <v>9185000</v>
      </c>
      <c r="D768" s="132">
        <v>9175000</v>
      </c>
      <c r="E768" s="133">
        <v>42358</v>
      </c>
      <c r="F768" s="134" t="s">
        <v>1956</v>
      </c>
    </row>
    <row r="769" spans="1:6">
      <c r="A769" s="132">
        <v>9170000</v>
      </c>
      <c r="B769" s="132">
        <v>9135000</v>
      </c>
      <c r="C769" s="132">
        <v>9175000</v>
      </c>
      <c r="D769" s="132">
        <v>9170000</v>
      </c>
      <c r="E769" s="133">
        <v>42357</v>
      </c>
      <c r="F769" s="134" t="s">
        <v>1957</v>
      </c>
    </row>
    <row r="770" spans="1:6">
      <c r="A770" s="132">
        <v>9110000</v>
      </c>
      <c r="B770" s="132">
        <v>9100000</v>
      </c>
      <c r="C770" s="132">
        <v>9155000</v>
      </c>
      <c r="D770" s="132">
        <v>9110000</v>
      </c>
      <c r="E770" s="133">
        <v>42355</v>
      </c>
      <c r="F770" s="134" t="s">
        <v>1958</v>
      </c>
    </row>
    <row r="771" spans="1:6">
      <c r="A771" s="132">
        <v>9145000</v>
      </c>
      <c r="B771" s="132">
        <v>9110000</v>
      </c>
      <c r="C771" s="132">
        <v>9155000</v>
      </c>
      <c r="D771" s="132">
        <v>9145000</v>
      </c>
      <c r="E771" s="133">
        <v>42354</v>
      </c>
      <c r="F771" s="134" t="s">
        <v>1959</v>
      </c>
    </row>
    <row r="772" spans="1:6">
      <c r="A772" s="132">
        <v>9080000</v>
      </c>
      <c r="B772" s="132">
        <v>9075000</v>
      </c>
      <c r="C772" s="132">
        <v>9140000</v>
      </c>
      <c r="D772" s="132">
        <v>9080000</v>
      </c>
      <c r="E772" s="133">
        <v>42353</v>
      </c>
      <c r="F772" s="134" t="s">
        <v>1960</v>
      </c>
    </row>
    <row r="773" spans="1:6">
      <c r="A773" s="132">
        <v>9165000</v>
      </c>
      <c r="B773" s="132">
        <v>9155000</v>
      </c>
      <c r="C773" s="132">
        <v>9205000</v>
      </c>
      <c r="D773" s="132">
        <v>9165000</v>
      </c>
      <c r="E773" s="133">
        <v>42352</v>
      </c>
      <c r="F773" s="134" t="s">
        <v>1961</v>
      </c>
    </row>
    <row r="774" spans="1:6">
      <c r="A774" s="132">
        <v>9210000</v>
      </c>
      <c r="B774" s="132">
        <v>9195000</v>
      </c>
      <c r="C774" s="132">
        <v>9215000</v>
      </c>
      <c r="D774" s="132">
        <v>9210000</v>
      </c>
      <c r="E774" s="133">
        <v>42351</v>
      </c>
      <c r="F774" s="134" t="s">
        <v>1962</v>
      </c>
    </row>
    <row r="775" spans="1:6">
      <c r="A775" s="132">
        <v>9195000</v>
      </c>
      <c r="B775" s="132">
        <v>9125000</v>
      </c>
      <c r="C775" s="132">
        <v>9205000</v>
      </c>
      <c r="D775" s="132">
        <v>9195000</v>
      </c>
      <c r="E775" s="133">
        <v>42348</v>
      </c>
      <c r="F775" s="134" t="s">
        <v>1963</v>
      </c>
    </row>
    <row r="776" spans="1:6">
      <c r="A776" s="132">
        <v>9200000</v>
      </c>
      <c r="B776" s="132">
        <v>9190000</v>
      </c>
      <c r="C776" s="132">
        <v>9225000</v>
      </c>
      <c r="D776" s="132">
        <v>9200000</v>
      </c>
      <c r="E776" s="133">
        <v>42347</v>
      </c>
      <c r="F776" s="134" t="s">
        <v>1964</v>
      </c>
    </row>
    <row r="777" spans="1:6">
      <c r="A777" s="132">
        <v>9200000</v>
      </c>
      <c r="B777" s="132">
        <v>9120000</v>
      </c>
      <c r="C777" s="132">
        <v>9205000</v>
      </c>
      <c r="D777" s="132">
        <v>9200000</v>
      </c>
      <c r="E777" s="133">
        <v>42346</v>
      </c>
      <c r="F777" s="134" t="s">
        <v>1965</v>
      </c>
    </row>
    <row r="778" spans="1:6">
      <c r="A778" s="132">
        <v>9215000</v>
      </c>
      <c r="B778" s="132">
        <v>9210000</v>
      </c>
      <c r="C778" s="132">
        <v>9245000</v>
      </c>
      <c r="D778" s="132">
        <v>9215000</v>
      </c>
      <c r="E778" s="133">
        <v>42345</v>
      </c>
      <c r="F778" s="134" t="s">
        <v>1966</v>
      </c>
    </row>
    <row r="779" spans="1:6">
      <c r="A779" s="132">
        <v>9210000</v>
      </c>
      <c r="B779" s="132">
        <v>9175000</v>
      </c>
      <c r="C779" s="132">
        <v>9225000</v>
      </c>
      <c r="D779" s="132">
        <v>9210000</v>
      </c>
      <c r="E779" s="133">
        <v>42344</v>
      </c>
      <c r="F779" s="134" t="s">
        <v>1967</v>
      </c>
    </row>
    <row r="780" spans="1:6">
      <c r="A780" s="132">
        <v>9195000</v>
      </c>
      <c r="B780" s="132">
        <v>9195000</v>
      </c>
      <c r="C780" s="132">
        <v>9230000</v>
      </c>
      <c r="D780" s="132">
        <v>9195000</v>
      </c>
      <c r="E780" s="133">
        <v>42343</v>
      </c>
      <c r="F780" s="134" t="s">
        <v>1968</v>
      </c>
    </row>
    <row r="781" spans="1:6">
      <c r="A781" s="132">
        <v>9105000</v>
      </c>
      <c r="B781" s="132">
        <v>9080000</v>
      </c>
      <c r="C781" s="132">
        <v>9115000</v>
      </c>
      <c r="D781" s="132">
        <v>9105000</v>
      </c>
      <c r="E781" s="133">
        <v>42341</v>
      </c>
      <c r="F781" s="134" t="s">
        <v>1969</v>
      </c>
    </row>
    <row r="782" spans="1:6">
      <c r="A782" s="132">
        <v>9145000</v>
      </c>
      <c r="B782" s="132">
        <v>9125000</v>
      </c>
      <c r="C782" s="132">
        <v>9160000</v>
      </c>
      <c r="D782" s="132">
        <v>9145000</v>
      </c>
      <c r="E782" s="133">
        <v>42339</v>
      </c>
      <c r="F782" s="134" t="s">
        <v>1970</v>
      </c>
    </row>
    <row r="783" spans="1:6">
      <c r="A783" s="132">
        <v>9110000</v>
      </c>
      <c r="B783" s="132">
        <v>9050000</v>
      </c>
      <c r="C783" s="132">
        <v>9120000</v>
      </c>
      <c r="D783" s="132">
        <v>9110000</v>
      </c>
      <c r="E783" s="133">
        <v>42338</v>
      </c>
      <c r="F783" s="134" t="s">
        <v>1971</v>
      </c>
    </row>
    <row r="784" spans="1:6">
      <c r="A784" s="132">
        <v>9085000</v>
      </c>
      <c r="B784" s="132">
        <v>9070000</v>
      </c>
      <c r="C784" s="132">
        <v>9095000</v>
      </c>
      <c r="D784" s="132">
        <v>9085000</v>
      </c>
      <c r="E784" s="133">
        <v>42337</v>
      </c>
      <c r="F784" s="134" t="s">
        <v>1972</v>
      </c>
    </row>
    <row r="785" spans="1:6">
      <c r="A785" s="132">
        <v>9060000</v>
      </c>
      <c r="B785" s="132">
        <v>9050000</v>
      </c>
      <c r="C785" s="132">
        <v>9085000</v>
      </c>
      <c r="D785" s="132">
        <v>9060000</v>
      </c>
      <c r="E785" s="133">
        <v>42336</v>
      </c>
      <c r="F785" s="134" t="s">
        <v>1973</v>
      </c>
    </row>
    <row r="786" spans="1:6">
      <c r="A786" s="132">
        <v>9115000</v>
      </c>
      <c r="B786" s="132">
        <v>9095000</v>
      </c>
      <c r="C786" s="132">
        <v>9120000</v>
      </c>
      <c r="D786" s="132">
        <v>9115000</v>
      </c>
      <c r="E786" s="133">
        <v>42334</v>
      </c>
      <c r="F786" s="134" t="s">
        <v>1974</v>
      </c>
    </row>
    <row r="787" spans="1:6">
      <c r="A787" s="132">
        <v>9105000</v>
      </c>
      <c r="B787" s="132">
        <v>9080000</v>
      </c>
      <c r="C787" s="132">
        <v>9130000</v>
      </c>
      <c r="D787" s="132">
        <v>9105000</v>
      </c>
      <c r="E787" s="133">
        <v>42333</v>
      </c>
      <c r="F787" s="134" t="s">
        <v>1975</v>
      </c>
    </row>
    <row r="788" spans="1:6">
      <c r="A788" s="132">
        <v>9080000</v>
      </c>
      <c r="B788" s="132">
        <v>9040000</v>
      </c>
      <c r="C788" s="132">
        <v>9100000</v>
      </c>
      <c r="D788" s="132">
        <v>9080000</v>
      </c>
      <c r="E788" s="133">
        <v>42332</v>
      </c>
      <c r="F788" s="134" t="s">
        <v>1976</v>
      </c>
    </row>
    <row r="789" spans="1:6">
      <c r="A789" s="132">
        <v>9035000</v>
      </c>
      <c r="B789" s="132">
        <v>9020000</v>
      </c>
      <c r="C789" s="132">
        <v>9055000</v>
      </c>
      <c r="D789" s="132">
        <v>9035000</v>
      </c>
      <c r="E789" s="133">
        <v>42331</v>
      </c>
      <c r="F789" s="134" t="s">
        <v>1977</v>
      </c>
    </row>
    <row r="790" spans="1:6">
      <c r="A790" s="132">
        <v>9080000</v>
      </c>
      <c r="B790" s="132">
        <v>9060000</v>
      </c>
      <c r="C790" s="132">
        <v>9085000</v>
      </c>
      <c r="D790" s="132">
        <v>9080000</v>
      </c>
      <c r="E790" s="133">
        <v>42330</v>
      </c>
      <c r="F790" s="134" t="s">
        <v>1978</v>
      </c>
    </row>
    <row r="791" spans="1:6">
      <c r="A791" s="132">
        <v>9070000</v>
      </c>
      <c r="B791" s="132">
        <v>9040000</v>
      </c>
      <c r="C791" s="132">
        <v>9075000</v>
      </c>
      <c r="D791" s="132">
        <v>9070000</v>
      </c>
      <c r="E791" s="133">
        <v>42329</v>
      </c>
      <c r="F791" s="134" t="s">
        <v>1979</v>
      </c>
    </row>
    <row r="792" spans="1:6">
      <c r="A792" s="132">
        <v>9135000</v>
      </c>
      <c r="B792" s="132">
        <v>9085000</v>
      </c>
      <c r="C792" s="132">
        <v>9135000</v>
      </c>
      <c r="D792" s="132">
        <v>9135000</v>
      </c>
      <c r="E792" s="133">
        <v>42327</v>
      </c>
      <c r="F792" s="134" t="s">
        <v>1980</v>
      </c>
    </row>
    <row r="793" spans="1:6">
      <c r="A793" s="132">
        <v>9065000</v>
      </c>
      <c r="B793" s="132">
        <v>9060000</v>
      </c>
      <c r="C793" s="132">
        <v>9080000</v>
      </c>
      <c r="D793" s="132">
        <v>9065000</v>
      </c>
      <c r="E793" s="133">
        <v>42326</v>
      </c>
      <c r="F793" s="134" t="s">
        <v>1981</v>
      </c>
    </row>
    <row r="794" spans="1:6">
      <c r="A794" s="132">
        <v>9080000</v>
      </c>
      <c r="B794" s="132">
        <v>9080000</v>
      </c>
      <c r="C794" s="132">
        <v>9130000</v>
      </c>
      <c r="D794" s="132">
        <v>9080000</v>
      </c>
      <c r="E794" s="133">
        <v>42325</v>
      </c>
      <c r="F794" s="134" t="s">
        <v>1982</v>
      </c>
    </row>
    <row r="795" spans="1:6">
      <c r="A795" s="132">
        <v>9160000</v>
      </c>
      <c r="B795" s="132">
        <v>9155000</v>
      </c>
      <c r="C795" s="132">
        <v>9240000</v>
      </c>
      <c r="D795" s="132">
        <v>9160000</v>
      </c>
      <c r="E795" s="133">
        <v>42324</v>
      </c>
      <c r="F795" s="134" t="s">
        <v>1983</v>
      </c>
    </row>
    <row r="796" spans="1:6">
      <c r="A796" s="132">
        <v>9180000</v>
      </c>
      <c r="B796" s="132">
        <v>9170000</v>
      </c>
      <c r="C796" s="132">
        <v>9200000</v>
      </c>
      <c r="D796" s="132">
        <v>9180000</v>
      </c>
      <c r="E796" s="133">
        <v>42323</v>
      </c>
      <c r="F796" s="134" t="s">
        <v>1984</v>
      </c>
    </row>
    <row r="797" spans="1:6">
      <c r="A797" s="132">
        <v>9200000</v>
      </c>
      <c r="B797" s="132">
        <v>9160000</v>
      </c>
      <c r="C797" s="132">
        <v>9210000</v>
      </c>
      <c r="D797" s="132">
        <v>9200000</v>
      </c>
      <c r="E797" s="133">
        <v>42322</v>
      </c>
      <c r="F797" s="134" t="s">
        <v>1985</v>
      </c>
    </row>
    <row r="798" spans="1:6">
      <c r="A798" s="132">
        <v>9145000</v>
      </c>
      <c r="B798" s="132">
        <v>9105000</v>
      </c>
      <c r="C798" s="132">
        <v>9155000</v>
      </c>
      <c r="D798" s="132">
        <v>9145000</v>
      </c>
      <c r="E798" s="133">
        <v>42320</v>
      </c>
      <c r="F798" s="134" t="s">
        <v>1986</v>
      </c>
    </row>
    <row r="799" spans="1:6">
      <c r="A799" s="132">
        <v>9150000</v>
      </c>
      <c r="B799" s="132">
        <v>9120000</v>
      </c>
      <c r="C799" s="132">
        <v>9155000</v>
      </c>
      <c r="D799" s="132">
        <v>9150000</v>
      </c>
      <c r="E799" s="133">
        <v>42319</v>
      </c>
      <c r="F799" s="134" t="s">
        <v>1987</v>
      </c>
    </row>
    <row r="800" spans="1:6">
      <c r="A800" s="132">
        <v>9150000</v>
      </c>
      <c r="B800" s="132">
        <v>9115000</v>
      </c>
      <c r="C800" s="132">
        <v>9225000</v>
      </c>
      <c r="D800" s="132">
        <v>9150000</v>
      </c>
      <c r="E800" s="133">
        <v>42318</v>
      </c>
      <c r="F800" s="134" t="s">
        <v>1988</v>
      </c>
    </row>
    <row r="801" spans="1:6">
      <c r="A801" s="132">
        <v>9155000</v>
      </c>
      <c r="B801" s="132">
        <v>9115000</v>
      </c>
      <c r="C801" s="132">
        <v>9165000</v>
      </c>
      <c r="D801" s="132">
        <v>9155000</v>
      </c>
      <c r="E801" s="133">
        <v>42317</v>
      </c>
      <c r="F801" s="134" t="s">
        <v>1989</v>
      </c>
    </row>
    <row r="802" spans="1:6">
      <c r="A802" s="132">
        <v>9100000</v>
      </c>
      <c r="B802" s="132">
        <v>9085000</v>
      </c>
      <c r="C802" s="132">
        <v>9115000</v>
      </c>
      <c r="D802" s="132">
        <v>9100000</v>
      </c>
      <c r="E802" s="133">
        <v>42316</v>
      </c>
      <c r="F802" s="134" t="s">
        <v>1990</v>
      </c>
    </row>
    <row r="803" spans="1:6">
      <c r="A803" s="132">
        <v>9085000</v>
      </c>
      <c r="B803" s="132">
        <v>9065000</v>
      </c>
      <c r="C803" s="132">
        <v>9095000</v>
      </c>
      <c r="D803" s="132">
        <v>9085000</v>
      </c>
      <c r="E803" s="133">
        <v>42315</v>
      </c>
      <c r="F803" s="134" t="s">
        <v>1991</v>
      </c>
    </row>
    <row r="804" spans="1:6">
      <c r="A804" s="132">
        <v>9180000</v>
      </c>
      <c r="B804" s="132">
        <v>9170000</v>
      </c>
      <c r="C804" s="132">
        <v>9200000</v>
      </c>
      <c r="D804" s="132">
        <v>9180000</v>
      </c>
      <c r="E804" s="133">
        <v>42313</v>
      </c>
      <c r="F804" s="134" t="s">
        <v>1992</v>
      </c>
    </row>
    <row r="805" spans="1:6">
      <c r="A805" s="132">
        <v>9220000</v>
      </c>
      <c r="B805" s="132">
        <v>9220000</v>
      </c>
      <c r="C805" s="132">
        <v>9285000</v>
      </c>
      <c r="D805" s="132">
        <v>9220000</v>
      </c>
      <c r="E805" s="133">
        <v>42312</v>
      </c>
      <c r="F805" s="134" t="s">
        <v>1993</v>
      </c>
    </row>
    <row r="806" spans="1:6">
      <c r="A806" s="132">
        <v>9300000</v>
      </c>
      <c r="B806" s="132">
        <v>9300000</v>
      </c>
      <c r="C806" s="132">
        <v>9345000</v>
      </c>
      <c r="D806" s="132">
        <v>9300000</v>
      </c>
      <c r="E806" s="133">
        <v>42311</v>
      </c>
      <c r="F806" s="134" t="s">
        <v>1994</v>
      </c>
    </row>
    <row r="807" spans="1:6">
      <c r="A807" s="132">
        <v>9340000</v>
      </c>
      <c r="B807" s="132">
        <v>9330000</v>
      </c>
      <c r="C807" s="132">
        <v>9370000</v>
      </c>
      <c r="D807" s="132">
        <v>9340000</v>
      </c>
      <c r="E807" s="133">
        <v>42310</v>
      </c>
      <c r="F807" s="134" t="s">
        <v>1995</v>
      </c>
    </row>
    <row r="808" spans="1:6">
      <c r="A808" s="132">
        <v>9365000</v>
      </c>
      <c r="B808" s="132">
        <v>9360000</v>
      </c>
      <c r="C808" s="132">
        <v>9385000</v>
      </c>
      <c r="D808" s="132">
        <v>9365000</v>
      </c>
      <c r="E808" s="133">
        <v>42309</v>
      </c>
      <c r="F808" s="134" t="s">
        <v>1996</v>
      </c>
    </row>
    <row r="809" spans="1:6">
      <c r="A809" s="132">
        <v>9375000</v>
      </c>
      <c r="B809" s="132">
        <v>9320000</v>
      </c>
      <c r="C809" s="132">
        <v>9375000</v>
      </c>
      <c r="D809" s="132">
        <v>9375000</v>
      </c>
      <c r="E809" s="133">
        <v>42308</v>
      </c>
      <c r="F809" s="134" t="s">
        <v>1997</v>
      </c>
    </row>
    <row r="810" spans="1:6">
      <c r="A810" s="132">
        <v>9420000</v>
      </c>
      <c r="B810" s="132">
        <v>9410000</v>
      </c>
      <c r="C810" s="132">
        <v>9445000</v>
      </c>
      <c r="D810" s="132">
        <v>9420000</v>
      </c>
      <c r="E810" s="133">
        <v>42306</v>
      </c>
      <c r="F810" s="134" t="s">
        <v>1998</v>
      </c>
    </row>
    <row r="811" spans="1:6">
      <c r="A811" s="132">
        <v>9535000</v>
      </c>
      <c r="B811" s="132">
        <v>9480000</v>
      </c>
      <c r="C811" s="132">
        <v>9545000</v>
      </c>
      <c r="D811" s="132">
        <v>9535000</v>
      </c>
      <c r="E811" s="133">
        <v>42305</v>
      </c>
      <c r="F811" s="134" t="s">
        <v>1999</v>
      </c>
    </row>
    <row r="812" spans="1:6">
      <c r="A812" s="132">
        <v>9465000</v>
      </c>
      <c r="B812" s="132">
        <v>9425000</v>
      </c>
      <c r="C812" s="132">
        <v>9470000</v>
      </c>
      <c r="D812" s="132">
        <v>9465000</v>
      </c>
      <c r="E812" s="133">
        <v>42304</v>
      </c>
      <c r="F812" s="134" t="s">
        <v>2000</v>
      </c>
    </row>
    <row r="813" spans="1:6">
      <c r="A813" s="132">
        <v>9430000</v>
      </c>
      <c r="B813" s="132">
        <v>9405000</v>
      </c>
      <c r="C813" s="132">
        <v>9430000</v>
      </c>
      <c r="D813" s="132">
        <v>9430000</v>
      </c>
      <c r="E813" s="133">
        <v>42303</v>
      </c>
      <c r="F813" s="134" t="s">
        <v>2001</v>
      </c>
    </row>
    <row r="814" spans="1:6">
      <c r="A814" s="132">
        <v>9415000</v>
      </c>
      <c r="B814" s="132">
        <v>9390000</v>
      </c>
      <c r="C814" s="132">
        <v>9415000</v>
      </c>
      <c r="D814" s="132">
        <v>9415000</v>
      </c>
      <c r="E814" s="133">
        <v>42302</v>
      </c>
      <c r="F814" s="134" t="s">
        <v>2002</v>
      </c>
    </row>
    <row r="815" spans="1:6">
      <c r="A815" s="132">
        <v>9415000</v>
      </c>
      <c r="B815" s="132">
        <v>9400000</v>
      </c>
      <c r="C815" s="132">
        <v>9425000</v>
      </c>
      <c r="D815" s="132">
        <v>9415000</v>
      </c>
      <c r="E815" s="133">
        <v>42299</v>
      </c>
      <c r="F815" s="134" t="s">
        <v>2003</v>
      </c>
    </row>
    <row r="816" spans="1:6">
      <c r="A816" s="132">
        <v>9410000</v>
      </c>
      <c r="B816" s="132">
        <v>9405000</v>
      </c>
      <c r="C816" s="132">
        <v>9450000</v>
      </c>
      <c r="D816" s="132">
        <v>9410000</v>
      </c>
      <c r="E816" s="133">
        <v>42298</v>
      </c>
      <c r="F816" s="134" t="s">
        <v>2004</v>
      </c>
    </row>
    <row r="817" spans="1:6">
      <c r="A817" s="132">
        <v>9435000</v>
      </c>
      <c r="B817" s="132">
        <v>9345000</v>
      </c>
      <c r="C817" s="132">
        <v>9445000</v>
      </c>
      <c r="D817" s="132">
        <v>9435000</v>
      </c>
      <c r="E817" s="133">
        <v>42297</v>
      </c>
      <c r="F817" s="134" t="s">
        <v>2005</v>
      </c>
    </row>
    <row r="818" spans="1:6">
      <c r="A818" s="132">
        <v>9395000</v>
      </c>
      <c r="B818" s="132">
        <v>9375000</v>
      </c>
      <c r="C818" s="132">
        <v>9470000</v>
      </c>
      <c r="D818" s="132">
        <v>9395000</v>
      </c>
      <c r="E818" s="133">
        <v>42296</v>
      </c>
      <c r="F818" s="134" t="s">
        <v>2006</v>
      </c>
    </row>
    <row r="819" spans="1:6">
      <c r="A819" s="132">
        <v>9485000</v>
      </c>
      <c r="B819" s="132">
        <v>9470000</v>
      </c>
      <c r="C819" s="132">
        <v>9510000</v>
      </c>
      <c r="D819" s="132">
        <v>9485000</v>
      </c>
      <c r="E819" s="133">
        <v>42295</v>
      </c>
      <c r="F819" s="134" t="s">
        <v>2007</v>
      </c>
    </row>
    <row r="820" spans="1:6">
      <c r="A820" s="132">
        <v>9490000</v>
      </c>
      <c r="B820" s="132">
        <v>9480000</v>
      </c>
      <c r="C820" s="132">
        <v>9530000</v>
      </c>
      <c r="D820" s="132">
        <v>9490000</v>
      </c>
      <c r="E820" s="133">
        <v>42294</v>
      </c>
      <c r="F820" s="134" t="s">
        <v>2008</v>
      </c>
    </row>
    <row r="821" spans="1:6">
      <c r="A821" s="132">
        <v>9565000</v>
      </c>
      <c r="B821" s="132">
        <v>9535000</v>
      </c>
      <c r="C821" s="132">
        <v>9580000</v>
      </c>
      <c r="D821" s="132">
        <v>9565000</v>
      </c>
      <c r="E821" s="133">
        <v>42292</v>
      </c>
      <c r="F821" s="134" t="s">
        <v>2009</v>
      </c>
    </row>
    <row r="822" spans="1:6">
      <c r="A822" s="132">
        <v>9500000</v>
      </c>
      <c r="B822" s="132">
        <v>9445000</v>
      </c>
      <c r="C822" s="132">
        <v>9520000</v>
      </c>
      <c r="D822" s="132">
        <v>9500000</v>
      </c>
      <c r="E822" s="133">
        <v>42291</v>
      </c>
      <c r="F822" s="134" t="s">
        <v>2010</v>
      </c>
    </row>
    <row r="823" spans="1:6">
      <c r="A823" s="132">
        <v>9400000</v>
      </c>
      <c r="B823" s="132">
        <v>9350000</v>
      </c>
      <c r="C823" s="132">
        <v>9405000</v>
      </c>
      <c r="D823" s="132">
        <v>9400000</v>
      </c>
      <c r="E823" s="133">
        <v>42290</v>
      </c>
      <c r="F823" s="134" t="s">
        <v>2011</v>
      </c>
    </row>
    <row r="824" spans="1:6">
      <c r="A824" s="132">
        <v>9415000</v>
      </c>
      <c r="B824" s="132">
        <v>9405000</v>
      </c>
      <c r="C824" s="132">
        <v>9480000</v>
      </c>
      <c r="D824" s="132">
        <v>9415000</v>
      </c>
      <c r="E824" s="133">
        <v>42289</v>
      </c>
      <c r="F824" s="134" t="s">
        <v>2012</v>
      </c>
    </row>
    <row r="825" spans="1:6">
      <c r="A825" s="132">
        <v>9425000</v>
      </c>
      <c r="B825" s="132">
        <v>9385000</v>
      </c>
      <c r="C825" s="132">
        <v>9430000</v>
      </c>
      <c r="D825" s="132">
        <v>9425000</v>
      </c>
      <c r="E825" s="133">
        <v>42288</v>
      </c>
      <c r="F825" s="134" t="s">
        <v>2013</v>
      </c>
    </row>
    <row r="826" spans="1:6">
      <c r="A826" s="132">
        <v>9390000</v>
      </c>
      <c r="B826" s="132">
        <v>9385000</v>
      </c>
      <c r="C826" s="132">
        <v>9425000</v>
      </c>
      <c r="D826" s="132">
        <v>9390000</v>
      </c>
      <c r="E826" s="133">
        <v>42287</v>
      </c>
      <c r="F826" s="134" t="s">
        <v>2014</v>
      </c>
    </row>
    <row r="827" spans="1:6">
      <c r="A827" s="132">
        <v>9340000</v>
      </c>
      <c r="B827" s="132">
        <v>9325000</v>
      </c>
      <c r="C827" s="132">
        <v>9350000</v>
      </c>
      <c r="D827" s="132">
        <v>9340000</v>
      </c>
      <c r="E827" s="133">
        <v>42285</v>
      </c>
      <c r="F827" s="134" t="s">
        <v>2015</v>
      </c>
    </row>
    <row r="828" spans="1:6">
      <c r="A828" s="132">
        <v>9345000</v>
      </c>
      <c r="B828" s="132">
        <v>9305000</v>
      </c>
      <c r="C828" s="132">
        <v>9365000</v>
      </c>
      <c r="D828" s="132">
        <v>9345000</v>
      </c>
      <c r="E828" s="133">
        <v>42284</v>
      </c>
      <c r="F828" s="134" t="s">
        <v>2016</v>
      </c>
    </row>
    <row r="829" spans="1:6">
      <c r="A829" s="132">
        <v>9285000</v>
      </c>
      <c r="B829" s="132">
        <v>9235000</v>
      </c>
      <c r="C829" s="132">
        <v>9290000</v>
      </c>
      <c r="D829" s="132">
        <v>9285000</v>
      </c>
      <c r="E829" s="133">
        <v>42283</v>
      </c>
      <c r="F829" s="134" t="s">
        <v>2017</v>
      </c>
    </row>
    <row r="830" spans="1:6">
      <c r="A830" s="132">
        <v>9230000</v>
      </c>
      <c r="B830" s="132">
        <v>9205000</v>
      </c>
      <c r="C830" s="132">
        <v>9235000</v>
      </c>
      <c r="D830" s="132">
        <v>9230000</v>
      </c>
      <c r="E830" s="133">
        <v>42282</v>
      </c>
      <c r="F830" s="134" t="s">
        <v>2018</v>
      </c>
    </row>
    <row r="831" spans="1:6">
      <c r="A831" s="132">
        <v>9215000</v>
      </c>
      <c r="B831" s="132">
        <v>9200000</v>
      </c>
      <c r="C831" s="132">
        <v>9220000</v>
      </c>
      <c r="D831" s="132">
        <v>9215000</v>
      </c>
      <c r="E831" s="133">
        <v>42281</v>
      </c>
      <c r="F831" s="134" t="s">
        <v>2019</v>
      </c>
    </row>
    <row r="832" spans="1:6">
      <c r="A832" s="132">
        <v>9220000</v>
      </c>
      <c r="B832" s="132">
        <v>9220000</v>
      </c>
      <c r="C832" s="132">
        <v>9260000</v>
      </c>
      <c r="D832" s="132">
        <v>9220000</v>
      </c>
      <c r="E832" s="133">
        <v>42280</v>
      </c>
      <c r="F832" s="134" t="s">
        <v>2020</v>
      </c>
    </row>
    <row r="833" spans="1:6">
      <c r="A833" s="132">
        <v>9145000</v>
      </c>
      <c r="B833" s="132">
        <v>9140000</v>
      </c>
      <c r="C833" s="132">
        <v>9155000</v>
      </c>
      <c r="D833" s="132">
        <v>9145000</v>
      </c>
      <c r="E833" s="133">
        <v>42278</v>
      </c>
      <c r="F833" s="134" t="s">
        <v>2021</v>
      </c>
    </row>
    <row r="834" spans="1:6">
      <c r="A834" s="132">
        <v>9160000</v>
      </c>
      <c r="B834" s="132">
        <v>9160000</v>
      </c>
      <c r="C834" s="132">
        <v>9220000</v>
      </c>
      <c r="D834" s="132">
        <v>9160000</v>
      </c>
      <c r="E834" s="133">
        <v>42277</v>
      </c>
      <c r="F834" s="134" t="s">
        <v>2022</v>
      </c>
    </row>
    <row r="835" spans="1:6">
      <c r="A835" s="132">
        <v>9220000</v>
      </c>
      <c r="B835" s="132">
        <v>9160000</v>
      </c>
      <c r="C835" s="132">
        <v>9235000</v>
      </c>
      <c r="D835" s="132">
        <v>9220000</v>
      </c>
      <c r="E835" s="133">
        <v>42276</v>
      </c>
      <c r="F835" s="134" t="s">
        <v>2023</v>
      </c>
    </row>
    <row r="836" spans="1:6">
      <c r="A836" s="132">
        <v>9185000</v>
      </c>
      <c r="B836" s="132">
        <v>9170000</v>
      </c>
      <c r="C836" s="132">
        <v>9210000</v>
      </c>
      <c r="D836" s="132">
        <v>9185000</v>
      </c>
      <c r="E836" s="133">
        <v>42275</v>
      </c>
      <c r="F836" s="134" t="s">
        <v>2024</v>
      </c>
    </row>
    <row r="837" spans="1:6">
      <c r="A837" s="132">
        <v>9220000</v>
      </c>
      <c r="B837" s="132">
        <v>9210000</v>
      </c>
      <c r="C837" s="132">
        <v>9235000</v>
      </c>
      <c r="D837" s="132">
        <v>9220000</v>
      </c>
      <c r="E837" s="133">
        <v>42274</v>
      </c>
      <c r="F837" s="134" t="s">
        <v>2025</v>
      </c>
    </row>
    <row r="838" spans="1:6">
      <c r="A838" s="132">
        <v>9220000</v>
      </c>
      <c r="B838" s="132">
        <v>9160000</v>
      </c>
      <c r="C838" s="132">
        <v>9220000</v>
      </c>
      <c r="D838" s="132">
        <v>9220000</v>
      </c>
      <c r="E838" s="133">
        <v>42273</v>
      </c>
      <c r="F838" s="134" t="s">
        <v>2026</v>
      </c>
    </row>
    <row r="839" spans="1:6">
      <c r="A839" s="132">
        <v>9200000</v>
      </c>
      <c r="B839" s="132">
        <v>9100000</v>
      </c>
      <c r="C839" s="132">
        <v>9205000</v>
      </c>
      <c r="D839" s="132">
        <v>9200000</v>
      </c>
      <c r="E839" s="133">
        <v>42271</v>
      </c>
      <c r="F839" s="134" t="s">
        <v>2027</v>
      </c>
    </row>
    <row r="840" spans="1:6">
      <c r="A840" s="132">
        <v>9080000</v>
      </c>
      <c r="B840" s="132">
        <v>9080000</v>
      </c>
      <c r="C840" s="132">
        <v>9180000</v>
      </c>
      <c r="D840" s="132">
        <v>9080000</v>
      </c>
      <c r="E840" s="133">
        <v>42269</v>
      </c>
      <c r="F840" s="134" t="s">
        <v>2028</v>
      </c>
    </row>
    <row r="841" spans="1:6">
      <c r="A841" s="132">
        <v>9100000</v>
      </c>
      <c r="B841" s="132">
        <v>9075000</v>
      </c>
      <c r="C841" s="132">
        <v>9115000</v>
      </c>
      <c r="D841" s="132">
        <v>9100000</v>
      </c>
      <c r="E841" s="133">
        <v>42270</v>
      </c>
      <c r="F841" s="134" t="s">
        <v>2029</v>
      </c>
    </row>
    <row r="842" spans="1:6">
      <c r="A842" s="132">
        <v>9155000</v>
      </c>
      <c r="B842" s="132">
        <v>9150000</v>
      </c>
      <c r="C842" s="132">
        <v>9170000</v>
      </c>
      <c r="D842" s="132">
        <v>9155000</v>
      </c>
      <c r="E842" s="133">
        <v>42268</v>
      </c>
      <c r="F842" s="134" t="s">
        <v>2030</v>
      </c>
    </row>
    <row r="843" spans="1:6">
      <c r="A843" s="132">
        <v>9165000</v>
      </c>
      <c r="B843" s="132">
        <v>9165000</v>
      </c>
      <c r="C843" s="132">
        <v>9190000</v>
      </c>
      <c r="D843" s="132">
        <v>9165000</v>
      </c>
      <c r="E843" s="133">
        <v>42267</v>
      </c>
      <c r="F843" s="134" t="s">
        <v>2031</v>
      </c>
    </row>
    <row r="844" spans="1:6">
      <c r="A844" s="132">
        <v>9180000</v>
      </c>
      <c r="B844" s="132">
        <v>9160000</v>
      </c>
      <c r="C844" s="132">
        <v>9185000</v>
      </c>
      <c r="D844" s="132">
        <v>9180000</v>
      </c>
      <c r="E844" s="133">
        <v>42266</v>
      </c>
      <c r="F844" s="134" t="s">
        <v>2032</v>
      </c>
    </row>
    <row r="845" spans="1:6">
      <c r="A845" s="132">
        <v>9100000</v>
      </c>
      <c r="B845" s="132">
        <v>9080000</v>
      </c>
      <c r="C845" s="132">
        <v>9100000</v>
      </c>
      <c r="D845" s="132">
        <v>9100000</v>
      </c>
      <c r="E845" s="133">
        <v>42264</v>
      </c>
      <c r="F845" s="134" t="s">
        <v>2033</v>
      </c>
    </row>
    <row r="846" spans="1:6">
      <c r="A846" s="132">
        <v>9115000</v>
      </c>
      <c r="B846" s="132">
        <v>9070000</v>
      </c>
      <c r="C846" s="132">
        <v>9115000</v>
      </c>
      <c r="D846" s="132">
        <v>9115000</v>
      </c>
      <c r="E846" s="133">
        <v>42263</v>
      </c>
      <c r="F846" s="134" t="s">
        <v>2034</v>
      </c>
    </row>
    <row r="847" spans="1:6">
      <c r="A847" s="132">
        <v>9095000</v>
      </c>
      <c r="B847" s="132">
        <v>9085000</v>
      </c>
      <c r="C847" s="132">
        <v>9125000</v>
      </c>
      <c r="D847" s="132">
        <v>9095000</v>
      </c>
      <c r="E847" s="133">
        <v>42262</v>
      </c>
      <c r="F847" s="134" t="s">
        <v>2035</v>
      </c>
    </row>
    <row r="848" spans="1:6">
      <c r="A848" s="132">
        <v>9115000</v>
      </c>
      <c r="B848" s="132">
        <v>9095000</v>
      </c>
      <c r="C848" s="132">
        <v>9130000</v>
      </c>
      <c r="D848" s="132">
        <v>9115000</v>
      </c>
      <c r="E848" s="133">
        <v>42261</v>
      </c>
      <c r="F848" s="134" t="s">
        <v>2036</v>
      </c>
    </row>
    <row r="849" spans="1:6">
      <c r="A849" s="132">
        <v>9115000</v>
      </c>
      <c r="B849" s="132">
        <v>9105000</v>
      </c>
      <c r="C849" s="132">
        <v>9130000</v>
      </c>
      <c r="D849" s="132">
        <v>9115000</v>
      </c>
      <c r="E849" s="133">
        <v>42260</v>
      </c>
      <c r="F849" s="134" t="s">
        <v>2037</v>
      </c>
    </row>
    <row r="850" spans="1:6">
      <c r="A850" s="132">
        <v>9110000</v>
      </c>
      <c r="B850" s="132">
        <v>9090000</v>
      </c>
      <c r="C850" s="132">
        <v>9125000</v>
      </c>
      <c r="D850" s="132">
        <v>9110000</v>
      </c>
      <c r="E850" s="133">
        <v>42259</v>
      </c>
      <c r="F850" s="134" t="s">
        <v>2038</v>
      </c>
    </row>
    <row r="851" spans="1:6">
      <c r="A851" s="132">
        <v>9120000</v>
      </c>
      <c r="B851" s="132">
        <v>9100000</v>
      </c>
      <c r="C851" s="132">
        <v>9130000</v>
      </c>
      <c r="D851" s="132">
        <v>9120000</v>
      </c>
      <c r="E851" s="133">
        <v>42257</v>
      </c>
      <c r="F851" s="134" t="s">
        <v>2039</v>
      </c>
    </row>
    <row r="852" spans="1:6">
      <c r="A852" s="132">
        <v>9145000</v>
      </c>
      <c r="B852" s="132">
        <v>9135000</v>
      </c>
      <c r="C852" s="132">
        <v>9180000</v>
      </c>
      <c r="D852" s="132">
        <v>9145000</v>
      </c>
      <c r="E852" s="133">
        <v>42256</v>
      </c>
      <c r="F852" s="134" t="s">
        <v>2040</v>
      </c>
    </row>
    <row r="853" spans="1:6">
      <c r="A853" s="132">
        <v>9195000</v>
      </c>
      <c r="B853" s="132">
        <v>9145000</v>
      </c>
      <c r="C853" s="132">
        <v>9195000</v>
      </c>
      <c r="D853" s="132">
        <v>9195000</v>
      </c>
      <c r="E853" s="133">
        <v>42255</v>
      </c>
      <c r="F853" s="134" t="s">
        <v>2041</v>
      </c>
    </row>
    <row r="854" spans="1:6">
      <c r="A854" s="132">
        <v>9150000</v>
      </c>
      <c r="B854" s="132">
        <v>9145000</v>
      </c>
      <c r="C854" s="132">
        <v>9215000</v>
      </c>
      <c r="D854" s="132">
        <v>9150000</v>
      </c>
      <c r="E854" s="133">
        <v>42254</v>
      </c>
      <c r="F854" s="134" t="s">
        <v>2042</v>
      </c>
    </row>
    <row r="855" spans="1:6">
      <c r="A855" s="132">
        <v>9205000</v>
      </c>
      <c r="B855" s="132">
        <v>9125000</v>
      </c>
      <c r="C855" s="132">
        <v>9230000</v>
      </c>
      <c r="D855" s="132">
        <v>9205000</v>
      </c>
      <c r="E855" s="133">
        <v>42253</v>
      </c>
      <c r="F855" s="134" t="s">
        <v>2043</v>
      </c>
    </row>
    <row r="856" spans="1:6">
      <c r="A856" s="132">
        <v>9200000</v>
      </c>
      <c r="B856" s="132">
        <v>9150000</v>
      </c>
      <c r="C856" s="132">
        <v>9205000</v>
      </c>
      <c r="D856" s="132">
        <v>9200000</v>
      </c>
      <c r="E856" s="133">
        <v>42252</v>
      </c>
      <c r="F856" s="134" t="s">
        <v>2044</v>
      </c>
    </row>
    <row r="857" spans="1:6">
      <c r="A857" s="132">
        <v>9165000</v>
      </c>
      <c r="B857" s="132">
        <v>9155000</v>
      </c>
      <c r="C857" s="132">
        <v>9180000</v>
      </c>
      <c r="D857" s="132">
        <v>9165000</v>
      </c>
      <c r="E857" s="133">
        <v>42250</v>
      </c>
      <c r="F857" s="134" t="s">
        <v>2045</v>
      </c>
    </row>
    <row r="858" spans="1:6">
      <c r="A858" s="132">
        <v>9185000</v>
      </c>
      <c r="B858" s="132">
        <v>9180000</v>
      </c>
      <c r="C858" s="132">
        <v>9260000</v>
      </c>
      <c r="D858" s="132">
        <v>9185000</v>
      </c>
      <c r="E858" s="133">
        <v>42249</v>
      </c>
      <c r="F858" s="134" t="s">
        <v>2046</v>
      </c>
    </row>
    <row r="859" spans="1:6">
      <c r="A859" s="132">
        <v>9275000</v>
      </c>
      <c r="B859" s="132">
        <v>9225000</v>
      </c>
      <c r="C859" s="132">
        <v>9275000</v>
      </c>
      <c r="D859" s="132">
        <v>9275000</v>
      </c>
      <c r="E859" s="133">
        <v>42248</v>
      </c>
      <c r="F859" s="134" t="s">
        <v>2047</v>
      </c>
    </row>
    <row r="860" spans="1:6">
      <c r="A860" s="132">
        <v>9200000</v>
      </c>
      <c r="B860" s="132">
        <v>9185000</v>
      </c>
      <c r="C860" s="132">
        <v>9225000</v>
      </c>
      <c r="D860" s="132">
        <v>9200000</v>
      </c>
      <c r="E860" s="133">
        <v>42247</v>
      </c>
      <c r="F860" s="134" t="s">
        <v>2048</v>
      </c>
    </row>
    <row r="861" spans="1:6">
      <c r="A861" s="132">
        <v>9190000</v>
      </c>
      <c r="B861" s="132">
        <v>9090000</v>
      </c>
      <c r="C861" s="132">
        <v>9190000</v>
      </c>
      <c r="D861" s="132">
        <v>9190000</v>
      </c>
      <c r="E861" s="133">
        <v>42246</v>
      </c>
      <c r="F861" s="134" t="s">
        <v>2049</v>
      </c>
    </row>
    <row r="862" spans="1:6">
      <c r="A862" s="132">
        <v>9085000</v>
      </c>
      <c r="B862" s="132">
        <v>9075000</v>
      </c>
      <c r="C862" s="132">
        <v>9140000</v>
      </c>
      <c r="D862" s="132">
        <v>9085000</v>
      </c>
      <c r="E862" s="133">
        <v>42245</v>
      </c>
      <c r="F862" s="134" t="s">
        <v>2050</v>
      </c>
    </row>
    <row r="863" spans="1:6">
      <c r="A863" s="132">
        <v>9110000</v>
      </c>
      <c r="B863" s="132">
        <v>9090000</v>
      </c>
      <c r="C863" s="132">
        <v>9165000</v>
      </c>
      <c r="D863" s="132">
        <v>9110000</v>
      </c>
      <c r="E863" s="133">
        <v>42243</v>
      </c>
      <c r="F863" s="134" t="s">
        <v>2051</v>
      </c>
    </row>
    <row r="864" spans="1:6">
      <c r="A864" s="132">
        <v>9160000</v>
      </c>
      <c r="B864" s="132">
        <v>9130000</v>
      </c>
      <c r="C864" s="132">
        <v>9285000</v>
      </c>
      <c r="D864" s="132">
        <v>9160000</v>
      </c>
      <c r="E864" s="133">
        <v>42242</v>
      </c>
      <c r="F864" s="134" t="s">
        <v>2052</v>
      </c>
    </row>
    <row r="865" spans="1:6">
      <c r="A865" s="132">
        <v>9255000</v>
      </c>
      <c r="B865" s="132">
        <v>9245000</v>
      </c>
      <c r="C865" s="132">
        <v>9300000</v>
      </c>
      <c r="D865" s="132">
        <v>9255000</v>
      </c>
      <c r="E865" s="133">
        <v>42241</v>
      </c>
      <c r="F865" s="134" t="s">
        <v>2053</v>
      </c>
    </row>
    <row r="866" spans="1:6">
      <c r="A866" s="132">
        <v>9355000</v>
      </c>
      <c r="B866" s="132">
        <v>9295000</v>
      </c>
      <c r="C866" s="132">
        <v>9370000</v>
      </c>
      <c r="D866" s="132">
        <v>9355000</v>
      </c>
      <c r="E866" s="133">
        <v>42240</v>
      </c>
      <c r="F866" s="134" t="s">
        <v>2054</v>
      </c>
    </row>
    <row r="867" spans="1:6">
      <c r="A867" s="132">
        <v>9380000</v>
      </c>
      <c r="B867" s="132">
        <v>9330000</v>
      </c>
      <c r="C867" s="132">
        <v>9505000</v>
      </c>
      <c r="D867" s="132">
        <v>9380000</v>
      </c>
      <c r="E867" s="133">
        <v>42239</v>
      </c>
      <c r="F867" s="134" t="s">
        <v>2055</v>
      </c>
    </row>
    <row r="868" spans="1:6">
      <c r="A868" s="132">
        <v>9410000</v>
      </c>
      <c r="B868" s="132">
        <v>9225000</v>
      </c>
      <c r="C868" s="132">
        <v>9410000</v>
      </c>
      <c r="D868" s="132">
        <v>9410000</v>
      </c>
      <c r="E868" s="133">
        <v>42238</v>
      </c>
      <c r="F868" s="134" t="s">
        <v>2056</v>
      </c>
    </row>
    <row r="869" spans="1:6">
      <c r="A869" s="132">
        <v>9095000</v>
      </c>
      <c r="B869" s="132">
        <v>9050000</v>
      </c>
      <c r="C869" s="132">
        <v>9105000</v>
      </c>
      <c r="D869" s="132">
        <v>9095000</v>
      </c>
      <c r="E869" s="133">
        <v>42236</v>
      </c>
      <c r="F869" s="134" t="s">
        <v>2057</v>
      </c>
    </row>
    <row r="870" spans="1:6">
      <c r="A870" s="132">
        <v>9000000</v>
      </c>
      <c r="B870" s="132">
        <v>8940000</v>
      </c>
      <c r="C870" s="132">
        <v>9015000</v>
      </c>
      <c r="D870" s="132">
        <v>9000000</v>
      </c>
      <c r="E870" s="133">
        <v>42235</v>
      </c>
      <c r="F870" s="134" t="s">
        <v>2058</v>
      </c>
    </row>
    <row r="871" spans="1:6">
      <c r="A871" s="132">
        <v>8930000</v>
      </c>
      <c r="B871" s="132">
        <v>8925000</v>
      </c>
      <c r="C871" s="132">
        <v>8970000</v>
      </c>
      <c r="D871" s="132">
        <v>8930000</v>
      </c>
      <c r="E871" s="133">
        <v>42234</v>
      </c>
      <c r="F871" s="134" t="s">
        <v>2059</v>
      </c>
    </row>
    <row r="872" spans="1:6">
      <c r="A872" s="132">
        <v>8935000</v>
      </c>
      <c r="B872" s="132">
        <v>8910000</v>
      </c>
      <c r="C872" s="132">
        <v>8940000</v>
      </c>
      <c r="D872" s="132">
        <v>8935000</v>
      </c>
      <c r="E872" s="133">
        <v>42233</v>
      </c>
      <c r="F872" s="134" t="s">
        <v>2060</v>
      </c>
    </row>
    <row r="873" spans="1:6">
      <c r="A873" s="132">
        <v>8910000</v>
      </c>
      <c r="B873" s="132">
        <v>8860000</v>
      </c>
      <c r="C873" s="132">
        <v>8910000</v>
      </c>
      <c r="D873" s="132">
        <v>8910000</v>
      </c>
      <c r="E873" s="133">
        <v>42232</v>
      </c>
      <c r="F873" s="134" t="s">
        <v>2061</v>
      </c>
    </row>
    <row r="874" spans="1:6">
      <c r="A874" s="132">
        <v>8875000</v>
      </c>
      <c r="B874" s="132">
        <v>8860000</v>
      </c>
      <c r="C874" s="132">
        <v>8890000</v>
      </c>
      <c r="D874" s="132">
        <v>8875000</v>
      </c>
      <c r="E874" s="133">
        <v>42231</v>
      </c>
      <c r="F874" s="134" t="s">
        <v>2062</v>
      </c>
    </row>
    <row r="875" spans="1:6">
      <c r="A875" s="132">
        <v>8860000</v>
      </c>
      <c r="B875" s="132">
        <v>8860000</v>
      </c>
      <c r="C875" s="132">
        <v>8930000</v>
      </c>
      <c r="D875" s="132">
        <v>8860000</v>
      </c>
      <c r="E875" s="133">
        <v>42229</v>
      </c>
      <c r="F875" s="134" t="s">
        <v>2063</v>
      </c>
    </row>
    <row r="876" spans="1:6">
      <c r="A876" s="132">
        <v>8925000</v>
      </c>
      <c r="B876" s="132">
        <v>8845000</v>
      </c>
      <c r="C876" s="132">
        <v>8925000</v>
      </c>
      <c r="D876" s="132">
        <v>8925000</v>
      </c>
      <c r="E876" s="133">
        <v>42228</v>
      </c>
      <c r="F876" s="134" t="s">
        <v>2064</v>
      </c>
    </row>
    <row r="877" spans="1:6">
      <c r="A877" s="132">
        <v>8810000</v>
      </c>
      <c r="B877" s="132">
        <v>8745000</v>
      </c>
      <c r="C877" s="132">
        <v>8810000</v>
      </c>
      <c r="D877" s="132">
        <v>8810000</v>
      </c>
      <c r="E877" s="133">
        <v>42226</v>
      </c>
      <c r="F877" s="134" t="s">
        <v>2065</v>
      </c>
    </row>
    <row r="878" spans="1:6">
      <c r="A878" s="132">
        <v>8755000</v>
      </c>
      <c r="B878" s="132">
        <v>8755000</v>
      </c>
      <c r="C878" s="132">
        <v>8790000</v>
      </c>
      <c r="D878" s="132">
        <v>8755000</v>
      </c>
      <c r="E878" s="133">
        <v>42225</v>
      </c>
      <c r="F878" s="134" t="s">
        <v>2066</v>
      </c>
    </row>
    <row r="879" spans="1:6">
      <c r="A879" s="132">
        <v>8780000</v>
      </c>
      <c r="B879" s="132">
        <v>8735000</v>
      </c>
      <c r="C879" s="132">
        <v>8795000</v>
      </c>
      <c r="D879" s="132">
        <v>8780000</v>
      </c>
      <c r="E879" s="133">
        <v>42224</v>
      </c>
      <c r="F879" s="134" t="s">
        <v>2067</v>
      </c>
    </row>
    <row r="880" spans="1:6">
      <c r="A880" s="132">
        <v>8703000</v>
      </c>
      <c r="B880" s="132">
        <v>8690000</v>
      </c>
      <c r="C880" s="132">
        <v>8715000</v>
      </c>
      <c r="D880" s="132">
        <v>8703000</v>
      </c>
      <c r="E880" s="133">
        <v>42222</v>
      </c>
      <c r="F880" s="134" t="s">
        <v>2068</v>
      </c>
    </row>
    <row r="881" spans="1:6">
      <c r="A881" s="132">
        <v>8710000</v>
      </c>
      <c r="B881" s="132">
        <v>8705000</v>
      </c>
      <c r="C881" s="132">
        <v>8730000</v>
      </c>
      <c r="D881" s="132">
        <v>8710000</v>
      </c>
      <c r="E881" s="133">
        <v>42221</v>
      </c>
      <c r="F881" s="134" t="s">
        <v>2069</v>
      </c>
    </row>
    <row r="882" spans="1:6">
      <c r="A882" s="132">
        <v>8740000</v>
      </c>
      <c r="B882" s="132">
        <v>8725000</v>
      </c>
      <c r="C882" s="132">
        <v>8755000</v>
      </c>
      <c r="D882" s="132">
        <v>8740000</v>
      </c>
      <c r="E882" s="133">
        <v>42220</v>
      </c>
      <c r="F882" s="134" t="s">
        <v>2070</v>
      </c>
    </row>
    <row r="883" spans="1:6">
      <c r="A883" s="132">
        <v>8750000</v>
      </c>
      <c r="B883" s="132">
        <v>8740000</v>
      </c>
      <c r="C883" s="132">
        <v>8775000</v>
      </c>
      <c r="D883" s="132">
        <v>8750000</v>
      </c>
      <c r="E883" s="133">
        <v>42219</v>
      </c>
      <c r="F883" s="134" t="s">
        <v>2071</v>
      </c>
    </row>
    <row r="884" spans="1:6">
      <c r="A884" s="132">
        <v>8785000</v>
      </c>
      <c r="B884" s="132">
        <v>8775000</v>
      </c>
      <c r="C884" s="132">
        <v>8815000</v>
      </c>
      <c r="D884" s="132">
        <v>8785000</v>
      </c>
      <c r="E884" s="133">
        <v>42218</v>
      </c>
      <c r="F884" s="134" t="s">
        <v>2072</v>
      </c>
    </row>
    <row r="885" spans="1:6">
      <c r="A885" s="132">
        <v>8788000</v>
      </c>
      <c r="B885" s="132">
        <v>8745000</v>
      </c>
      <c r="C885" s="132">
        <v>8790000</v>
      </c>
      <c r="D885" s="132">
        <v>8788000</v>
      </c>
      <c r="E885" s="133">
        <v>42217</v>
      </c>
      <c r="F885" s="134" t="s">
        <v>2073</v>
      </c>
    </row>
    <row r="886" spans="1:6">
      <c r="A886" s="132">
        <v>8730000</v>
      </c>
      <c r="B886" s="132">
        <v>8670000</v>
      </c>
      <c r="C886" s="132">
        <v>8735000</v>
      </c>
      <c r="D886" s="132">
        <v>8730000</v>
      </c>
      <c r="E886" s="133">
        <v>42215</v>
      </c>
      <c r="F886" s="134" t="s">
        <v>2074</v>
      </c>
    </row>
    <row r="887" spans="1:6">
      <c r="A887" s="132">
        <v>8770000</v>
      </c>
      <c r="B887" s="132">
        <v>8765000</v>
      </c>
      <c r="C887" s="132">
        <v>8825000</v>
      </c>
      <c r="D887" s="132">
        <v>8770000</v>
      </c>
      <c r="E887" s="133">
        <v>42214</v>
      </c>
      <c r="F887" s="134" t="s">
        <v>2075</v>
      </c>
    </row>
    <row r="888" spans="1:6">
      <c r="A888" s="132">
        <v>8800000</v>
      </c>
      <c r="B888" s="132">
        <v>8745000</v>
      </c>
      <c r="C888" s="132">
        <v>8805000</v>
      </c>
      <c r="D888" s="132">
        <v>8800000</v>
      </c>
      <c r="E888" s="133">
        <v>42213</v>
      </c>
      <c r="F888" s="134" t="s">
        <v>2076</v>
      </c>
    </row>
    <row r="889" spans="1:6">
      <c r="A889" s="132">
        <v>8764000</v>
      </c>
      <c r="B889" s="132">
        <v>8725000</v>
      </c>
      <c r="C889" s="132">
        <v>8775000</v>
      </c>
      <c r="D889" s="132">
        <v>8764000</v>
      </c>
      <c r="E889" s="133">
        <v>42212</v>
      </c>
      <c r="F889" s="134" t="s">
        <v>2077</v>
      </c>
    </row>
    <row r="890" spans="1:6">
      <c r="A890" s="132">
        <v>8730000</v>
      </c>
      <c r="B890" s="132">
        <v>8725000</v>
      </c>
      <c r="C890" s="132">
        <v>8830000</v>
      </c>
      <c r="D890" s="132">
        <v>8730000</v>
      </c>
      <c r="E890" s="133">
        <v>42211</v>
      </c>
      <c r="F890" s="134" t="s">
        <v>2078</v>
      </c>
    </row>
    <row r="891" spans="1:6">
      <c r="A891" s="132">
        <v>8735000</v>
      </c>
      <c r="B891" s="132">
        <v>8650000</v>
      </c>
      <c r="C891" s="132">
        <v>8755000</v>
      </c>
      <c r="D891" s="132">
        <v>8735000</v>
      </c>
      <c r="E891" s="133">
        <v>42210</v>
      </c>
      <c r="F891" s="134" t="s">
        <v>2079</v>
      </c>
    </row>
    <row r="892" spans="1:6">
      <c r="A892" s="132">
        <v>8610000</v>
      </c>
      <c r="B892" s="132">
        <v>8570000</v>
      </c>
      <c r="C892" s="132">
        <v>8645000</v>
      </c>
      <c r="D892" s="132">
        <v>8610000</v>
      </c>
      <c r="E892" s="133">
        <v>42207</v>
      </c>
      <c r="F892" s="134" t="s">
        <v>2080</v>
      </c>
    </row>
    <row r="893" spans="1:6">
      <c r="A893" s="132">
        <v>8645000</v>
      </c>
      <c r="B893" s="132">
        <v>8630000</v>
      </c>
      <c r="C893" s="132">
        <v>8670000</v>
      </c>
      <c r="D893" s="132">
        <v>8645000</v>
      </c>
      <c r="E893" s="133">
        <v>42208</v>
      </c>
      <c r="F893" s="134" t="s">
        <v>2081</v>
      </c>
    </row>
    <row r="894" spans="1:6">
      <c r="A894" s="132">
        <v>8675000</v>
      </c>
      <c r="B894" s="132">
        <v>8545000</v>
      </c>
      <c r="C894" s="132">
        <v>8675000</v>
      </c>
      <c r="D894" s="132">
        <v>8675000</v>
      </c>
      <c r="E894" s="133">
        <v>42206</v>
      </c>
      <c r="F894" s="134" t="s">
        <v>2082</v>
      </c>
    </row>
    <row r="895" spans="1:6">
      <c r="A895" s="132">
        <v>8560000</v>
      </c>
      <c r="B895" s="132">
        <v>8515000</v>
      </c>
      <c r="C895" s="132">
        <v>8645000</v>
      </c>
      <c r="D895" s="132">
        <v>8560000</v>
      </c>
      <c r="E895" s="133">
        <v>42205</v>
      </c>
      <c r="F895" s="134" t="s">
        <v>2083</v>
      </c>
    </row>
    <row r="896" spans="1:6">
      <c r="A896" s="132">
        <v>8750000</v>
      </c>
      <c r="B896" s="132">
        <v>8750000</v>
      </c>
      <c r="C896" s="132">
        <v>8870000</v>
      </c>
      <c r="D896" s="132">
        <v>8750000</v>
      </c>
      <c r="E896" s="133">
        <v>42201</v>
      </c>
      <c r="F896" s="134" t="s">
        <v>2084</v>
      </c>
    </row>
    <row r="897" spans="1:6">
      <c r="A897" s="132">
        <v>8880000</v>
      </c>
      <c r="B897" s="132">
        <v>8840000</v>
      </c>
      <c r="C897" s="132">
        <v>9020000</v>
      </c>
      <c r="D897" s="132">
        <v>8880000</v>
      </c>
      <c r="E897" s="133">
        <v>42200</v>
      </c>
      <c r="F897" s="134" t="s">
        <v>2085</v>
      </c>
    </row>
    <row r="898" spans="1:6">
      <c r="A898" s="132">
        <v>8915000</v>
      </c>
      <c r="B898" s="132">
        <v>8660000</v>
      </c>
      <c r="C898" s="132">
        <v>8955000</v>
      </c>
      <c r="D898" s="132">
        <v>8915000</v>
      </c>
      <c r="E898" s="133">
        <v>42199</v>
      </c>
      <c r="F898" s="134" t="s">
        <v>2086</v>
      </c>
    </row>
    <row r="899" spans="1:6">
      <c r="A899" s="132">
        <v>8755000</v>
      </c>
      <c r="B899" s="132">
        <v>8610000</v>
      </c>
      <c r="C899" s="132">
        <v>8770000</v>
      </c>
      <c r="D899" s="132">
        <v>8755000</v>
      </c>
      <c r="E899" s="133">
        <v>42198</v>
      </c>
      <c r="F899" s="134" t="s">
        <v>2087</v>
      </c>
    </row>
    <row r="900" spans="1:6">
      <c r="A900" s="132">
        <v>8655000</v>
      </c>
      <c r="B900" s="132">
        <v>8620000</v>
      </c>
      <c r="C900" s="132">
        <v>8800000</v>
      </c>
      <c r="D900" s="132">
        <v>8655000</v>
      </c>
      <c r="E900" s="133">
        <v>42197</v>
      </c>
      <c r="F900" s="134" t="s">
        <v>2088</v>
      </c>
    </row>
    <row r="901" spans="1:6">
      <c r="A901" s="132">
        <v>8855000</v>
      </c>
      <c r="B901" s="132">
        <v>8680000</v>
      </c>
      <c r="C901" s="132">
        <v>8875000</v>
      </c>
      <c r="D901" s="132">
        <v>8855000</v>
      </c>
      <c r="E901" s="133">
        <v>42196</v>
      </c>
      <c r="F901" s="134" t="s">
        <v>2089</v>
      </c>
    </row>
    <row r="902" spans="1:6">
      <c r="A902" s="132">
        <v>8640000</v>
      </c>
      <c r="B902" s="132">
        <v>8640000</v>
      </c>
      <c r="C902" s="132">
        <v>8735000</v>
      </c>
      <c r="D902" s="132">
        <v>8640000</v>
      </c>
      <c r="E902" s="133">
        <v>42194</v>
      </c>
      <c r="F902" s="134" t="s">
        <v>2090</v>
      </c>
    </row>
    <row r="903" spans="1:6">
      <c r="A903" s="132">
        <v>8755000</v>
      </c>
      <c r="B903" s="132">
        <v>8705000</v>
      </c>
      <c r="C903" s="132">
        <v>8755000</v>
      </c>
      <c r="D903" s="132">
        <v>8755000</v>
      </c>
      <c r="E903" s="133">
        <v>42193</v>
      </c>
      <c r="F903" s="134" t="s">
        <v>2091</v>
      </c>
    </row>
    <row r="904" spans="1:6">
      <c r="A904" s="132">
        <v>8735000</v>
      </c>
      <c r="B904" s="132">
        <v>8675000</v>
      </c>
      <c r="C904" s="132">
        <v>8800000</v>
      </c>
      <c r="D904" s="132">
        <v>8735000</v>
      </c>
      <c r="E904" s="133">
        <v>42192</v>
      </c>
      <c r="F904" s="134" t="s">
        <v>2092</v>
      </c>
    </row>
    <row r="905" spans="1:6">
      <c r="A905" s="132">
        <v>8750000</v>
      </c>
      <c r="B905" s="132">
        <v>8750000</v>
      </c>
      <c r="C905" s="132">
        <v>8885000</v>
      </c>
      <c r="D905" s="132">
        <v>8750000</v>
      </c>
      <c r="E905" s="133">
        <v>42191</v>
      </c>
      <c r="F905" s="134" t="s">
        <v>2093</v>
      </c>
    </row>
    <row r="906" spans="1:6">
      <c r="A906" s="132">
        <v>8870000</v>
      </c>
      <c r="B906" s="132">
        <v>8860000</v>
      </c>
      <c r="C906" s="132">
        <v>8930000</v>
      </c>
      <c r="D906" s="132">
        <v>8870000</v>
      </c>
      <c r="E906" s="133">
        <v>42190</v>
      </c>
      <c r="F906" s="134" t="s">
        <v>2094</v>
      </c>
    </row>
    <row r="907" spans="1:6">
      <c r="A907" s="132">
        <v>8935000</v>
      </c>
      <c r="B907" s="132">
        <v>8930000</v>
      </c>
      <c r="C907" s="132">
        <v>8980000</v>
      </c>
      <c r="D907" s="132">
        <v>8935000</v>
      </c>
      <c r="E907" s="133">
        <v>42189</v>
      </c>
      <c r="F907" s="134" t="s">
        <v>2095</v>
      </c>
    </row>
    <row r="908" spans="1:6">
      <c r="A908" s="132">
        <v>8970000</v>
      </c>
      <c r="B908" s="132">
        <v>8945000</v>
      </c>
      <c r="C908" s="132">
        <v>8985000</v>
      </c>
      <c r="D908" s="132">
        <v>8970000</v>
      </c>
      <c r="E908" s="133">
        <v>42187</v>
      </c>
      <c r="F908" s="134" t="s">
        <v>2096</v>
      </c>
    </row>
    <row r="909" spans="1:6">
      <c r="A909" s="132">
        <v>9021000</v>
      </c>
      <c r="B909" s="132">
        <v>9021000</v>
      </c>
      <c r="C909" s="132">
        <v>9085000</v>
      </c>
      <c r="D909" s="132">
        <v>9021000</v>
      </c>
      <c r="E909" s="133">
        <v>42186</v>
      </c>
      <c r="F909" s="134" t="s">
        <v>2097</v>
      </c>
    </row>
    <row r="910" spans="1:6">
      <c r="A910" s="132">
        <v>9050000</v>
      </c>
      <c r="B910" s="132">
        <v>9025000</v>
      </c>
      <c r="C910" s="132">
        <v>9055000</v>
      </c>
      <c r="D910" s="132">
        <v>9050000</v>
      </c>
      <c r="E910" s="133">
        <v>42185</v>
      </c>
      <c r="F910" s="134" t="s">
        <v>2098</v>
      </c>
    </row>
    <row r="911" spans="1:6">
      <c r="A911" s="132">
        <v>9080000</v>
      </c>
      <c r="B911" s="132">
        <v>9080000</v>
      </c>
      <c r="C911" s="132">
        <v>9185000</v>
      </c>
      <c r="D911" s="132">
        <v>9080000</v>
      </c>
      <c r="E911" s="133">
        <v>42184</v>
      </c>
      <c r="F911" s="134" t="s">
        <v>2099</v>
      </c>
    </row>
    <row r="912" spans="1:6">
      <c r="A912" s="132">
        <v>9120000</v>
      </c>
      <c r="B912" s="132">
        <v>9110000</v>
      </c>
      <c r="C912" s="132">
        <v>9170000</v>
      </c>
      <c r="D912" s="132">
        <v>9120000</v>
      </c>
      <c r="E912" s="133">
        <v>42183</v>
      </c>
      <c r="F912" s="134" t="s">
        <v>2100</v>
      </c>
    </row>
    <row r="913" spans="1:6">
      <c r="A913" s="132">
        <v>9090000</v>
      </c>
      <c r="B913" s="132">
        <v>9070000</v>
      </c>
      <c r="C913" s="132">
        <v>9115000</v>
      </c>
      <c r="D913" s="132">
        <v>9090000</v>
      </c>
      <c r="E913" s="133">
        <v>42182</v>
      </c>
      <c r="F913" s="134" t="s">
        <v>2101</v>
      </c>
    </row>
    <row r="914" spans="1:6">
      <c r="A914" s="132">
        <v>9090000</v>
      </c>
      <c r="B914" s="132">
        <v>9090000</v>
      </c>
      <c r="C914" s="132">
        <v>9125000</v>
      </c>
      <c r="D914" s="132">
        <v>9090000</v>
      </c>
      <c r="E914" s="133">
        <v>42180</v>
      </c>
      <c r="F914" s="134" t="s">
        <v>2102</v>
      </c>
    </row>
    <row r="915" spans="1:6">
      <c r="A915" s="132">
        <v>9085000</v>
      </c>
      <c r="B915" s="132">
        <v>9045000</v>
      </c>
      <c r="C915" s="132">
        <v>9096000</v>
      </c>
      <c r="D915" s="132">
        <v>9085000</v>
      </c>
      <c r="E915" s="133">
        <v>42179</v>
      </c>
      <c r="F915" s="134" t="s">
        <v>2103</v>
      </c>
    </row>
    <row r="916" spans="1:6">
      <c r="A916" s="132">
        <v>9035000</v>
      </c>
      <c r="B916" s="132">
        <v>9020000</v>
      </c>
      <c r="C916" s="132">
        <v>9055000</v>
      </c>
      <c r="D916" s="132">
        <v>9035000</v>
      </c>
      <c r="E916" s="133">
        <v>42178</v>
      </c>
      <c r="F916" s="134" t="s">
        <v>2104</v>
      </c>
    </row>
    <row r="917" spans="1:6">
      <c r="A917" s="132">
        <v>9070000</v>
      </c>
      <c r="B917" s="132">
        <v>9050000</v>
      </c>
      <c r="C917" s="132">
        <v>9095000</v>
      </c>
      <c r="D917" s="132">
        <v>9070000</v>
      </c>
      <c r="E917" s="133">
        <v>42177</v>
      </c>
      <c r="F917" s="134" t="s">
        <v>2105</v>
      </c>
    </row>
    <row r="918" spans="1:6">
      <c r="A918" s="132">
        <v>9105000</v>
      </c>
      <c r="B918" s="132">
        <v>9100000</v>
      </c>
      <c r="C918" s="132">
        <v>9180000</v>
      </c>
      <c r="D918" s="132">
        <v>9105000</v>
      </c>
      <c r="E918" s="133">
        <v>42176</v>
      </c>
      <c r="F918" s="134" t="s">
        <v>2106</v>
      </c>
    </row>
    <row r="919" spans="1:6">
      <c r="A919" s="132">
        <v>9160000</v>
      </c>
      <c r="B919" s="132">
        <v>9110000</v>
      </c>
      <c r="C919" s="132">
        <v>9160000</v>
      </c>
      <c r="D919" s="132">
        <v>9160000</v>
      </c>
      <c r="E919" s="133">
        <v>42175</v>
      </c>
      <c r="F919" s="134" t="s">
        <v>2107</v>
      </c>
    </row>
    <row r="920" spans="1:6">
      <c r="A920" s="132">
        <v>9090000</v>
      </c>
      <c r="B920" s="132">
        <v>9040000</v>
      </c>
      <c r="C920" s="132">
        <v>9095000</v>
      </c>
      <c r="D920" s="132">
        <v>9090000</v>
      </c>
      <c r="E920" s="133">
        <v>42173</v>
      </c>
      <c r="F920" s="134" t="s">
        <v>2108</v>
      </c>
    </row>
    <row r="921" spans="1:6">
      <c r="A921" s="132">
        <v>9030000</v>
      </c>
      <c r="B921" s="132">
        <v>9030000</v>
      </c>
      <c r="C921" s="132">
        <v>9095000</v>
      </c>
      <c r="D921" s="132">
        <v>9030000</v>
      </c>
      <c r="E921" s="133">
        <v>42172</v>
      </c>
      <c r="F921" s="134" t="s">
        <v>2109</v>
      </c>
    </row>
    <row r="922" spans="1:6">
      <c r="A922" s="132">
        <v>9070000</v>
      </c>
      <c r="B922" s="132">
        <v>9035000</v>
      </c>
      <c r="C922" s="132">
        <v>9095000</v>
      </c>
      <c r="D922" s="132">
        <v>9070000</v>
      </c>
      <c r="E922" s="133">
        <v>42171</v>
      </c>
      <c r="F922" s="134" t="s">
        <v>2110</v>
      </c>
    </row>
    <row r="923" spans="1:6">
      <c r="A923" s="132">
        <v>9050000</v>
      </c>
      <c r="B923" s="132">
        <v>9040000</v>
      </c>
      <c r="C923" s="132">
        <v>9095000</v>
      </c>
      <c r="D923" s="132">
        <v>9050000</v>
      </c>
      <c r="E923" s="133">
        <v>42170</v>
      </c>
      <c r="F923" s="134" t="s">
        <v>2111</v>
      </c>
    </row>
    <row r="924" spans="1:6">
      <c r="A924" s="132">
        <v>9070000</v>
      </c>
      <c r="B924" s="132">
        <v>9070000</v>
      </c>
      <c r="C924" s="132">
        <v>9110000</v>
      </c>
      <c r="D924" s="132">
        <v>9070000</v>
      </c>
      <c r="E924" s="133">
        <v>42169</v>
      </c>
      <c r="F924" s="134" t="s">
        <v>2112</v>
      </c>
    </row>
    <row r="925" spans="1:6">
      <c r="A925" s="132">
        <v>9100000</v>
      </c>
      <c r="B925" s="132">
        <v>9100000</v>
      </c>
      <c r="C925" s="132">
        <v>9180000</v>
      </c>
      <c r="D925" s="132">
        <v>9100000</v>
      </c>
      <c r="E925" s="133">
        <v>42168</v>
      </c>
      <c r="F925" s="134" t="s">
        <v>2113</v>
      </c>
    </row>
    <row r="926" spans="1:6">
      <c r="A926" s="132">
        <v>9185000</v>
      </c>
      <c r="B926" s="132">
        <v>9180000</v>
      </c>
      <c r="C926" s="132">
        <v>9210000</v>
      </c>
      <c r="D926" s="132">
        <v>9185000</v>
      </c>
      <c r="E926" s="133">
        <v>42166</v>
      </c>
      <c r="F926" s="134" t="s">
        <v>2114</v>
      </c>
    </row>
    <row r="927" spans="1:6">
      <c r="A927" s="132">
        <v>9230000</v>
      </c>
      <c r="B927" s="132">
        <v>9180000</v>
      </c>
      <c r="C927" s="132">
        <v>9235000</v>
      </c>
      <c r="D927" s="132">
        <v>9230000</v>
      </c>
      <c r="E927" s="133">
        <v>42165</v>
      </c>
      <c r="F927" s="134" t="s">
        <v>2115</v>
      </c>
    </row>
    <row r="928" spans="1:6">
      <c r="A928" s="132">
        <v>9185000</v>
      </c>
      <c r="B928" s="132">
        <v>9175000</v>
      </c>
      <c r="C928" s="132">
        <v>9190000</v>
      </c>
      <c r="D928" s="132">
        <v>9185000</v>
      </c>
      <c r="E928" s="133">
        <v>42164</v>
      </c>
      <c r="F928" s="134" t="s">
        <v>2116</v>
      </c>
    </row>
    <row r="929" spans="1:6">
      <c r="A929" s="132">
        <v>9160000</v>
      </c>
      <c r="B929" s="132">
        <v>9150000</v>
      </c>
      <c r="C929" s="132">
        <v>9170000</v>
      </c>
      <c r="D929" s="132">
        <v>9160000</v>
      </c>
      <c r="E929" s="133">
        <v>42163</v>
      </c>
      <c r="F929" s="134" t="s">
        <v>2117</v>
      </c>
    </row>
    <row r="930" spans="1:6">
      <c r="A930" s="132">
        <v>9160000</v>
      </c>
      <c r="B930" s="132">
        <v>9160000</v>
      </c>
      <c r="C930" s="132">
        <v>9190000</v>
      </c>
      <c r="D930" s="132">
        <v>9160000</v>
      </c>
      <c r="E930" s="133">
        <v>42162</v>
      </c>
      <c r="F930" s="134" t="s">
        <v>2118</v>
      </c>
    </row>
    <row r="931" spans="1:6">
      <c r="A931" s="132">
        <v>9185000</v>
      </c>
      <c r="B931" s="132">
        <v>9185000</v>
      </c>
      <c r="C931" s="132">
        <v>9235000</v>
      </c>
      <c r="D931" s="132">
        <v>9185000</v>
      </c>
      <c r="E931" s="133">
        <v>42161</v>
      </c>
      <c r="F931" s="134" t="s">
        <v>2119</v>
      </c>
    </row>
    <row r="932" spans="1:6">
      <c r="A932" s="132">
        <v>9310000</v>
      </c>
      <c r="B932" s="132">
        <v>9300000</v>
      </c>
      <c r="C932" s="132">
        <v>9315000</v>
      </c>
      <c r="D932" s="132">
        <v>9310000</v>
      </c>
      <c r="E932" s="133">
        <v>42157</v>
      </c>
      <c r="F932" s="134" t="s">
        <v>2120</v>
      </c>
    </row>
    <row r="933" spans="1:6">
      <c r="A933" s="132">
        <v>9315000</v>
      </c>
      <c r="B933" s="132">
        <v>9280000</v>
      </c>
      <c r="C933" s="132">
        <v>9315000</v>
      </c>
      <c r="D933" s="132">
        <v>9315000</v>
      </c>
      <c r="E933" s="133">
        <v>42156</v>
      </c>
      <c r="F933" s="134" t="s">
        <v>2121</v>
      </c>
    </row>
    <row r="934" spans="1:6">
      <c r="A934" s="132">
        <v>9325000</v>
      </c>
      <c r="B934" s="132">
        <v>9320000</v>
      </c>
      <c r="C934" s="132">
        <v>9335000</v>
      </c>
      <c r="D934" s="132">
        <v>9325000</v>
      </c>
      <c r="E934" s="133">
        <v>42155</v>
      </c>
      <c r="F934" s="134" t="s">
        <v>2122</v>
      </c>
    </row>
    <row r="935" spans="1:6">
      <c r="A935" s="132">
        <v>9315000</v>
      </c>
      <c r="B935" s="132">
        <v>9310000</v>
      </c>
      <c r="C935" s="132">
        <v>9330000</v>
      </c>
      <c r="D935" s="132">
        <v>9315000</v>
      </c>
      <c r="E935" s="133">
        <v>42154</v>
      </c>
      <c r="F935" s="134" t="s">
        <v>2123</v>
      </c>
    </row>
    <row r="936" spans="1:6">
      <c r="A936" s="132">
        <v>9320000</v>
      </c>
      <c r="B936" s="132">
        <v>9280000</v>
      </c>
      <c r="C936" s="132">
        <v>9325000</v>
      </c>
      <c r="D936" s="132">
        <v>9320000</v>
      </c>
      <c r="E936" s="133">
        <v>42152</v>
      </c>
      <c r="F936" s="134" t="s">
        <v>2124</v>
      </c>
    </row>
    <row r="937" spans="1:6">
      <c r="A937" s="132">
        <v>9280000</v>
      </c>
      <c r="B937" s="132">
        <v>9280000</v>
      </c>
      <c r="C937" s="132">
        <v>9310000</v>
      </c>
      <c r="D937" s="132">
        <v>9280000</v>
      </c>
      <c r="E937" s="133">
        <v>42151</v>
      </c>
      <c r="F937" s="134" t="s">
        <v>2125</v>
      </c>
    </row>
    <row r="938" spans="1:6">
      <c r="A938" s="132">
        <v>9305000</v>
      </c>
      <c r="B938" s="132">
        <v>9300000</v>
      </c>
      <c r="C938" s="132">
        <v>9325000</v>
      </c>
      <c r="D938" s="132">
        <v>9305000</v>
      </c>
      <c r="E938" s="133">
        <v>42150</v>
      </c>
      <c r="F938" s="134" t="s">
        <v>2126</v>
      </c>
    </row>
    <row r="939" spans="1:6">
      <c r="A939" s="132">
        <v>9330000</v>
      </c>
      <c r="B939" s="132">
        <v>9330000</v>
      </c>
      <c r="C939" s="132">
        <v>9385000</v>
      </c>
      <c r="D939" s="132">
        <v>9330000</v>
      </c>
      <c r="E939" s="133">
        <v>42149</v>
      </c>
      <c r="F939" s="134" t="s">
        <v>2127</v>
      </c>
    </row>
    <row r="940" spans="1:6">
      <c r="A940" s="132">
        <v>9375000</v>
      </c>
      <c r="B940" s="132">
        <v>9370000</v>
      </c>
      <c r="C940" s="132">
        <v>9385000</v>
      </c>
      <c r="D940" s="132">
        <v>9375000</v>
      </c>
      <c r="E940" s="133">
        <v>42145</v>
      </c>
      <c r="F940" s="134" t="s">
        <v>2128</v>
      </c>
    </row>
    <row r="941" spans="1:6">
      <c r="A941" s="132">
        <v>9345000</v>
      </c>
      <c r="B941" s="132">
        <v>9310000</v>
      </c>
      <c r="C941" s="132">
        <v>9350000</v>
      </c>
      <c r="D941" s="132">
        <v>9345000</v>
      </c>
      <c r="E941" s="133">
        <v>42148</v>
      </c>
      <c r="F941" s="134" t="s">
        <v>2129</v>
      </c>
    </row>
    <row r="942" spans="1:6">
      <c r="A942" s="132">
        <v>9410000</v>
      </c>
      <c r="B942" s="132">
        <v>9360000</v>
      </c>
      <c r="C942" s="132">
        <v>9410000</v>
      </c>
      <c r="D942" s="132">
        <v>9410000</v>
      </c>
      <c r="E942" s="133">
        <v>42144</v>
      </c>
      <c r="F942" s="134" t="s">
        <v>2130</v>
      </c>
    </row>
    <row r="943" spans="1:6">
      <c r="A943" s="132">
        <v>9330000</v>
      </c>
      <c r="B943" s="132">
        <v>9325000</v>
      </c>
      <c r="C943" s="132">
        <v>9365000</v>
      </c>
      <c r="D943" s="132">
        <v>9330000</v>
      </c>
      <c r="E943" s="133">
        <v>42147</v>
      </c>
      <c r="F943" s="134" t="s">
        <v>2131</v>
      </c>
    </row>
    <row r="944" spans="1:6">
      <c r="A944" s="132">
        <v>9410000</v>
      </c>
      <c r="B944" s="132">
        <v>9400000</v>
      </c>
      <c r="C944" s="132">
        <v>9430000</v>
      </c>
      <c r="D944" s="132">
        <v>9410000</v>
      </c>
      <c r="E944" s="133">
        <v>42143</v>
      </c>
      <c r="F944" s="134" t="s">
        <v>2132</v>
      </c>
    </row>
    <row r="945" spans="1:6">
      <c r="A945" s="132">
        <v>9480000</v>
      </c>
      <c r="B945" s="132">
        <v>9478000</v>
      </c>
      <c r="C945" s="132">
        <v>9535000</v>
      </c>
      <c r="D945" s="132">
        <v>9480000</v>
      </c>
      <c r="E945" s="133">
        <v>42142</v>
      </c>
      <c r="F945" s="134" t="s">
        <v>2133</v>
      </c>
    </row>
    <row r="946" spans="1:6">
      <c r="A946" s="132">
        <v>9500000</v>
      </c>
      <c r="B946" s="132">
        <v>9500000</v>
      </c>
      <c r="C946" s="132">
        <v>9515000</v>
      </c>
      <c r="D946" s="132">
        <v>9500000</v>
      </c>
      <c r="E946" s="133">
        <v>42141</v>
      </c>
      <c r="F946" s="134" t="s">
        <v>2134</v>
      </c>
    </row>
    <row r="947" spans="1:6">
      <c r="A947" s="132">
        <v>9490000</v>
      </c>
      <c r="B947" s="132">
        <v>9490000</v>
      </c>
      <c r="C947" s="132">
        <v>9505000</v>
      </c>
      <c r="D947" s="132">
        <v>9490000</v>
      </c>
      <c r="E947" s="133">
        <v>42140</v>
      </c>
      <c r="F947" s="134" t="s">
        <v>2135</v>
      </c>
    </row>
    <row r="948" spans="1:6">
      <c r="A948" s="132">
        <v>9490000</v>
      </c>
      <c r="B948" s="132">
        <v>9455000</v>
      </c>
      <c r="C948" s="132">
        <v>9515000</v>
      </c>
      <c r="D948" s="132">
        <v>9490000</v>
      </c>
      <c r="E948" s="133">
        <v>42138</v>
      </c>
      <c r="F948" s="134" t="s">
        <v>2136</v>
      </c>
    </row>
    <row r="949" spans="1:6">
      <c r="A949" s="132">
        <v>9440000</v>
      </c>
      <c r="B949" s="132">
        <v>9360000</v>
      </c>
      <c r="C949" s="132">
        <v>9450000</v>
      </c>
      <c r="D949" s="132">
        <v>9440000</v>
      </c>
      <c r="E949" s="133">
        <v>42137</v>
      </c>
      <c r="F949" s="134" t="s">
        <v>2137</v>
      </c>
    </row>
    <row r="950" spans="1:6">
      <c r="A950" s="132">
        <v>9340000</v>
      </c>
      <c r="B950" s="132">
        <v>9295000</v>
      </c>
      <c r="C950" s="132">
        <v>9345000</v>
      </c>
      <c r="D950" s="132">
        <v>9340000</v>
      </c>
      <c r="E950" s="133">
        <v>42136</v>
      </c>
      <c r="F950" s="134" t="s">
        <v>2138</v>
      </c>
    </row>
    <row r="951" spans="1:6">
      <c r="A951" s="132">
        <v>9345000</v>
      </c>
      <c r="B951" s="132">
        <v>9340000</v>
      </c>
      <c r="C951" s="132">
        <v>9365000</v>
      </c>
      <c r="D951" s="132">
        <v>9345000</v>
      </c>
      <c r="E951" s="133">
        <v>42135</v>
      </c>
      <c r="F951" s="134" t="s">
        <v>2139</v>
      </c>
    </row>
    <row r="952" spans="1:6">
      <c r="A952" s="132">
        <v>9375000</v>
      </c>
      <c r="B952" s="132">
        <v>9375000</v>
      </c>
      <c r="C952" s="132">
        <v>9420000</v>
      </c>
      <c r="D952" s="132">
        <v>9375000</v>
      </c>
      <c r="E952" s="133">
        <v>42134</v>
      </c>
      <c r="F952" s="134" t="s">
        <v>2140</v>
      </c>
    </row>
    <row r="953" spans="1:6">
      <c r="A953" s="132">
        <v>9400000</v>
      </c>
      <c r="B953" s="132">
        <v>9395000</v>
      </c>
      <c r="C953" s="132">
        <v>9430000</v>
      </c>
      <c r="D953" s="132">
        <v>9400000</v>
      </c>
      <c r="E953" s="133">
        <v>42133</v>
      </c>
      <c r="F953" s="134" t="s">
        <v>2141</v>
      </c>
    </row>
    <row r="954" spans="1:6">
      <c r="A954" s="132">
        <v>9420000</v>
      </c>
      <c r="B954" s="132">
        <v>9420000</v>
      </c>
      <c r="C954" s="132">
        <v>9420000</v>
      </c>
      <c r="D954" s="132">
        <v>9420000</v>
      </c>
      <c r="E954" s="133">
        <v>42131</v>
      </c>
      <c r="F954" s="134" t="s">
        <v>2142</v>
      </c>
    </row>
    <row r="955" spans="1:6">
      <c r="A955" s="132">
        <v>9460000</v>
      </c>
      <c r="B955" s="132">
        <v>9450000</v>
      </c>
      <c r="C955" s="132">
        <v>9465000</v>
      </c>
      <c r="D955" s="132">
        <v>9460000</v>
      </c>
      <c r="E955" s="133">
        <v>42130</v>
      </c>
      <c r="F955" s="134" t="s">
        <v>2143</v>
      </c>
    </row>
    <row r="956" spans="1:6">
      <c r="A956" s="132">
        <v>9445000</v>
      </c>
      <c r="B956" s="132">
        <v>9420000</v>
      </c>
      <c r="C956" s="132">
        <v>9450000</v>
      </c>
      <c r="D956" s="132">
        <v>9445000</v>
      </c>
      <c r="E956" s="133">
        <v>42129</v>
      </c>
      <c r="F956" s="134" t="s">
        <v>2144</v>
      </c>
    </row>
    <row r="957" spans="1:6">
      <c r="A957" s="132">
        <v>9465000</v>
      </c>
      <c r="B957" s="132">
        <v>9440000</v>
      </c>
      <c r="C957" s="132">
        <v>9510000</v>
      </c>
      <c r="D957" s="132">
        <v>9465000</v>
      </c>
      <c r="E957" s="133">
        <v>42128</v>
      </c>
      <c r="F957" s="134" t="s">
        <v>2145</v>
      </c>
    </row>
    <row r="958" spans="1:6">
      <c r="A958" s="132">
        <v>9480000</v>
      </c>
      <c r="B958" s="132">
        <v>9470000</v>
      </c>
      <c r="C958" s="132">
        <v>9490000</v>
      </c>
      <c r="D958" s="132">
        <v>9480000</v>
      </c>
      <c r="E958" s="133">
        <v>42127</v>
      </c>
      <c r="F958" s="134" t="s">
        <v>2146</v>
      </c>
    </row>
    <row r="959" spans="1:6">
      <c r="A959" s="132">
        <v>9530000</v>
      </c>
      <c r="B959" s="132">
        <v>9490000</v>
      </c>
      <c r="C959" s="132">
        <v>9545000</v>
      </c>
      <c r="D959" s="132">
        <v>9530000</v>
      </c>
      <c r="E959" s="133">
        <v>42126</v>
      </c>
      <c r="F959" s="134" t="s">
        <v>2147</v>
      </c>
    </row>
    <row r="960" spans="1:6">
      <c r="A960" s="132">
        <v>9580000</v>
      </c>
      <c r="B960" s="132">
        <v>9570000</v>
      </c>
      <c r="C960" s="132">
        <v>9585000</v>
      </c>
      <c r="D960" s="132">
        <v>9580000</v>
      </c>
      <c r="E960" s="133">
        <v>42124</v>
      </c>
      <c r="F960" s="134" t="s">
        <v>2148</v>
      </c>
    </row>
    <row r="961" spans="1:6">
      <c r="A961" s="132">
        <v>9570000</v>
      </c>
      <c r="B961" s="132">
        <v>9570000</v>
      </c>
      <c r="C961" s="132">
        <v>9600000</v>
      </c>
      <c r="D961" s="132">
        <v>9570000</v>
      </c>
      <c r="E961" s="133">
        <v>42123</v>
      </c>
      <c r="F961" s="134" t="s">
        <v>2149</v>
      </c>
    </row>
    <row r="962" spans="1:6">
      <c r="A962" s="132">
        <v>9575000</v>
      </c>
      <c r="B962" s="132">
        <v>9570000</v>
      </c>
      <c r="C962" s="132">
        <v>9610000</v>
      </c>
      <c r="D962" s="132">
        <v>9575000</v>
      </c>
      <c r="E962" s="133">
        <v>42122</v>
      </c>
      <c r="F962" s="134" t="s">
        <v>2150</v>
      </c>
    </row>
    <row r="963" spans="1:6">
      <c r="A963" s="132">
        <v>9530000</v>
      </c>
      <c r="B963" s="132">
        <v>9500000</v>
      </c>
      <c r="C963" s="132">
        <v>9530000</v>
      </c>
      <c r="D963" s="132">
        <v>9530000</v>
      </c>
      <c r="E963" s="133">
        <v>42121</v>
      </c>
      <c r="F963" s="134" t="s">
        <v>2151</v>
      </c>
    </row>
    <row r="964" spans="1:6">
      <c r="A964" s="132">
        <v>9520000</v>
      </c>
      <c r="B964" s="132">
        <v>9500000</v>
      </c>
      <c r="C964" s="132">
        <v>9535000</v>
      </c>
      <c r="D964" s="132">
        <v>9520000</v>
      </c>
      <c r="E964" s="133">
        <v>42120</v>
      </c>
      <c r="F964" s="134" t="s">
        <v>2152</v>
      </c>
    </row>
    <row r="965" spans="1:6">
      <c r="A965" s="132">
        <v>9480000</v>
      </c>
      <c r="B965" s="132">
        <v>9470000</v>
      </c>
      <c r="C965" s="132">
        <v>9510000</v>
      </c>
      <c r="D965" s="132">
        <v>9480000</v>
      </c>
      <c r="E965" s="133">
        <v>42119</v>
      </c>
      <c r="F965" s="134" t="s">
        <v>2153</v>
      </c>
    </row>
    <row r="966" spans="1:6">
      <c r="A966" s="132">
        <v>9560000</v>
      </c>
      <c r="B966" s="132">
        <v>9540000</v>
      </c>
      <c r="C966" s="132">
        <v>9575000</v>
      </c>
      <c r="D966" s="132">
        <v>9560000</v>
      </c>
      <c r="E966" s="133">
        <v>42117</v>
      </c>
      <c r="F966" s="134" t="s">
        <v>2154</v>
      </c>
    </row>
    <row r="967" spans="1:6">
      <c r="A967" s="132">
        <v>9630000</v>
      </c>
      <c r="B967" s="132">
        <v>9620000</v>
      </c>
      <c r="C967" s="132">
        <v>9640000</v>
      </c>
      <c r="D967" s="132">
        <v>9630000</v>
      </c>
      <c r="E967" s="133">
        <v>42116</v>
      </c>
      <c r="F967" s="134" t="s">
        <v>2155</v>
      </c>
    </row>
    <row r="968" spans="1:6">
      <c r="A968" s="132">
        <v>9630000</v>
      </c>
      <c r="B968" s="132">
        <v>9620000</v>
      </c>
      <c r="C968" s="132">
        <v>9645000</v>
      </c>
      <c r="D968" s="132">
        <v>9630000</v>
      </c>
      <c r="E968" s="133">
        <v>42115</v>
      </c>
      <c r="F968" s="134" t="s">
        <v>2156</v>
      </c>
    </row>
    <row r="969" spans="1:6">
      <c r="A969" s="132">
        <v>9630000</v>
      </c>
      <c r="B969" s="132">
        <v>9630000</v>
      </c>
      <c r="C969" s="132">
        <v>9695000</v>
      </c>
      <c r="D969" s="132">
        <v>9630000</v>
      </c>
      <c r="E969" s="133">
        <v>42114</v>
      </c>
      <c r="F969" s="134" t="s">
        <v>2157</v>
      </c>
    </row>
    <row r="970" spans="1:6">
      <c r="A970" s="132">
        <v>9705000</v>
      </c>
      <c r="B970" s="132">
        <v>9670000</v>
      </c>
      <c r="C970" s="132">
        <v>9715000</v>
      </c>
      <c r="D970" s="132">
        <v>9705000</v>
      </c>
      <c r="E970" s="133">
        <v>42113</v>
      </c>
      <c r="F970" s="134" t="s">
        <v>2158</v>
      </c>
    </row>
    <row r="971" spans="1:6">
      <c r="A971" s="132">
        <v>9640000</v>
      </c>
      <c r="B971" s="132">
        <v>9605000</v>
      </c>
      <c r="C971" s="132">
        <v>9650000</v>
      </c>
      <c r="D971" s="132">
        <v>9640000</v>
      </c>
      <c r="E971" s="133">
        <v>42112</v>
      </c>
      <c r="F971" s="134" t="s">
        <v>2159</v>
      </c>
    </row>
    <row r="972" spans="1:6">
      <c r="A972" s="132">
        <v>9690000</v>
      </c>
      <c r="B972" s="132">
        <v>9680000</v>
      </c>
      <c r="C972" s="132">
        <v>9720000</v>
      </c>
      <c r="D972" s="132">
        <v>9690000</v>
      </c>
      <c r="E972" s="133">
        <v>42110</v>
      </c>
      <c r="F972" s="134" t="s">
        <v>2160</v>
      </c>
    </row>
    <row r="973" spans="1:6">
      <c r="A973" s="132">
        <v>9665000</v>
      </c>
      <c r="B973" s="132">
        <v>9650000</v>
      </c>
      <c r="C973" s="132">
        <v>9690000</v>
      </c>
      <c r="D973" s="132">
        <v>9665000</v>
      </c>
      <c r="E973" s="133">
        <v>42109</v>
      </c>
      <c r="F973" s="134" t="s">
        <v>2161</v>
      </c>
    </row>
    <row r="974" spans="1:6">
      <c r="A974" s="132">
        <v>9630000</v>
      </c>
      <c r="B974" s="132">
        <v>9570000</v>
      </c>
      <c r="C974" s="132">
        <v>9630000</v>
      </c>
      <c r="D974" s="132">
        <v>9630000</v>
      </c>
      <c r="E974" s="133">
        <v>42108</v>
      </c>
      <c r="F974" s="134" t="s">
        <v>2162</v>
      </c>
    </row>
    <row r="975" spans="1:6">
      <c r="A975" s="132">
        <v>9715000</v>
      </c>
      <c r="B975" s="132">
        <v>9640000</v>
      </c>
      <c r="C975" s="132">
        <v>9750000</v>
      </c>
      <c r="D975" s="132">
        <v>9715000</v>
      </c>
      <c r="E975" s="133">
        <v>42107</v>
      </c>
      <c r="F975" s="134" t="s">
        <v>2163</v>
      </c>
    </row>
    <row r="976" spans="1:6">
      <c r="A976" s="132">
        <v>9770000</v>
      </c>
      <c r="B976" s="132">
        <v>9770000</v>
      </c>
      <c r="C976" s="132">
        <v>9860000</v>
      </c>
      <c r="D976" s="132">
        <v>9770000</v>
      </c>
      <c r="E976" s="133">
        <v>42106</v>
      </c>
      <c r="F976" s="134" t="s">
        <v>2164</v>
      </c>
    </row>
    <row r="977" spans="1:6">
      <c r="A977" s="132">
        <v>9720000</v>
      </c>
      <c r="B977" s="132">
        <v>9590000</v>
      </c>
      <c r="C977" s="132">
        <v>9730000</v>
      </c>
      <c r="D977" s="132">
        <v>9720000</v>
      </c>
      <c r="E977" s="133">
        <v>42105</v>
      </c>
      <c r="F977" s="134" t="s">
        <v>2165</v>
      </c>
    </row>
    <row r="978" spans="1:6">
      <c r="A978" s="132">
        <v>9510000</v>
      </c>
      <c r="B978" s="132">
        <v>9460000</v>
      </c>
      <c r="C978" s="132">
        <v>9510000</v>
      </c>
      <c r="D978" s="132">
        <v>9510000</v>
      </c>
      <c r="E978" s="133">
        <v>42103</v>
      </c>
      <c r="F978" s="134" t="s">
        <v>2166</v>
      </c>
    </row>
    <row r="979" spans="1:6">
      <c r="A979" s="132">
        <v>9550000</v>
      </c>
      <c r="B979" s="132">
        <v>9540000</v>
      </c>
      <c r="C979" s="132">
        <v>9610000</v>
      </c>
      <c r="D979" s="132">
        <v>9550000</v>
      </c>
      <c r="E979" s="133">
        <v>42102</v>
      </c>
      <c r="F979" s="134" t="s">
        <v>2167</v>
      </c>
    </row>
    <row r="980" spans="1:6">
      <c r="A980" s="132">
        <v>9620000</v>
      </c>
      <c r="B980" s="132">
        <v>9530000</v>
      </c>
      <c r="C980" s="132">
        <v>9620000</v>
      </c>
      <c r="D980" s="132">
        <v>9620000</v>
      </c>
      <c r="E980" s="133">
        <v>42101</v>
      </c>
      <c r="F980" s="134" t="s">
        <v>2168</v>
      </c>
    </row>
    <row r="981" spans="1:6">
      <c r="A981" s="132">
        <v>9600000</v>
      </c>
      <c r="B981" s="132">
        <v>9560000</v>
      </c>
      <c r="C981" s="132">
        <v>9650000</v>
      </c>
      <c r="D981" s="132">
        <v>9600000</v>
      </c>
      <c r="E981" s="133">
        <v>42100</v>
      </c>
      <c r="F981" s="134" t="s">
        <v>2169</v>
      </c>
    </row>
    <row r="982" spans="1:6">
      <c r="A982" s="132">
        <v>9585000</v>
      </c>
      <c r="B982" s="132">
        <v>9500000</v>
      </c>
      <c r="C982" s="132">
        <v>9660000</v>
      </c>
      <c r="D982" s="132">
        <v>9585000</v>
      </c>
      <c r="E982" s="133">
        <v>42099</v>
      </c>
      <c r="F982" s="134" t="s">
        <v>2170</v>
      </c>
    </row>
    <row r="983" spans="1:6">
      <c r="A983" s="132">
        <v>9410000</v>
      </c>
      <c r="B983" s="132">
        <v>9180000</v>
      </c>
      <c r="C983" s="132">
        <v>9450000</v>
      </c>
      <c r="D983" s="132">
        <v>9410000</v>
      </c>
      <c r="E983" s="133">
        <v>42098</v>
      </c>
      <c r="F983" s="134" t="s">
        <v>2171</v>
      </c>
    </row>
    <row r="984" spans="1:6">
      <c r="A984" s="132">
        <v>9360000</v>
      </c>
      <c r="B984" s="132">
        <v>9300000</v>
      </c>
      <c r="C984" s="132">
        <v>9380000</v>
      </c>
      <c r="D984" s="132">
        <v>9360000</v>
      </c>
      <c r="E984" s="133">
        <v>42094</v>
      </c>
      <c r="F984" s="134" t="s">
        <v>2172</v>
      </c>
    </row>
    <row r="985" spans="1:6">
      <c r="A985" s="132">
        <v>9380000</v>
      </c>
      <c r="B985" s="132">
        <v>9300000</v>
      </c>
      <c r="C985" s="132">
        <v>9380000</v>
      </c>
      <c r="D985" s="132">
        <v>9380000</v>
      </c>
      <c r="E985" s="133">
        <v>42093</v>
      </c>
      <c r="F985" s="134" t="s">
        <v>2173</v>
      </c>
    </row>
    <row r="986" spans="1:6">
      <c r="A986" s="132">
        <v>9340000</v>
      </c>
      <c r="B986" s="132">
        <v>9200000</v>
      </c>
      <c r="C986" s="132">
        <v>9360000</v>
      </c>
      <c r="D986" s="132">
        <v>9340000</v>
      </c>
      <c r="E986" s="133">
        <v>42092</v>
      </c>
      <c r="F986" s="134" t="s">
        <v>2174</v>
      </c>
    </row>
    <row r="987" spans="1:6">
      <c r="A987" s="132">
        <v>9500000</v>
      </c>
      <c r="B987" s="132">
        <v>9475000</v>
      </c>
      <c r="C987" s="132">
        <v>9550000</v>
      </c>
      <c r="D987" s="132">
        <v>9500000</v>
      </c>
      <c r="E987" s="133">
        <v>42091</v>
      </c>
      <c r="F987" s="134" t="s">
        <v>2175</v>
      </c>
    </row>
    <row r="988" spans="1:6">
      <c r="A988" s="132">
        <v>9400000</v>
      </c>
      <c r="B988" s="132">
        <v>9400000</v>
      </c>
      <c r="C988" s="132">
        <v>9450000</v>
      </c>
      <c r="D988" s="132">
        <v>9400000</v>
      </c>
      <c r="E988" s="133">
        <v>42082</v>
      </c>
      <c r="F988" s="134" t="s">
        <v>2176</v>
      </c>
    </row>
    <row r="989" spans="1:6">
      <c r="A989" s="132">
        <v>9330000</v>
      </c>
      <c r="B989" s="132">
        <v>9300000</v>
      </c>
      <c r="C989" s="132">
        <v>9420000</v>
      </c>
      <c r="D989" s="132">
        <v>9330000</v>
      </c>
      <c r="E989" s="133">
        <v>42081</v>
      </c>
      <c r="F989" s="134" t="s">
        <v>2177</v>
      </c>
    </row>
    <row r="990" spans="1:6">
      <c r="A990" s="132">
        <v>9350000</v>
      </c>
      <c r="B990" s="132">
        <v>9235000</v>
      </c>
      <c r="C990" s="132">
        <v>9350000</v>
      </c>
      <c r="D990" s="132">
        <v>9350000</v>
      </c>
      <c r="E990" s="133">
        <v>42080</v>
      </c>
      <c r="F990" s="134" t="s">
        <v>2178</v>
      </c>
    </row>
    <row r="991" spans="1:6">
      <c r="A991" s="132">
        <v>9220000</v>
      </c>
      <c r="B991" s="132">
        <v>9170000</v>
      </c>
      <c r="C991" s="132">
        <v>9360000</v>
      </c>
      <c r="D991" s="132">
        <v>9220000</v>
      </c>
      <c r="E991" s="133">
        <v>42079</v>
      </c>
      <c r="F991" s="134" t="s">
        <v>2179</v>
      </c>
    </row>
    <row r="992" spans="1:6">
      <c r="A992" s="132">
        <v>9120000</v>
      </c>
      <c r="B992" s="132">
        <v>9000000</v>
      </c>
      <c r="C992" s="132">
        <v>9220000</v>
      </c>
      <c r="D992" s="132">
        <v>9120000</v>
      </c>
      <c r="E992" s="133">
        <v>42078</v>
      </c>
      <c r="F992" s="134" t="s">
        <v>2180</v>
      </c>
    </row>
    <row r="993" spans="1:6">
      <c r="A993" s="132">
        <v>9120000</v>
      </c>
      <c r="B993" s="132">
        <v>9120000</v>
      </c>
      <c r="C993" s="132">
        <v>9290000</v>
      </c>
      <c r="D993" s="132">
        <v>9120000</v>
      </c>
      <c r="E993" s="133">
        <v>42077</v>
      </c>
      <c r="F993" s="134" t="s">
        <v>2181</v>
      </c>
    </row>
    <row r="994" spans="1:6">
      <c r="A994" s="132">
        <v>9420000</v>
      </c>
      <c r="B994" s="132">
        <v>9350000</v>
      </c>
      <c r="C994" s="132">
        <v>9470000</v>
      </c>
      <c r="D994" s="132">
        <v>9420000</v>
      </c>
      <c r="E994" s="133">
        <v>42075</v>
      </c>
      <c r="F994" s="134" t="s">
        <v>2182</v>
      </c>
    </row>
    <row r="995" spans="1:6">
      <c r="A995" s="132">
        <v>9415000</v>
      </c>
      <c r="B995" s="132">
        <v>9415000</v>
      </c>
      <c r="C995" s="132">
        <v>9555000</v>
      </c>
      <c r="D995" s="132">
        <v>9415000</v>
      </c>
      <c r="E995" s="133">
        <v>42074</v>
      </c>
      <c r="F995" s="134" t="s">
        <v>2183</v>
      </c>
    </row>
    <row r="996" spans="1:6">
      <c r="A996" s="132">
        <v>9550000</v>
      </c>
      <c r="B996" s="132">
        <v>9515000</v>
      </c>
      <c r="C996" s="132">
        <v>9565000</v>
      </c>
      <c r="D996" s="132">
        <v>9550000</v>
      </c>
      <c r="E996" s="133">
        <v>42073</v>
      </c>
      <c r="F996" s="134" t="s">
        <v>2184</v>
      </c>
    </row>
    <row r="997" spans="1:6">
      <c r="A997" s="132">
        <v>9595000</v>
      </c>
      <c r="B997" s="132">
        <v>9590000</v>
      </c>
      <c r="C997" s="132">
        <v>9665000</v>
      </c>
      <c r="D997" s="132">
        <v>9595000</v>
      </c>
      <c r="E997" s="133">
        <v>42072</v>
      </c>
      <c r="F997" s="134" t="s">
        <v>2185</v>
      </c>
    </row>
    <row r="998" spans="1:6">
      <c r="A998" s="132">
        <v>9630000</v>
      </c>
      <c r="B998" s="132">
        <v>9570000</v>
      </c>
      <c r="C998" s="132">
        <v>9630000</v>
      </c>
      <c r="D998" s="132">
        <v>9630000</v>
      </c>
      <c r="E998" s="133">
        <v>42071</v>
      </c>
      <c r="F998" s="134" t="s">
        <v>2186</v>
      </c>
    </row>
    <row r="999" spans="1:6">
      <c r="A999" s="132">
        <v>9595000</v>
      </c>
      <c r="B999" s="132">
        <v>9550000</v>
      </c>
      <c r="C999" s="132">
        <v>9635000</v>
      </c>
      <c r="D999" s="132">
        <v>9595000</v>
      </c>
      <c r="E999" s="133">
        <v>42070</v>
      </c>
      <c r="F999" s="134" t="s">
        <v>2187</v>
      </c>
    </row>
    <row r="1000" spans="1:6">
      <c r="A1000" s="132">
        <v>9795000</v>
      </c>
      <c r="B1000" s="132">
        <v>9790000</v>
      </c>
      <c r="C1000" s="132">
        <v>9805000</v>
      </c>
      <c r="D1000" s="132">
        <v>9795000</v>
      </c>
      <c r="E1000" s="133">
        <v>42068</v>
      </c>
      <c r="F1000" s="134" t="s">
        <v>2188</v>
      </c>
    </row>
    <row r="1001" spans="1:6">
      <c r="A1001" s="132">
        <v>9820000</v>
      </c>
      <c r="B1001" s="132">
        <v>9795000</v>
      </c>
      <c r="C1001" s="132">
        <v>9825000</v>
      </c>
      <c r="D1001" s="132">
        <v>9820000</v>
      </c>
      <c r="E1001" s="133">
        <v>42067</v>
      </c>
      <c r="F1001" s="134" t="s">
        <v>2189</v>
      </c>
    </row>
    <row r="1002" spans="1:6">
      <c r="A1002" s="132">
        <v>9820000</v>
      </c>
      <c r="B1002" s="132">
        <v>9800000</v>
      </c>
      <c r="C1002" s="132">
        <v>9870000</v>
      </c>
      <c r="D1002" s="132">
        <v>9820000</v>
      </c>
      <c r="E1002" s="133">
        <v>42066</v>
      </c>
      <c r="F1002" s="134" t="s">
        <v>2190</v>
      </c>
    </row>
    <row r="1003" spans="1:6">
      <c r="A1003" s="132">
        <v>9900000</v>
      </c>
      <c r="B1003" s="132">
        <v>9885000</v>
      </c>
      <c r="C1003" s="132">
        <v>9915000</v>
      </c>
      <c r="D1003" s="132">
        <v>9900000</v>
      </c>
      <c r="E1003" s="133">
        <v>42065</v>
      </c>
      <c r="F1003" s="134" t="s">
        <v>2191</v>
      </c>
    </row>
    <row r="1004" spans="1:6">
      <c r="A1004" s="132">
        <v>9880000</v>
      </c>
      <c r="B1004" s="132">
        <v>9870000</v>
      </c>
      <c r="C1004" s="132">
        <v>9920000</v>
      </c>
      <c r="D1004" s="132">
        <v>9880000</v>
      </c>
      <c r="E1004" s="133">
        <v>42064</v>
      </c>
      <c r="F1004" s="134" t="s">
        <v>2192</v>
      </c>
    </row>
    <row r="1005" spans="1:6">
      <c r="A1005" s="132">
        <v>9905000</v>
      </c>
      <c r="B1005" s="132">
        <v>9840000</v>
      </c>
      <c r="C1005" s="132">
        <v>9905000</v>
      </c>
      <c r="D1005" s="132">
        <v>9905000</v>
      </c>
      <c r="E1005" s="133">
        <v>42063</v>
      </c>
      <c r="F1005" s="134" t="s">
        <v>2193</v>
      </c>
    </row>
    <row r="1006" spans="1:6">
      <c r="A1006" s="132">
        <v>9940000</v>
      </c>
      <c r="B1006" s="132">
        <v>9940000</v>
      </c>
      <c r="C1006" s="132">
        <v>9995000</v>
      </c>
      <c r="D1006" s="132">
        <v>9940000</v>
      </c>
      <c r="E1006" s="133">
        <v>42061</v>
      </c>
      <c r="F1006" s="134" t="s">
        <v>2194</v>
      </c>
    </row>
    <row r="1007" spans="1:6">
      <c r="A1007" s="132">
        <v>9955000</v>
      </c>
      <c r="B1007" s="132">
        <v>9935000</v>
      </c>
      <c r="C1007" s="132">
        <v>9970000</v>
      </c>
      <c r="D1007" s="132">
        <v>9955000</v>
      </c>
      <c r="E1007" s="133">
        <v>42060</v>
      </c>
      <c r="F1007" s="134" t="s">
        <v>2195</v>
      </c>
    </row>
    <row r="1008" spans="1:6">
      <c r="A1008" s="132">
        <v>9875000</v>
      </c>
      <c r="B1008" s="132">
        <v>9830000</v>
      </c>
      <c r="C1008" s="132">
        <v>9895000</v>
      </c>
      <c r="D1008" s="132">
        <v>9875000</v>
      </c>
      <c r="E1008" s="133">
        <v>42059</v>
      </c>
      <c r="F1008" s="134" t="s">
        <v>2196</v>
      </c>
    </row>
    <row r="1009" spans="1:6">
      <c r="A1009" s="132">
        <v>9815000</v>
      </c>
      <c r="B1009" s="132">
        <v>9770000</v>
      </c>
      <c r="C1009" s="132">
        <v>9820000</v>
      </c>
      <c r="D1009" s="132">
        <v>9815000</v>
      </c>
      <c r="E1009" s="133">
        <v>42058</v>
      </c>
      <c r="F1009" s="134" t="s">
        <v>2197</v>
      </c>
    </row>
    <row r="1010" spans="1:6">
      <c r="A1010" s="132">
        <v>9795000</v>
      </c>
      <c r="B1010" s="132">
        <v>9750000</v>
      </c>
      <c r="C1010" s="132">
        <v>9805000</v>
      </c>
      <c r="D1010" s="132">
        <v>9795000</v>
      </c>
      <c r="E1010" s="133">
        <v>42057</v>
      </c>
      <c r="F1010" s="134" t="s">
        <v>2198</v>
      </c>
    </row>
    <row r="1011" spans="1:6">
      <c r="A1011" s="132">
        <v>9725000</v>
      </c>
      <c r="B1011" s="132">
        <v>9710000</v>
      </c>
      <c r="C1011" s="132">
        <v>9775000</v>
      </c>
      <c r="D1011" s="132">
        <v>9725000</v>
      </c>
      <c r="E1011" s="133">
        <v>42056</v>
      </c>
      <c r="F1011" s="134" t="s">
        <v>2199</v>
      </c>
    </row>
    <row r="1012" spans="1:6">
      <c r="A1012" s="132">
        <v>9920000</v>
      </c>
      <c r="B1012" s="132">
        <v>9855000</v>
      </c>
      <c r="C1012" s="132">
        <v>9935000</v>
      </c>
      <c r="D1012" s="132">
        <v>9920000</v>
      </c>
      <c r="E1012" s="133">
        <v>42054</v>
      </c>
      <c r="F1012" s="134" t="s">
        <v>2200</v>
      </c>
    </row>
    <row r="1013" spans="1:6">
      <c r="A1013" s="132">
        <v>9830000</v>
      </c>
      <c r="B1013" s="132">
        <v>9745000</v>
      </c>
      <c r="C1013" s="132">
        <v>9830000</v>
      </c>
      <c r="D1013" s="132">
        <v>9830000</v>
      </c>
      <c r="E1013" s="133">
        <v>42053</v>
      </c>
      <c r="F1013" s="134" t="s">
        <v>2201</v>
      </c>
    </row>
    <row r="1014" spans="1:6">
      <c r="A1014" s="132">
        <v>9750000</v>
      </c>
      <c r="B1014" s="132">
        <v>9750000</v>
      </c>
      <c r="C1014" s="132">
        <v>9790000</v>
      </c>
      <c r="D1014" s="132">
        <v>9750000</v>
      </c>
      <c r="E1014" s="133">
        <v>42052</v>
      </c>
      <c r="F1014" s="134" t="s">
        <v>2202</v>
      </c>
    </row>
    <row r="1015" spans="1:6">
      <c r="A1015" s="132">
        <v>9890000</v>
      </c>
      <c r="B1015" s="132">
        <v>9890000</v>
      </c>
      <c r="C1015" s="132">
        <v>9950000</v>
      </c>
      <c r="D1015" s="132">
        <v>9890000</v>
      </c>
      <c r="E1015" s="133">
        <v>42051</v>
      </c>
      <c r="F1015" s="134" t="s">
        <v>2203</v>
      </c>
    </row>
    <row r="1016" spans="1:6">
      <c r="A1016" s="132">
        <v>9950000</v>
      </c>
      <c r="B1016" s="132">
        <v>9910000</v>
      </c>
      <c r="C1016" s="132">
        <v>9960000</v>
      </c>
      <c r="D1016" s="132">
        <v>9950000</v>
      </c>
      <c r="E1016" s="133">
        <v>42050</v>
      </c>
      <c r="F1016" s="134" t="s">
        <v>2204</v>
      </c>
    </row>
    <row r="1017" spans="1:6">
      <c r="A1017" s="132">
        <v>9970000</v>
      </c>
      <c r="B1017" s="132">
        <v>9970000</v>
      </c>
      <c r="C1017" s="132">
        <v>10040000</v>
      </c>
      <c r="D1017" s="132">
        <v>9970000</v>
      </c>
      <c r="E1017" s="133">
        <v>42049</v>
      </c>
      <c r="F1017" s="134" t="s">
        <v>2205</v>
      </c>
    </row>
    <row r="1018" spans="1:6">
      <c r="A1018" s="132">
        <v>9910000</v>
      </c>
      <c r="B1018" s="132">
        <v>9890000</v>
      </c>
      <c r="C1018" s="132">
        <v>9915000</v>
      </c>
      <c r="D1018" s="132">
        <v>9910000</v>
      </c>
      <c r="E1018" s="133">
        <v>42047</v>
      </c>
      <c r="F1018" s="134" t="s">
        <v>2206</v>
      </c>
    </row>
    <row r="1019" spans="1:6">
      <c r="A1019" s="132">
        <v>9940000</v>
      </c>
      <c r="B1019" s="132">
        <v>9910000</v>
      </c>
      <c r="C1019" s="132">
        <v>9970000</v>
      </c>
      <c r="D1019" s="132">
        <v>9940000</v>
      </c>
      <c r="E1019" s="133">
        <v>42045</v>
      </c>
      <c r="F1019" s="134" t="s">
        <v>2207</v>
      </c>
    </row>
    <row r="1020" spans="1:6">
      <c r="A1020" s="132">
        <v>9910000</v>
      </c>
      <c r="B1020" s="132">
        <v>9860000</v>
      </c>
      <c r="C1020" s="132">
        <v>9980000</v>
      </c>
      <c r="D1020" s="132">
        <v>9910000</v>
      </c>
      <c r="E1020" s="133">
        <v>42044</v>
      </c>
      <c r="F1020" s="134" t="s">
        <v>2208</v>
      </c>
    </row>
    <row r="1021" spans="1:6">
      <c r="A1021" s="132">
        <v>9840000</v>
      </c>
      <c r="B1021" s="132">
        <v>9720000</v>
      </c>
      <c r="C1021" s="132">
        <v>9840000</v>
      </c>
      <c r="D1021" s="132">
        <v>9840000</v>
      </c>
      <c r="E1021" s="133">
        <v>42043</v>
      </c>
      <c r="F1021" s="134" t="s">
        <v>2209</v>
      </c>
    </row>
    <row r="1022" spans="1:6">
      <c r="A1022" s="132">
        <v>9830000</v>
      </c>
      <c r="B1022" s="132">
        <v>9830000</v>
      </c>
      <c r="C1022" s="132">
        <v>9900000</v>
      </c>
      <c r="D1022" s="132">
        <v>9830000</v>
      </c>
      <c r="E1022" s="133">
        <v>42042</v>
      </c>
      <c r="F1022" s="134" t="s">
        <v>2210</v>
      </c>
    </row>
    <row r="1023" spans="1:6">
      <c r="A1023" s="132">
        <v>10090000</v>
      </c>
      <c r="B1023" s="132">
        <v>10090000</v>
      </c>
      <c r="C1023" s="132">
        <v>10150000</v>
      </c>
      <c r="D1023" s="132">
        <v>10090000</v>
      </c>
      <c r="E1023" s="133">
        <v>42040</v>
      </c>
      <c r="F1023" s="134" t="s">
        <v>2211</v>
      </c>
    </row>
    <row r="1024" spans="1:6">
      <c r="A1024" s="132">
        <v>10140000</v>
      </c>
      <c r="B1024" s="132">
        <v>10140000</v>
      </c>
      <c r="C1024" s="132">
        <v>10230000</v>
      </c>
      <c r="D1024" s="132">
        <v>10140000</v>
      </c>
      <c r="E1024" s="133">
        <v>42039</v>
      </c>
      <c r="F1024" s="134" t="s">
        <v>2212</v>
      </c>
    </row>
    <row r="1025" spans="1:6">
      <c r="A1025" s="132">
        <v>10260000</v>
      </c>
      <c r="B1025" s="132">
        <v>10250000</v>
      </c>
      <c r="C1025" s="132">
        <v>10320000</v>
      </c>
      <c r="D1025" s="132">
        <v>10260000</v>
      </c>
      <c r="E1025" s="133">
        <v>42038</v>
      </c>
      <c r="F1025" s="134" t="s">
        <v>2213</v>
      </c>
    </row>
    <row r="1026" spans="1:6">
      <c r="A1026" s="132">
        <v>10240000</v>
      </c>
      <c r="B1026" s="132">
        <v>10240000</v>
      </c>
      <c r="C1026" s="132">
        <v>10315000</v>
      </c>
      <c r="D1026" s="132">
        <v>10240000</v>
      </c>
      <c r="E1026" s="133">
        <v>42037</v>
      </c>
      <c r="F1026" s="134" t="s">
        <v>2214</v>
      </c>
    </row>
    <row r="1027" spans="1:6">
      <c r="A1027" s="132">
        <v>10320000</v>
      </c>
      <c r="B1027" s="132">
        <v>10320000</v>
      </c>
      <c r="C1027" s="132">
        <v>10340000</v>
      </c>
      <c r="D1027" s="132">
        <v>10320000</v>
      </c>
      <c r="E1027" s="133">
        <v>42036</v>
      </c>
      <c r="F1027" s="134" t="s">
        <v>2215</v>
      </c>
    </row>
    <row r="1028" spans="1:6">
      <c r="A1028" s="132">
        <v>10330000</v>
      </c>
      <c r="B1028" s="132">
        <v>10280000</v>
      </c>
      <c r="C1028" s="132">
        <v>10335000</v>
      </c>
      <c r="D1028" s="132">
        <v>10330000</v>
      </c>
      <c r="E1028" s="133">
        <v>42035</v>
      </c>
      <c r="F1028" s="134" t="s">
        <v>2216</v>
      </c>
    </row>
    <row r="1029" spans="1:6">
      <c r="A1029" s="132">
        <v>10340000</v>
      </c>
      <c r="B1029" s="132">
        <v>10340000</v>
      </c>
      <c r="C1029" s="132">
        <v>10380000</v>
      </c>
      <c r="D1029" s="132">
        <v>10340000</v>
      </c>
      <c r="E1029" s="133">
        <v>42033</v>
      </c>
      <c r="F1029" s="134" t="s">
        <v>2217</v>
      </c>
    </row>
    <row r="1030" spans="1:6">
      <c r="A1030" s="132">
        <v>10390000</v>
      </c>
      <c r="B1030" s="132">
        <v>10340000</v>
      </c>
      <c r="C1030" s="132">
        <v>10390000</v>
      </c>
      <c r="D1030" s="132">
        <v>10390000</v>
      </c>
      <c r="E1030" s="133">
        <v>42032</v>
      </c>
      <c r="F1030" s="134" t="s">
        <v>2218</v>
      </c>
    </row>
    <row r="1031" spans="1:6">
      <c r="A1031" s="132">
        <v>10355000</v>
      </c>
      <c r="B1031" s="132">
        <v>10340000</v>
      </c>
      <c r="C1031" s="132">
        <v>10380000</v>
      </c>
      <c r="D1031" s="132">
        <v>10355000</v>
      </c>
      <c r="E1031" s="133">
        <v>42031</v>
      </c>
      <c r="F1031" s="134" t="s">
        <v>2219</v>
      </c>
    </row>
    <row r="1032" spans="1:6">
      <c r="A1032" s="132">
        <v>10390000</v>
      </c>
      <c r="B1032" s="132">
        <v>10380000</v>
      </c>
      <c r="C1032" s="132">
        <v>10420000</v>
      </c>
      <c r="D1032" s="132">
        <v>10390000</v>
      </c>
      <c r="E1032" s="133">
        <v>42030</v>
      </c>
      <c r="F1032" s="134" t="s">
        <v>2220</v>
      </c>
    </row>
    <row r="1033" spans="1:6">
      <c r="A1033" s="132">
        <v>10420000</v>
      </c>
      <c r="B1033" s="132">
        <v>10380000</v>
      </c>
      <c r="C1033" s="132">
        <v>10420000</v>
      </c>
      <c r="D1033" s="132">
        <v>10420000</v>
      </c>
      <c r="E1033" s="133">
        <v>42029</v>
      </c>
      <c r="F1033" s="134" t="s">
        <v>2221</v>
      </c>
    </row>
    <row r="1034" spans="1:6">
      <c r="A1034" s="132">
        <v>10390000</v>
      </c>
      <c r="B1034" s="132">
        <v>10385000</v>
      </c>
      <c r="C1034" s="132">
        <v>10425000</v>
      </c>
      <c r="D1034" s="132">
        <v>10390000</v>
      </c>
      <c r="E1034" s="133">
        <v>42028</v>
      </c>
      <c r="F1034" s="134" t="s">
        <v>2222</v>
      </c>
    </row>
    <row r="1035" spans="1:6">
      <c r="A1035" s="132">
        <v>10380000</v>
      </c>
      <c r="B1035" s="132">
        <v>10380000</v>
      </c>
      <c r="C1035" s="132">
        <v>10400000</v>
      </c>
      <c r="D1035" s="132">
        <v>10380000</v>
      </c>
      <c r="E1035" s="133">
        <v>42026</v>
      </c>
      <c r="F1035" s="134" t="s">
        <v>2223</v>
      </c>
    </row>
    <row r="1036" spans="1:6">
      <c r="A1036" s="132">
        <v>10445000</v>
      </c>
      <c r="B1036" s="132">
        <v>10385000</v>
      </c>
      <c r="C1036" s="132">
        <v>10445000</v>
      </c>
      <c r="D1036" s="132">
        <v>10445000</v>
      </c>
      <c r="E1036" s="133">
        <v>42025</v>
      </c>
      <c r="F1036" s="134" t="s">
        <v>2224</v>
      </c>
    </row>
    <row r="1037" spans="1:6">
      <c r="A1037" s="132">
        <v>10380000</v>
      </c>
      <c r="B1037" s="132">
        <v>10305000</v>
      </c>
      <c r="C1037" s="132">
        <v>10385000</v>
      </c>
      <c r="D1037" s="132">
        <v>10380000</v>
      </c>
      <c r="E1037" s="133">
        <v>42024</v>
      </c>
      <c r="F1037" s="134" t="s">
        <v>2225</v>
      </c>
    </row>
    <row r="1038" spans="1:6">
      <c r="A1038" s="132">
        <v>10360000</v>
      </c>
      <c r="B1038" s="132">
        <v>10260000</v>
      </c>
      <c r="C1038" s="132">
        <v>10360000</v>
      </c>
      <c r="D1038" s="132">
        <v>10360000</v>
      </c>
      <c r="E1038" s="133">
        <v>42023</v>
      </c>
      <c r="F1038" s="134" t="s">
        <v>2226</v>
      </c>
    </row>
    <row r="1039" spans="1:6">
      <c r="A1039" s="132">
        <v>10260000</v>
      </c>
      <c r="B1039" s="132">
        <v>10205000</v>
      </c>
      <c r="C1039" s="132">
        <v>10260000</v>
      </c>
      <c r="D1039" s="132">
        <v>10260000</v>
      </c>
      <c r="E1039" s="133">
        <v>42022</v>
      </c>
      <c r="F1039" s="134" t="s">
        <v>2227</v>
      </c>
    </row>
    <row r="1040" spans="1:6">
      <c r="A1040" s="132">
        <v>10195000</v>
      </c>
      <c r="B1040" s="132">
        <v>10160000</v>
      </c>
      <c r="C1040" s="132">
        <v>10255000</v>
      </c>
      <c r="D1040" s="132">
        <v>10195000</v>
      </c>
      <c r="E1040" s="133">
        <v>42021</v>
      </c>
      <c r="F1040" s="134" t="s">
        <v>2228</v>
      </c>
    </row>
    <row r="1041" spans="1:6">
      <c r="A1041" s="132">
        <v>9980000</v>
      </c>
      <c r="B1041" s="132">
        <v>9900000</v>
      </c>
      <c r="C1041" s="132">
        <v>9980000</v>
      </c>
      <c r="D1041" s="132">
        <v>9980000</v>
      </c>
      <c r="E1041" s="133">
        <v>42019</v>
      </c>
      <c r="F1041" s="134" t="s">
        <v>2229</v>
      </c>
    </row>
    <row r="1042" spans="1:6">
      <c r="A1042" s="132">
        <v>9935000</v>
      </c>
      <c r="B1042" s="132">
        <v>9860000</v>
      </c>
      <c r="C1042" s="132">
        <v>9950000</v>
      </c>
      <c r="D1042" s="132">
        <v>9935000</v>
      </c>
      <c r="E1042" s="133">
        <v>42018</v>
      </c>
      <c r="F1042" s="134" t="s">
        <v>2230</v>
      </c>
    </row>
    <row r="1043" spans="1:6">
      <c r="A1043" s="132">
        <v>9915000</v>
      </c>
      <c r="B1043" s="132">
        <v>9915000</v>
      </c>
      <c r="C1043" s="132">
        <v>9945000</v>
      </c>
      <c r="D1043" s="132">
        <v>9915000</v>
      </c>
      <c r="E1043" s="133">
        <v>42017</v>
      </c>
      <c r="F1043" s="134" t="s">
        <v>2231</v>
      </c>
    </row>
    <row r="1044" spans="1:6">
      <c r="A1044" s="132">
        <v>9880000</v>
      </c>
      <c r="B1044" s="132">
        <v>9875000</v>
      </c>
      <c r="C1044" s="132">
        <v>9950000</v>
      </c>
      <c r="D1044" s="132">
        <v>9880000</v>
      </c>
      <c r="E1044" s="133">
        <v>42016</v>
      </c>
      <c r="F1044" s="134" t="s">
        <v>2232</v>
      </c>
    </row>
    <row r="1045" spans="1:6">
      <c r="A1045" s="132">
        <v>9925000</v>
      </c>
      <c r="B1045" s="132">
        <v>9925000</v>
      </c>
      <c r="C1045" s="132">
        <v>9955000</v>
      </c>
      <c r="D1045" s="132">
        <v>9925000</v>
      </c>
      <c r="E1045" s="133">
        <v>42015</v>
      </c>
      <c r="F1045" s="134" t="s">
        <v>2233</v>
      </c>
    </row>
    <row r="1046" spans="1:6">
      <c r="A1046" s="132">
        <v>9960000</v>
      </c>
      <c r="B1046" s="132">
        <v>9920000</v>
      </c>
      <c r="C1046" s="132">
        <v>9965000</v>
      </c>
      <c r="D1046" s="132">
        <v>9960000</v>
      </c>
      <c r="E1046" s="133">
        <v>42014</v>
      </c>
      <c r="F1046" s="134" t="s">
        <v>2234</v>
      </c>
    </row>
    <row r="1047" spans="1:6">
      <c r="A1047" s="132">
        <v>9885000</v>
      </c>
      <c r="B1047" s="132">
        <v>9885000</v>
      </c>
      <c r="C1047" s="132">
        <v>9915000</v>
      </c>
      <c r="D1047" s="132">
        <v>9885000</v>
      </c>
      <c r="E1047" s="133">
        <v>42012</v>
      </c>
      <c r="F1047" s="134" t="s">
        <v>2235</v>
      </c>
    </row>
    <row r="1048" spans="1:6">
      <c r="A1048" s="132">
        <v>9935000</v>
      </c>
      <c r="B1048" s="132">
        <v>9935000</v>
      </c>
      <c r="C1048" s="132">
        <v>10000000</v>
      </c>
      <c r="D1048" s="132">
        <v>9935000</v>
      </c>
      <c r="E1048" s="133">
        <v>42011</v>
      </c>
      <c r="F1048" s="134" t="s">
        <v>2236</v>
      </c>
    </row>
    <row r="1049" spans="1:6">
      <c r="A1049" s="132">
        <v>9935000</v>
      </c>
      <c r="B1049" s="132">
        <v>9865000</v>
      </c>
      <c r="C1049" s="132">
        <v>9940000</v>
      </c>
      <c r="D1049" s="132">
        <v>9935000</v>
      </c>
      <c r="E1049" s="133">
        <v>42010</v>
      </c>
      <c r="F1049" s="134" t="s">
        <v>2237</v>
      </c>
    </row>
    <row r="1050" spans="1:6">
      <c r="A1050" s="132">
        <v>9805000</v>
      </c>
      <c r="B1050" s="132">
        <v>9790000</v>
      </c>
      <c r="C1050" s="132">
        <v>9835000</v>
      </c>
      <c r="D1050" s="132">
        <v>9805000</v>
      </c>
      <c r="E1050" s="133">
        <v>42009</v>
      </c>
      <c r="F1050" s="134" t="s">
        <v>2238</v>
      </c>
    </row>
    <row r="1051" spans="1:6">
      <c r="A1051" s="132">
        <v>9815000</v>
      </c>
      <c r="B1051" s="132">
        <v>9805000</v>
      </c>
      <c r="C1051" s="132">
        <v>9850000</v>
      </c>
      <c r="D1051" s="132">
        <v>9815000</v>
      </c>
      <c r="E1051" s="133">
        <v>42008</v>
      </c>
      <c r="F1051" s="134" t="s">
        <v>2239</v>
      </c>
    </row>
    <row r="1052" spans="1:6">
      <c r="A1052" s="132">
        <v>9790000</v>
      </c>
      <c r="B1052" s="132">
        <v>9725000</v>
      </c>
      <c r="C1052" s="132">
        <v>9795000</v>
      </c>
      <c r="D1052" s="132">
        <v>9790000</v>
      </c>
      <c r="E1052" s="133">
        <v>42007</v>
      </c>
      <c r="F1052" s="134" t="s">
        <v>2240</v>
      </c>
    </row>
    <row r="1053" spans="1:6">
      <c r="A1053" s="132">
        <v>9770000</v>
      </c>
      <c r="B1053" s="132">
        <v>9755000</v>
      </c>
      <c r="C1053" s="132">
        <v>9780000</v>
      </c>
      <c r="D1053" s="132">
        <v>9770000</v>
      </c>
      <c r="E1053" s="133">
        <v>42005</v>
      </c>
      <c r="F1053" s="134" t="s">
        <v>2241</v>
      </c>
    </row>
    <row r="1054" spans="1:6">
      <c r="A1054" s="132">
        <v>9830000</v>
      </c>
      <c r="B1054" s="132">
        <v>9815000</v>
      </c>
      <c r="C1054" s="132">
        <v>9875000</v>
      </c>
      <c r="D1054" s="132">
        <v>9830000</v>
      </c>
      <c r="E1054" s="133">
        <v>42004</v>
      </c>
      <c r="F1054" s="134" t="s">
        <v>2242</v>
      </c>
    </row>
    <row r="1055" spans="1:6">
      <c r="A1055" s="132">
        <v>9840000</v>
      </c>
      <c r="B1055" s="132">
        <v>9800000</v>
      </c>
      <c r="C1055" s="132">
        <v>9890000</v>
      </c>
      <c r="D1055" s="132">
        <v>9840000</v>
      </c>
      <c r="E1055" s="133">
        <v>42003</v>
      </c>
      <c r="F1055" s="134" t="s">
        <v>2243</v>
      </c>
    </row>
    <row r="1056" spans="1:6">
      <c r="A1056" s="132">
        <v>9900000</v>
      </c>
      <c r="B1056" s="132">
        <v>9900000</v>
      </c>
      <c r="C1056" s="132">
        <v>9960000</v>
      </c>
      <c r="D1056" s="132">
        <v>9900000</v>
      </c>
      <c r="E1056" s="133">
        <v>42002</v>
      </c>
      <c r="F1056" s="134" t="s">
        <v>2244</v>
      </c>
    </row>
    <row r="1057" spans="1:6">
      <c r="A1057" s="132">
        <v>9955000</v>
      </c>
      <c r="B1057" s="132">
        <v>9940000</v>
      </c>
      <c r="C1057" s="132">
        <v>9975000</v>
      </c>
      <c r="D1057" s="132">
        <v>9955000</v>
      </c>
      <c r="E1057" s="133">
        <v>42001</v>
      </c>
      <c r="F1057" s="134" t="s">
        <v>2245</v>
      </c>
    </row>
    <row r="1058" spans="1:6">
      <c r="A1058" s="132">
        <v>9945000</v>
      </c>
      <c r="B1058" s="132">
        <v>9910000</v>
      </c>
      <c r="C1058" s="132">
        <v>9950000</v>
      </c>
      <c r="D1058" s="132">
        <v>9945000</v>
      </c>
      <c r="E1058" s="133">
        <v>42000</v>
      </c>
      <c r="F1058" s="134" t="s">
        <v>2246</v>
      </c>
    </row>
    <row r="1059" spans="1:6">
      <c r="A1059" s="132">
        <v>9895000</v>
      </c>
      <c r="B1059" s="132">
        <v>9895000</v>
      </c>
      <c r="C1059" s="132">
        <v>9900000</v>
      </c>
      <c r="D1059" s="132">
        <v>9895000</v>
      </c>
      <c r="E1059" s="133">
        <v>41999</v>
      </c>
      <c r="F1059" s="134" t="s">
        <v>2247</v>
      </c>
    </row>
    <row r="1060" spans="1:6">
      <c r="A1060" s="132">
        <v>9895000</v>
      </c>
      <c r="B1060" s="132">
        <v>9890000</v>
      </c>
      <c r="C1060" s="132">
        <v>9920000</v>
      </c>
      <c r="D1060" s="132">
        <v>9895000</v>
      </c>
      <c r="E1060" s="133">
        <v>41998</v>
      </c>
      <c r="F1060" s="134" t="s">
        <v>2248</v>
      </c>
    </row>
    <row r="1061" spans="1:6">
      <c r="A1061" s="132">
        <v>9895000</v>
      </c>
      <c r="B1061" s="132">
        <v>9895000</v>
      </c>
      <c r="C1061" s="132">
        <v>9950000</v>
      </c>
      <c r="D1061" s="132">
        <v>9895000</v>
      </c>
      <c r="E1061" s="133">
        <v>41997</v>
      </c>
      <c r="F1061" s="134" t="s">
        <v>2249</v>
      </c>
    </row>
    <row r="1062" spans="1:6">
      <c r="A1062" s="132">
        <v>9960000</v>
      </c>
      <c r="B1062" s="132">
        <v>9940000</v>
      </c>
      <c r="C1062" s="132">
        <v>9960000</v>
      </c>
      <c r="D1062" s="132">
        <v>9960000</v>
      </c>
      <c r="E1062" s="133">
        <v>41996</v>
      </c>
      <c r="F1062" s="134" t="s">
        <v>2250</v>
      </c>
    </row>
    <row r="1063" spans="1:6">
      <c r="A1063" s="132">
        <v>9960000</v>
      </c>
      <c r="B1063" s="132">
        <v>9910000</v>
      </c>
      <c r="C1063" s="132">
        <v>9960000</v>
      </c>
      <c r="D1063" s="132">
        <v>9960000</v>
      </c>
      <c r="E1063" s="133">
        <v>41995</v>
      </c>
      <c r="F1063" s="134" t="s">
        <v>2251</v>
      </c>
    </row>
    <row r="1064" spans="1:6">
      <c r="A1064" s="132">
        <v>9935000</v>
      </c>
      <c r="B1064" s="132">
        <v>9930000</v>
      </c>
      <c r="C1064" s="132">
        <v>9935000</v>
      </c>
      <c r="D1064" s="132">
        <v>9935000</v>
      </c>
      <c r="E1064" s="133">
        <v>41994</v>
      </c>
      <c r="F1064" s="134" t="s">
        <v>2252</v>
      </c>
    </row>
    <row r="1065" spans="1:6">
      <c r="A1065" s="132">
        <v>9935000</v>
      </c>
      <c r="B1065" s="132">
        <v>9875000</v>
      </c>
      <c r="C1065" s="132">
        <v>9975000</v>
      </c>
      <c r="D1065" s="132">
        <v>9935000</v>
      </c>
      <c r="E1065" s="133">
        <v>41993</v>
      </c>
      <c r="F1065" s="134" t="s">
        <v>2253</v>
      </c>
    </row>
    <row r="1066" spans="1:6">
      <c r="A1066" s="132">
        <v>9990000</v>
      </c>
      <c r="B1066" s="132">
        <v>9910000</v>
      </c>
      <c r="C1066" s="132">
        <v>9995000</v>
      </c>
      <c r="D1066" s="132">
        <v>9990000</v>
      </c>
      <c r="E1066" s="133">
        <v>41991</v>
      </c>
      <c r="F1066" s="134" t="s">
        <v>2254</v>
      </c>
    </row>
    <row r="1067" spans="1:6">
      <c r="A1067" s="132">
        <v>9905000</v>
      </c>
      <c r="B1067" s="132">
        <v>9900000</v>
      </c>
      <c r="C1067" s="132">
        <v>9950000</v>
      </c>
      <c r="D1067" s="132">
        <v>9905000</v>
      </c>
      <c r="E1067" s="133">
        <v>41990</v>
      </c>
      <c r="F1067" s="134" t="s">
        <v>2255</v>
      </c>
    </row>
    <row r="1068" spans="1:6">
      <c r="A1068" s="132">
        <v>9970000</v>
      </c>
      <c r="B1068" s="132">
        <v>9850000</v>
      </c>
      <c r="C1068" s="132">
        <v>10020000</v>
      </c>
      <c r="D1068" s="132">
        <v>9970000</v>
      </c>
      <c r="E1068" s="133">
        <v>41989</v>
      </c>
      <c r="F1068" s="134" t="s">
        <v>2256</v>
      </c>
    </row>
    <row r="1069" spans="1:6">
      <c r="A1069" s="132">
        <v>9960000</v>
      </c>
      <c r="B1069" s="132">
        <v>9950000</v>
      </c>
      <c r="C1069" s="132">
        <v>10120000</v>
      </c>
      <c r="D1069" s="132">
        <v>9960000</v>
      </c>
      <c r="E1069" s="133">
        <v>41988</v>
      </c>
      <c r="F1069" s="134" t="s">
        <v>2257</v>
      </c>
    </row>
    <row r="1070" spans="1:6">
      <c r="A1070" s="132">
        <v>10010000</v>
      </c>
      <c r="B1070" s="132">
        <v>9815000</v>
      </c>
      <c r="C1070" s="132">
        <v>10010000</v>
      </c>
      <c r="D1070" s="132">
        <v>10010000</v>
      </c>
      <c r="E1070" s="133">
        <v>41987</v>
      </c>
      <c r="F1070" s="134" t="s">
        <v>2258</v>
      </c>
    </row>
    <row r="1071" spans="1:6">
      <c r="A1071" s="132">
        <v>9800000</v>
      </c>
      <c r="B1071" s="132">
        <v>9795000</v>
      </c>
      <c r="C1071" s="132">
        <v>9800000</v>
      </c>
      <c r="D1071" s="132">
        <v>9800000</v>
      </c>
      <c r="E1071" s="133">
        <v>41986</v>
      </c>
      <c r="F1071" s="134" t="s">
        <v>2259</v>
      </c>
    </row>
    <row r="1072" spans="1:6">
      <c r="A1072" s="132">
        <v>9800000</v>
      </c>
      <c r="B1072" s="132">
        <v>9795000</v>
      </c>
      <c r="C1072" s="132">
        <v>9800000</v>
      </c>
      <c r="D1072" s="132">
        <v>9800000</v>
      </c>
      <c r="E1072" s="133">
        <v>41985</v>
      </c>
      <c r="F1072" s="134" t="s">
        <v>2260</v>
      </c>
    </row>
    <row r="1073" spans="1:6">
      <c r="A1073" s="132">
        <v>9800000</v>
      </c>
      <c r="B1073" s="132">
        <v>9790000</v>
      </c>
      <c r="C1073" s="132">
        <v>9835000</v>
      </c>
      <c r="D1073" s="132">
        <v>9800000</v>
      </c>
      <c r="E1073" s="133">
        <v>41984</v>
      </c>
      <c r="F1073" s="134" t="s">
        <v>2261</v>
      </c>
    </row>
    <row r="1074" spans="1:6">
      <c r="A1074" s="132">
        <v>9810000</v>
      </c>
      <c r="B1074" s="132">
        <v>9675000</v>
      </c>
      <c r="C1074" s="132">
        <v>9810000</v>
      </c>
      <c r="D1074" s="132">
        <v>9810000</v>
      </c>
      <c r="E1074" s="133">
        <v>41983</v>
      </c>
      <c r="F1074" s="134" t="s">
        <v>2262</v>
      </c>
    </row>
    <row r="1075" spans="1:6">
      <c r="A1075" s="132">
        <v>9680000</v>
      </c>
      <c r="B1075" s="132">
        <v>9630000</v>
      </c>
      <c r="C1075" s="132">
        <v>9680000</v>
      </c>
      <c r="D1075" s="132">
        <v>9680000</v>
      </c>
      <c r="E1075" s="133">
        <v>41982</v>
      </c>
      <c r="F1075" s="134" t="s">
        <v>2263</v>
      </c>
    </row>
    <row r="1076" spans="1:6">
      <c r="A1076" s="132">
        <v>9630000</v>
      </c>
      <c r="B1076" s="132">
        <v>9620000</v>
      </c>
      <c r="C1076" s="132">
        <v>9670000</v>
      </c>
      <c r="D1076" s="132">
        <v>9630000</v>
      </c>
      <c r="E1076" s="133">
        <v>41981</v>
      </c>
      <c r="F1076" s="134" t="s">
        <v>2264</v>
      </c>
    </row>
    <row r="1077" spans="1:6">
      <c r="A1077" s="132">
        <v>9570000</v>
      </c>
      <c r="B1077" s="132">
        <v>9510000</v>
      </c>
      <c r="C1077" s="132">
        <v>9580000</v>
      </c>
      <c r="D1077" s="132">
        <v>9570000</v>
      </c>
      <c r="E1077" s="133">
        <v>41980</v>
      </c>
      <c r="F1077" s="134" t="s">
        <v>2265</v>
      </c>
    </row>
    <row r="1078" spans="1:6">
      <c r="A1078" s="132">
        <v>9490000</v>
      </c>
      <c r="B1078" s="132">
        <v>9490000</v>
      </c>
      <c r="C1078" s="132">
        <v>9520000</v>
      </c>
      <c r="D1078" s="132">
        <v>9490000</v>
      </c>
      <c r="E1078" s="133">
        <v>41979</v>
      </c>
      <c r="F1078" s="134" t="s">
        <v>2266</v>
      </c>
    </row>
    <row r="1079" spans="1:6">
      <c r="A1079" s="132">
        <v>9565000</v>
      </c>
      <c r="B1079" s="132">
        <v>9550000</v>
      </c>
      <c r="C1079" s="132">
        <v>9565000</v>
      </c>
      <c r="D1079" s="132">
        <v>9565000</v>
      </c>
      <c r="E1079" s="133">
        <v>41977</v>
      </c>
      <c r="F1079" s="134" t="s">
        <v>2267</v>
      </c>
    </row>
    <row r="1080" spans="1:6">
      <c r="A1080" s="132">
        <v>9560000</v>
      </c>
      <c r="B1080" s="132">
        <v>9530000</v>
      </c>
      <c r="C1080" s="132">
        <v>9580000</v>
      </c>
      <c r="D1080" s="132">
        <v>9560000</v>
      </c>
      <c r="E1080" s="133">
        <v>41976</v>
      </c>
      <c r="F1080" s="134" t="s">
        <v>2268</v>
      </c>
    </row>
    <row r="1081" spans="1:6">
      <c r="A1081" s="132">
        <v>9555000</v>
      </c>
      <c r="B1081" s="132">
        <v>9550000</v>
      </c>
      <c r="C1081" s="132">
        <v>9605000</v>
      </c>
      <c r="D1081" s="132">
        <v>9555000</v>
      </c>
      <c r="E1081" s="133">
        <v>41975</v>
      </c>
      <c r="F1081" s="134" t="s">
        <v>2269</v>
      </c>
    </row>
    <row r="1082" spans="1:6">
      <c r="A1082" s="132">
        <v>9510000</v>
      </c>
      <c r="B1082" s="132">
        <v>9475000</v>
      </c>
      <c r="C1082" s="132">
        <v>9545000</v>
      </c>
      <c r="D1082" s="132">
        <v>9510000</v>
      </c>
      <c r="E1082" s="133">
        <v>41974</v>
      </c>
      <c r="F1082" s="134" t="s">
        <v>2270</v>
      </c>
    </row>
    <row r="1083" spans="1:6">
      <c r="A1083" s="132">
        <v>9550000</v>
      </c>
      <c r="B1083" s="132">
        <v>9470000</v>
      </c>
      <c r="C1083" s="132">
        <v>9625000</v>
      </c>
      <c r="D1083" s="132">
        <v>9550000</v>
      </c>
      <c r="E1083" s="133">
        <v>41973</v>
      </c>
      <c r="F1083" s="134" t="s">
        <v>2271</v>
      </c>
    </row>
    <row r="1084" spans="1:6">
      <c r="A1084" s="132">
        <v>9450000</v>
      </c>
      <c r="B1084" s="132">
        <v>9350000</v>
      </c>
      <c r="C1084" s="132">
        <v>9465000</v>
      </c>
      <c r="D1084" s="132">
        <v>9450000</v>
      </c>
      <c r="E1084" s="133">
        <v>41972</v>
      </c>
      <c r="F1084" s="134" t="s">
        <v>2272</v>
      </c>
    </row>
    <row r="1085" spans="1:6">
      <c r="A1085" s="132">
        <v>9385000</v>
      </c>
      <c r="B1085" s="132">
        <v>9360000</v>
      </c>
      <c r="C1085" s="132">
        <v>9400000</v>
      </c>
      <c r="D1085" s="132">
        <v>9385000</v>
      </c>
      <c r="E1085" s="133">
        <v>41970</v>
      </c>
      <c r="F1085" s="134" t="s">
        <v>2273</v>
      </c>
    </row>
    <row r="1086" spans="1:6">
      <c r="A1086" s="132">
        <v>9380000</v>
      </c>
      <c r="B1086" s="132">
        <v>9295000</v>
      </c>
      <c r="C1086" s="132">
        <v>9380000</v>
      </c>
      <c r="D1086" s="132">
        <v>9380000</v>
      </c>
      <c r="E1086" s="133">
        <v>41969</v>
      </c>
      <c r="F1086" s="134" t="s">
        <v>2274</v>
      </c>
    </row>
    <row r="1087" spans="1:6">
      <c r="A1087" s="132">
        <v>9290000</v>
      </c>
      <c r="B1087" s="132">
        <v>9215000</v>
      </c>
      <c r="C1087" s="132">
        <v>9305000</v>
      </c>
      <c r="D1087" s="132">
        <v>9290000</v>
      </c>
      <c r="E1087" s="133">
        <v>41968</v>
      </c>
      <c r="F1087" s="134" t="s">
        <v>2275</v>
      </c>
    </row>
    <row r="1088" spans="1:6">
      <c r="A1088" s="132">
        <v>9220000</v>
      </c>
      <c r="B1088" s="132">
        <v>9140000</v>
      </c>
      <c r="C1088" s="132">
        <v>9225000</v>
      </c>
      <c r="D1088" s="132">
        <v>9220000</v>
      </c>
      <c r="E1088" s="133">
        <v>41967</v>
      </c>
      <c r="F1088" s="134" t="s">
        <v>2276</v>
      </c>
    </row>
    <row r="1089" spans="1:6">
      <c r="A1089" s="132">
        <v>9150000</v>
      </c>
      <c r="B1089" s="132">
        <v>9130000</v>
      </c>
      <c r="C1089" s="132">
        <v>9160000</v>
      </c>
      <c r="D1089" s="132">
        <v>9150000</v>
      </c>
      <c r="E1089" s="133">
        <v>41966</v>
      </c>
      <c r="F1089" s="134" t="s">
        <v>2277</v>
      </c>
    </row>
    <row r="1090" spans="1:6">
      <c r="A1090" s="132">
        <v>9150000</v>
      </c>
      <c r="B1090" s="132">
        <v>9140000</v>
      </c>
      <c r="C1090" s="132">
        <v>9165000</v>
      </c>
      <c r="D1090" s="132">
        <v>9150000</v>
      </c>
      <c r="E1090" s="133">
        <v>41965</v>
      </c>
      <c r="F1090" s="134" t="s">
        <v>2278</v>
      </c>
    </row>
    <row r="1091" spans="1:6">
      <c r="A1091" s="132">
        <v>9140000</v>
      </c>
      <c r="B1091" s="132">
        <v>9130000</v>
      </c>
      <c r="C1091" s="132">
        <v>9150000</v>
      </c>
      <c r="D1091" s="132">
        <v>9140000</v>
      </c>
      <c r="E1091" s="133">
        <v>41963</v>
      </c>
      <c r="F1091" s="134" t="s">
        <v>2279</v>
      </c>
    </row>
    <row r="1092" spans="1:6">
      <c r="A1092" s="132">
        <v>9170000</v>
      </c>
      <c r="B1092" s="132">
        <v>9160000</v>
      </c>
      <c r="C1092" s="132">
        <v>9180000</v>
      </c>
      <c r="D1092" s="132">
        <v>9170000</v>
      </c>
      <c r="E1092" s="133">
        <v>41962</v>
      </c>
      <c r="F1092" s="134" t="s">
        <v>2280</v>
      </c>
    </row>
    <row r="1093" spans="1:6">
      <c r="A1093" s="132">
        <v>9170000</v>
      </c>
      <c r="B1093" s="132">
        <v>9130000</v>
      </c>
      <c r="C1093" s="132">
        <v>9185000</v>
      </c>
      <c r="D1093" s="132">
        <v>9170000</v>
      </c>
      <c r="E1093" s="133">
        <v>41961</v>
      </c>
      <c r="F1093" s="134" t="s">
        <v>2281</v>
      </c>
    </row>
    <row r="1094" spans="1:6">
      <c r="A1094" s="132">
        <v>9140000</v>
      </c>
      <c r="B1094" s="132">
        <v>9130000</v>
      </c>
      <c r="C1094" s="132">
        <v>9145000</v>
      </c>
      <c r="D1094" s="132">
        <v>9140000</v>
      </c>
      <c r="E1094" s="133">
        <v>41960</v>
      </c>
      <c r="F1094" s="134" t="s">
        <v>2282</v>
      </c>
    </row>
    <row r="1095" spans="1:6">
      <c r="A1095" s="132">
        <v>9140000</v>
      </c>
      <c r="B1095" s="132">
        <v>9130000</v>
      </c>
      <c r="C1095" s="132">
        <v>9150000</v>
      </c>
      <c r="D1095" s="132">
        <v>9140000</v>
      </c>
      <c r="E1095" s="133">
        <v>41959</v>
      </c>
      <c r="F1095" s="134" t="s">
        <v>2283</v>
      </c>
    </row>
    <row r="1096" spans="1:6">
      <c r="A1096" s="132">
        <v>9150000</v>
      </c>
      <c r="B1096" s="132">
        <v>9140000</v>
      </c>
      <c r="C1096" s="132">
        <v>9165000</v>
      </c>
      <c r="D1096" s="132">
        <v>9150000</v>
      </c>
      <c r="E1096" s="133">
        <v>41958</v>
      </c>
      <c r="F1096" s="134" t="s">
        <v>2284</v>
      </c>
    </row>
    <row r="1097" spans="1:6">
      <c r="A1097" s="132">
        <v>9045000</v>
      </c>
      <c r="B1097" s="132">
        <v>9035000</v>
      </c>
      <c r="C1097" s="132">
        <v>9050000</v>
      </c>
      <c r="D1097" s="132">
        <v>9045000</v>
      </c>
      <c r="E1097" s="133">
        <v>41957</v>
      </c>
      <c r="F1097" s="134" t="s">
        <v>2285</v>
      </c>
    </row>
    <row r="1098" spans="1:6">
      <c r="A1098" s="132">
        <v>9045000</v>
      </c>
      <c r="B1098" s="132">
        <v>9015000</v>
      </c>
      <c r="C1098" s="132">
        <v>9045000</v>
      </c>
      <c r="D1098" s="132">
        <v>9045000</v>
      </c>
      <c r="E1098" s="133">
        <v>41956</v>
      </c>
      <c r="F1098" s="134" t="s">
        <v>2286</v>
      </c>
    </row>
    <row r="1099" spans="1:6">
      <c r="A1099" s="132">
        <v>9060000</v>
      </c>
      <c r="B1099" s="132">
        <v>9020000</v>
      </c>
      <c r="C1099" s="132">
        <v>9065000</v>
      </c>
      <c r="D1099" s="132">
        <v>9060000</v>
      </c>
      <c r="E1099" s="133">
        <v>41955</v>
      </c>
      <c r="F1099" s="134" t="s">
        <v>2287</v>
      </c>
    </row>
    <row r="1100" spans="1:6">
      <c r="A1100" s="132">
        <v>9000000</v>
      </c>
      <c r="B1100" s="132">
        <v>8955000</v>
      </c>
      <c r="C1100" s="132">
        <v>9025000</v>
      </c>
      <c r="D1100" s="132">
        <v>9000000</v>
      </c>
      <c r="E1100" s="133">
        <v>41954</v>
      </c>
      <c r="F1100" s="134" t="s">
        <v>2288</v>
      </c>
    </row>
    <row r="1101" spans="1:6">
      <c r="A1101" s="132">
        <v>9030000</v>
      </c>
      <c r="B1101" s="132">
        <v>9015000</v>
      </c>
      <c r="C1101" s="132">
        <v>9075000</v>
      </c>
      <c r="D1101" s="132">
        <v>9030000</v>
      </c>
      <c r="E1101" s="133">
        <v>41953</v>
      </c>
      <c r="F1101" s="134" t="s">
        <v>2289</v>
      </c>
    </row>
    <row r="1102" spans="1:6">
      <c r="A1102" s="132">
        <v>9075000</v>
      </c>
      <c r="B1102" s="132">
        <v>9065000</v>
      </c>
      <c r="C1102" s="132">
        <v>9095000</v>
      </c>
      <c r="D1102" s="132">
        <v>9075000</v>
      </c>
      <c r="E1102" s="133">
        <v>41952</v>
      </c>
      <c r="F1102" s="134" t="s">
        <v>2290</v>
      </c>
    </row>
    <row r="1103" spans="1:6">
      <c r="A1103" s="132">
        <v>9080000</v>
      </c>
      <c r="B1103" s="132">
        <v>9045000</v>
      </c>
      <c r="C1103" s="132">
        <v>9085000</v>
      </c>
      <c r="D1103" s="132">
        <v>9080000</v>
      </c>
      <c r="E1103" s="133">
        <v>41951</v>
      </c>
      <c r="F1103" s="134" t="s">
        <v>2291</v>
      </c>
    </row>
    <row r="1104" spans="1:6">
      <c r="A1104" s="132">
        <v>9033000</v>
      </c>
      <c r="B1104" s="132">
        <v>9025000</v>
      </c>
      <c r="C1104" s="132">
        <v>9035000</v>
      </c>
      <c r="D1104" s="132">
        <v>9033000</v>
      </c>
      <c r="E1104" s="133">
        <v>41950</v>
      </c>
      <c r="F1104" s="134" t="s">
        <v>2292</v>
      </c>
    </row>
    <row r="1105" spans="1:6">
      <c r="A1105" s="132">
        <v>9033000</v>
      </c>
      <c r="B1105" s="132">
        <v>9017000</v>
      </c>
      <c r="C1105" s="132">
        <v>9033000</v>
      </c>
      <c r="D1105" s="132">
        <v>9033000</v>
      </c>
      <c r="E1105" s="133">
        <v>41949</v>
      </c>
      <c r="F1105" s="134" t="s">
        <v>2293</v>
      </c>
    </row>
    <row r="1106" spans="1:6">
      <c r="A1106" s="132">
        <v>9025000</v>
      </c>
      <c r="B1106" s="132">
        <v>9020000</v>
      </c>
      <c r="C1106" s="132">
        <v>9025000</v>
      </c>
      <c r="D1106" s="132">
        <v>9025000</v>
      </c>
      <c r="E1106" s="133">
        <v>41948</v>
      </c>
      <c r="F1106" s="134" t="s">
        <v>2294</v>
      </c>
    </row>
    <row r="1107" spans="1:6">
      <c r="A1107" s="132">
        <v>9150000</v>
      </c>
      <c r="B1107" s="132">
        <v>9150000</v>
      </c>
      <c r="C1107" s="132">
        <v>9155000</v>
      </c>
      <c r="D1107" s="132">
        <v>9150000</v>
      </c>
      <c r="E1107" s="133">
        <v>41946</v>
      </c>
      <c r="F1107" s="134" t="s">
        <v>2295</v>
      </c>
    </row>
    <row r="1108" spans="1:6">
      <c r="A1108" s="132">
        <v>9150000</v>
      </c>
      <c r="B1108" s="132">
        <v>9110000</v>
      </c>
      <c r="C1108" s="132">
        <v>9150000</v>
      </c>
      <c r="D1108" s="132">
        <v>9150000</v>
      </c>
      <c r="E1108" s="133">
        <v>41945</v>
      </c>
      <c r="F1108" s="134" t="s">
        <v>2296</v>
      </c>
    </row>
    <row r="1109" spans="1:6">
      <c r="A1109" s="132">
        <v>9143000</v>
      </c>
      <c r="B1109" s="132">
        <v>9127000</v>
      </c>
      <c r="C1109" s="132">
        <v>9153000</v>
      </c>
      <c r="D1109" s="132">
        <v>9143000</v>
      </c>
      <c r="E1109" s="133">
        <v>41944</v>
      </c>
      <c r="F1109" s="134" t="s">
        <v>2297</v>
      </c>
    </row>
    <row r="1110" spans="1:6">
      <c r="A1110" s="132">
        <v>9244000</v>
      </c>
      <c r="B1110" s="132">
        <v>9242000</v>
      </c>
      <c r="C1110" s="132">
        <v>9244000</v>
      </c>
      <c r="D1110" s="132">
        <v>9244000</v>
      </c>
      <c r="E1110" s="133">
        <v>41943</v>
      </c>
      <c r="F1110" s="134" t="s">
        <v>2298</v>
      </c>
    </row>
    <row r="1111" spans="1:6">
      <c r="A1111" s="132">
        <v>9244000</v>
      </c>
      <c r="B1111" s="132">
        <v>9229000</v>
      </c>
      <c r="C1111" s="132">
        <v>9273000</v>
      </c>
      <c r="D1111" s="132">
        <v>9244000</v>
      </c>
      <c r="E1111" s="133">
        <v>41942</v>
      </c>
      <c r="F1111" s="134" t="s">
        <v>2299</v>
      </c>
    </row>
    <row r="1112" spans="1:6">
      <c r="A1112" s="132">
        <v>9293000</v>
      </c>
      <c r="B1112" s="132">
        <v>9290000</v>
      </c>
      <c r="C1112" s="132">
        <v>9313000</v>
      </c>
      <c r="D1112" s="132">
        <v>9293000</v>
      </c>
      <c r="E1112" s="133">
        <v>41941</v>
      </c>
      <c r="F1112" s="134" t="s">
        <v>2300</v>
      </c>
    </row>
    <row r="1113" spans="1:6">
      <c r="A1113" s="132">
        <v>9305000</v>
      </c>
      <c r="B1113" s="132">
        <v>9285000</v>
      </c>
      <c r="C1113" s="132">
        <v>9320000</v>
      </c>
      <c r="D1113" s="132">
        <v>9305000</v>
      </c>
      <c r="E1113" s="133">
        <v>41940</v>
      </c>
      <c r="F1113" s="134" t="s">
        <v>2301</v>
      </c>
    </row>
    <row r="1114" spans="1:6">
      <c r="A1114" s="132">
        <v>9310000</v>
      </c>
      <c r="B1114" s="132">
        <v>9295000</v>
      </c>
      <c r="C1114" s="132">
        <v>9325000</v>
      </c>
      <c r="D1114" s="132">
        <v>9310000</v>
      </c>
      <c r="E1114" s="133">
        <v>41939</v>
      </c>
      <c r="F1114" s="134" t="s">
        <v>2302</v>
      </c>
    </row>
    <row r="1115" spans="1:6">
      <c r="A1115" s="132">
        <v>9295000</v>
      </c>
      <c r="B1115" s="132">
        <v>9285000</v>
      </c>
      <c r="C1115" s="132">
        <v>9300000</v>
      </c>
      <c r="D1115" s="132">
        <v>9295000</v>
      </c>
      <c r="E1115" s="133">
        <v>41938</v>
      </c>
      <c r="F1115" s="134" t="s">
        <v>2303</v>
      </c>
    </row>
    <row r="1116" spans="1:6">
      <c r="A1116" s="132">
        <v>9300000</v>
      </c>
      <c r="B1116" s="132">
        <v>9300000</v>
      </c>
      <c r="C1116" s="132">
        <v>9340000</v>
      </c>
      <c r="D1116" s="132">
        <v>9300000</v>
      </c>
      <c r="E1116" s="133">
        <v>41937</v>
      </c>
      <c r="F1116" s="134" t="s">
        <v>2304</v>
      </c>
    </row>
    <row r="1117" spans="1:6">
      <c r="A1117" s="132">
        <v>9360000</v>
      </c>
      <c r="B1117" s="132">
        <v>9355000</v>
      </c>
      <c r="C1117" s="132">
        <v>9370000</v>
      </c>
      <c r="D1117" s="132">
        <v>9360000</v>
      </c>
      <c r="E1117" s="133">
        <v>41935</v>
      </c>
      <c r="F1117" s="134" t="s">
        <v>2305</v>
      </c>
    </row>
    <row r="1118" spans="1:6">
      <c r="A1118" s="132">
        <v>9380000</v>
      </c>
      <c r="B1118" s="132">
        <v>9375000</v>
      </c>
      <c r="C1118" s="132">
        <v>9385000</v>
      </c>
      <c r="D1118" s="132">
        <v>9380000</v>
      </c>
      <c r="E1118" s="133">
        <v>41934</v>
      </c>
      <c r="F1118" s="134" t="s">
        <v>2306</v>
      </c>
    </row>
    <row r="1119" spans="1:6">
      <c r="A1119" s="132">
        <v>9390000</v>
      </c>
      <c r="B1119" s="132">
        <v>9380000</v>
      </c>
      <c r="C1119" s="132">
        <v>9410000</v>
      </c>
      <c r="D1119" s="132">
        <v>9390000</v>
      </c>
      <c r="E1119" s="133">
        <v>41933</v>
      </c>
      <c r="F1119" s="134" t="s">
        <v>2307</v>
      </c>
    </row>
    <row r="1120" spans="1:6">
      <c r="A1120" s="132">
        <v>9375000</v>
      </c>
      <c r="B1120" s="132">
        <v>9370000</v>
      </c>
      <c r="C1120" s="132">
        <v>9395000</v>
      </c>
      <c r="D1120" s="132">
        <v>9375000</v>
      </c>
      <c r="E1120" s="133">
        <v>41932</v>
      </c>
      <c r="F1120" s="134" t="s">
        <v>2308</v>
      </c>
    </row>
    <row r="1121" spans="1:6">
      <c r="A1121" s="132">
        <v>9390000</v>
      </c>
      <c r="B1121" s="132">
        <v>9370000</v>
      </c>
      <c r="C1121" s="132">
        <v>9390000</v>
      </c>
      <c r="D1121" s="132">
        <v>9390000</v>
      </c>
      <c r="E1121" s="133">
        <v>41931</v>
      </c>
      <c r="F1121" s="134" t="s">
        <v>2309</v>
      </c>
    </row>
    <row r="1122" spans="1:6">
      <c r="A1122" s="132">
        <v>9380000</v>
      </c>
      <c r="B1122" s="132">
        <v>9370000</v>
      </c>
      <c r="C1122" s="132">
        <v>9395000</v>
      </c>
      <c r="D1122" s="132">
        <v>9380000</v>
      </c>
      <c r="E1122" s="133">
        <v>41930</v>
      </c>
      <c r="F1122" s="134" t="s">
        <v>2310</v>
      </c>
    </row>
    <row r="1123" spans="1:6">
      <c r="A1123" s="132">
        <v>9415000</v>
      </c>
      <c r="B1123" s="132">
        <v>9400000</v>
      </c>
      <c r="C1123" s="132">
        <v>9415000</v>
      </c>
      <c r="D1123" s="132">
        <v>9415000</v>
      </c>
      <c r="E1123" s="133">
        <v>41929</v>
      </c>
      <c r="F1123" s="134" t="s">
        <v>2311</v>
      </c>
    </row>
    <row r="1124" spans="1:6">
      <c r="A1124" s="132">
        <v>9415000</v>
      </c>
      <c r="B1124" s="132">
        <v>9395000</v>
      </c>
      <c r="C1124" s="132">
        <v>9420000</v>
      </c>
      <c r="D1124" s="132">
        <v>9415000</v>
      </c>
      <c r="E1124" s="133">
        <v>41928</v>
      </c>
      <c r="F1124" s="134" t="s">
        <v>2312</v>
      </c>
    </row>
    <row r="1125" spans="1:6">
      <c r="A1125" s="132">
        <v>9405000</v>
      </c>
      <c r="B1125" s="132">
        <v>9345000</v>
      </c>
      <c r="C1125" s="132">
        <v>9415000</v>
      </c>
      <c r="D1125" s="132">
        <v>9405000</v>
      </c>
      <c r="E1125" s="133">
        <v>41927</v>
      </c>
      <c r="F1125" s="134" t="s">
        <v>2313</v>
      </c>
    </row>
    <row r="1126" spans="1:6">
      <c r="A1126" s="132">
        <v>9405000</v>
      </c>
      <c r="B1126" s="132">
        <v>9385000</v>
      </c>
      <c r="C1126" s="132">
        <v>9440000</v>
      </c>
      <c r="D1126" s="132">
        <v>9405000</v>
      </c>
      <c r="E1126" s="133">
        <v>41926</v>
      </c>
      <c r="F1126" s="134" t="s">
        <v>2314</v>
      </c>
    </row>
    <row r="1127" spans="1:6">
      <c r="A1127" s="132">
        <v>9395000</v>
      </c>
      <c r="B1127" s="132">
        <v>9395000</v>
      </c>
      <c r="C1127" s="132">
        <v>9400000</v>
      </c>
      <c r="D1127" s="132">
        <v>9395000</v>
      </c>
      <c r="E1127" s="133">
        <v>41925</v>
      </c>
      <c r="F1127" s="134" t="s">
        <v>2315</v>
      </c>
    </row>
    <row r="1128" spans="1:6">
      <c r="A1128" s="132">
        <v>9395000</v>
      </c>
      <c r="B1128" s="132">
        <v>9375000</v>
      </c>
      <c r="C1128" s="132">
        <v>9395000</v>
      </c>
      <c r="D1128" s="132">
        <v>9395000</v>
      </c>
      <c r="E1128" s="133">
        <v>41924</v>
      </c>
      <c r="F1128" s="134" t="s">
        <v>2316</v>
      </c>
    </row>
    <row r="1129" spans="1:6">
      <c r="A1129" s="132">
        <v>9395000</v>
      </c>
      <c r="B1129" s="132">
        <v>9395000</v>
      </c>
      <c r="C1129" s="132">
        <v>9495000</v>
      </c>
      <c r="D1129" s="132">
        <v>9395000</v>
      </c>
      <c r="E1129" s="133">
        <v>41923</v>
      </c>
      <c r="F1129" s="134" t="s">
        <v>2317</v>
      </c>
    </row>
    <row r="1130" spans="1:6">
      <c r="A1130" s="132">
        <v>9460000</v>
      </c>
      <c r="B1130" s="132">
        <v>9445000</v>
      </c>
      <c r="C1130" s="132">
        <v>9475000</v>
      </c>
      <c r="D1130" s="132">
        <v>9460000</v>
      </c>
      <c r="E1130" s="133">
        <v>41922</v>
      </c>
      <c r="F1130" s="134" t="s">
        <v>2318</v>
      </c>
    </row>
    <row r="1131" spans="1:6">
      <c r="A1131" s="132">
        <v>9460000</v>
      </c>
      <c r="B1131" s="132">
        <v>9440000</v>
      </c>
      <c r="C1131" s="132">
        <v>9475000</v>
      </c>
      <c r="D1131" s="132">
        <v>9460000</v>
      </c>
      <c r="E1131" s="133">
        <v>41921</v>
      </c>
      <c r="F1131" s="134" t="s">
        <v>2319</v>
      </c>
    </row>
    <row r="1132" spans="1:6">
      <c r="A1132" s="132">
        <v>9395000</v>
      </c>
      <c r="B1132" s="132">
        <v>9370000</v>
      </c>
      <c r="C1132" s="132">
        <v>9425000</v>
      </c>
      <c r="D1132" s="132">
        <v>9395000</v>
      </c>
      <c r="E1132" s="133">
        <v>41920</v>
      </c>
      <c r="F1132" s="134" t="s">
        <v>2320</v>
      </c>
    </row>
    <row r="1133" spans="1:6">
      <c r="A1133" s="132">
        <v>9365000</v>
      </c>
      <c r="B1133" s="132">
        <v>9320000</v>
      </c>
      <c r="C1133" s="132">
        <v>9370000</v>
      </c>
      <c r="D1133" s="132">
        <v>9365000</v>
      </c>
      <c r="E1133" s="133">
        <v>41919</v>
      </c>
      <c r="F1133" s="134" t="s">
        <v>2321</v>
      </c>
    </row>
    <row r="1134" spans="1:6">
      <c r="A1134" s="132">
        <v>9285000</v>
      </c>
      <c r="B1134" s="132">
        <v>9245000</v>
      </c>
      <c r="C1134" s="132">
        <v>9285000</v>
      </c>
      <c r="D1134" s="132">
        <v>9285000</v>
      </c>
      <c r="E1134" s="133">
        <v>41918</v>
      </c>
      <c r="F1134" s="134" t="s">
        <v>2322</v>
      </c>
    </row>
    <row r="1135" spans="1:6">
      <c r="A1135" s="132">
        <v>9295000</v>
      </c>
      <c r="B1135" s="132">
        <v>9265000</v>
      </c>
      <c r="C1135" s="132">
        <v>9295000</v>
      </c>
      <c r="D1135" s="132">
        <v>9295000</v>
      </c>
      <c r="E1135" s="133">
        <v>41917</v>
      </c>
      <c r="F1135" s="134" t="s">
        <v>2323</v>
      </c>
    </row>
    <row r="1136" spans="1:6">
      <c r="A1136" s="132">
        <v>9295000</v>
      </c>
      <c r="B1136" s="132">
        <v>9245000</v>
      </c>
      <c r="C1136" s="132">
        <v>9310000</v>
      </c>
      <c r="D1136" s="132">
        <v>9295000</v>
      </c>
      <c r="E1136" s="133">
        <v>41916</v>
      </c>
      <c r="F1136" s="134" t="s">
        <v>2324</v>
      </c>
    </row>
    <row r="1137" spans="1:6">
      <c r="A1137" s="132">
        <v>9345000</v>
      </c>
      <c r="B1137" s="132">
        <v>9340000</v>
      </c>
      <c r="C1137" s="132">
        <v>9345000</v>
      </c>
      <c r="D1137" s="132">
        <v>9345000</v>
      </c>
      <c r="E1137" s="133">
        <v>41915</v>
      </c>
      <c r="F1137" s="134" t="s">
        <v>2325</v>
      </c>
    </row>
    <row r="1138" spans="1:6">
      <c r="A1138" s="132">
        <v>9345000</v>
      </c>
      <c r="B1138" s="132">
        <v>9340000</v>
      </c>
      <c r="C1138" s="132">
        <v>9355000</v>
      </c>
      <c r="D1138" s="132">
        <v>9345000</v>
      </c>
      <c r="E1138" s="133">
        <v>41914</v>
      </c>
      <c r="F1138" s="134" t="s">
        <v>2326</v>
      </c>
    </row>
    <row r="1139" spans="1:6">
      <c r="A1139" s="132">
        <v>9345000</v>
      </c>
      <c r="B1139" s="132">
        <v>9335000</v>
      </c>
      <c r="C1139" s="132">
        <v>9350000</v>
      </c>
      <c r="D1139" s="132">
        <v>9345000</v>
      </c>
      <c r="E1139" s="133">
        <v>41913</v>
      </c>
      <c r="F1139" s="134" t="s">
        <v>2327</v>
      </c>
    </row>
    <row r="1140" spans="1:6">
      <c r="A1140" s="132">
        <v>9345000</v>
      </c>
      <c r="B1140" s="132">
        <v>9320000</v>
      </c>
      <c r="C1140" s="132">
        <v>9375000</v>
      </c>
      <c r="D1140" s="132">
        <v>9345000</v>
      </c>
      <c r="E1140" s="133">
        <v>41912</v>
      </c>
      <c r="F1140" s="134" t="s">
        <v>2328</v>
      </c>
    </row>
    <row r="1141" spans="1:6">
      <c r="A1141" s="132">
        <v>9385000</v>
      </c>
      <c r="B1141" s="132">
        <v>9380000</v>
      </c>
      <c r="C1141" s="132">
        <v>9395000</v>
      </c>
      <c r="D1141" s="132">
        <v>9385000</v>
      </c>
      <c r="E1141" s="133">
        <v>41911</v>
      </c>
      <c r="F1141" s="134" t="s">
        <v>2329</v>
      </c>
    </row>
    <row r="1142" spans="1:6">
      <c r="A1142" s="132">
        <v>9390000</v>
      </c>
      <c r="B1142" s="132">
        <v>9370000</v>
      </c>
      <c r="C1142" s="132">
        <v>9415000</v>
      </c>
      <c r="D1142" s="132">
        <v>9390000</v>
      </c>
      <c r="E1142" s="133">
        <v>41910</v>
      </c>
      <c r="F1142" s="134" t="s">
        <v>2330</v>
      </c>
    </row>
    <row r="1143" spans="1:6">
      <c r="A1143" s="132">
        <v>9360000</v>
      </c>
      <c r="B1143" s="132">
        <v>9270000</v>
      </c>
      <c r="C1143" s="132">
        <v>9360000</v>
      </c>
      <c r="D1143" s="132">
        <v>9360000</v>
      </c>
      <c r="E1143" s="133">
        <v>41909</v>
      </c>
      <c r="F1143" s="134" t="s">
        <v>2331</v>
      </c>
    </row>
    <row r="1144" spans="1:6">
      <c r="A1144" s="132">
        <v>9220000</v>
      </c>
      <c r="B1144" s="132">
        <v>9205000</v>
      </c>
      <c r="C1144" s="132">
        <v>9220000</v>
      </c>
      <c r="D1144" s="132">
        <v>9220000</v>
      </c>
      <c r="E1144" s="133">
        <v>41908</v>
      </c>
      <c r="F1144" s="134" t="s">
        <v>2332</v>
      </c>
    </row>
    <row r="1145" spans="1:6">
      <c r="A1145" s="132">
        <v>9220000</v>
      </c>
      <c r="B1145" s="132">
        <v>9205000</v>
      </c>
      <c r="C1145" s="132">
        <v>9265000</v>
      </c>
      <c r="D1145" s="132">
        <v>9220000</v>
      </c>
      <c r="E1145" s="133">
        <v>41907</v>
      </c>
      <c r="F1145" s="134" t="s">
        <v>2333</v>
      </c>
    </row>
    <row r="1146" spans="1:6">
      <c r="A1146" s="132">
        <v>9270000</v>
      </c>
      <c r="B1146" s="132">
        <v>9265000</v>
      </c>
      <c r="C1146" s="132">
        <v>9295000</v>
      </c>
      <c r="D1146" s="132">
        <v>9270000</v>
      </c>
      <c r="E1146" s="133">
        <v>41906</v>
      </c>
      <c r="F1146" s="134" t="s">
        <v>2334</v>
      </c>
    </row>
    <row r="1147" spans="1:6">
      <c r="A1147" s="132">
        <v>9175000</v>
      </c>
      <c r="B1147" s="132">
        <v>9150000</v>
      </c>
      <c r="C1147" s="132">
        <v>9180000</v>
      </c>
      <c r="D1147" s="132">
        <v>9175000</v>
      </c>
      <c r="E1147" s="133">
        <v>41904</v>
      </c>
      <c r="F1147" s="134" t="s">
        <v>2335</v>
      </c>
    </row>
    <row r="1148" spans="1:6">
      <c r="A1148" s="132">
        <v>9270000</v>
      </c>
      <c r="B1148" s="132">
        <v>9175000</v>
      </c>
      <c r="C1148" s="132">
        <v>9295000</v>
      </c>
      <c r="D1148" s="132">
        <v>9270000</v>
      </c>
      <c r="E1148" s="133">
        <v>41905</v>
      </c>
      <c r="F1148" s="134" t="s">
        <v>2336</v>
      </c>
    </row>
    <row r="1149" spans="1:6">
      <c r="A1149" s="132">
        <v>9175000</v>
      </c>
      <c r="B1149" s="132">
        <v>9155000</v>
      </c>
      <c r="C1149" s="132">
        <v>9195000</v>
      </c>
      <c r="D1149" s="132">
        <v>9175000</v>
      </c>
      <c r="E1149" s="133">
        <v>41903</v>
      </c>
      <c r="F1149" s="134" t="s">
        <v>2337</v>
      </c>
    </row>
    <row r="1150" spans="1:6">
      <c r="A1150" s="132">
        <v>9180000</v>
      </c>
      <c r="B1150" s="132">
        <v>9175000</v>
      </c>
      <c r="C1150" s="132">
        <v>9255000</v>
      </c>
      <c r="D1150" s="132">
        <v>9180000</v>
      </c>
      <c r="E1150" s="133">
        <v>41902</v>
      </c>
      <c r="F1150" s="134" t="s">
        <v>2338</v>
      </c>
    </row>
    <row r="1151" spans="1:6">
      <c r="A1151" s="132">
        <v>9280000</v>
      </c>
      <c r="B1151" s="132">
        <v>9280000</v>
      </c>
      <c r="C1151" s="132">
        <v>9285000</v>
      </c>
      <c r="D1151" s="132">
        <v>9280000</v>
      </c>
      <c r="E1151" s="133">
        <v>41901</v>
      </c>
      <c r="F1151" s="134" t="s">
        <v>2339</v>
      </c>
    </row>
    <row r="1152" spans="1:6">
      <c r="A1152" s="132">
        <v>9280000</v>
      </c>
      <c r="B1152" s="132">
        <v>9280000</v>
      </c>
      <c r="C1152" s="132">
        <v>9390000</v>
      </c>
      <c r="D1152" s="132">
        <v>9280000</v>
      </c>
      <c r="E1152" s="133">
        <v>41900</v>
      </c>
      <c r="F1152" s="134" t="s">
        <v>2340</v>
      </c>
    </row>
    <row r="1153" spans="1:6">
      <c r="A1153" s="132">
        <v>9320000</v>
      </c>
      <c r="B1153" s="132">
        <v>9315000</v>
      </c>
      <c r="C1153" s="132">
        <v>9370000</v>
      </c>
      <c r="D1153" s="132">
        <v>9320000</v>
      </c>
      <c r="E1153" s="133">
        <v>41898</v>
      </c>
      <c r="F1153" s="134" t="s">
        <v>2341</v>
      </c>
    </row>
    <row r="1154" spans="1:6">
      <c r="A1154" s="132">
        <v>9310000</v>
      </c>
      <c r="B1154" s="132">
        <v>9255000</v>
      </c>
      <c r="C1154" s="132">
        <v>9315000</v>
      </c>
      <c r="D1154" s="132">
        <v>9310000</v>
      </c>
      <c r="E1154" s="133">
        <v>41897</v>
      </c>
      <c r="F1154" s="134" t="s">
        <v>2342</v>
      </c>
    </row>
    <row r="1155" spans="1:6">
      <c r="A1155" s="132">
        <v>9255000</v>
      </c>
      <c r="B1155" s="132">
        <v>9230000</v>
      </c>
      <c r="C1155" s="132">
        <v>9260000</v>
      </c>
      <c r="D1155" s="132">
        <v>9255000</v>
      </c>
      <c r="E1155" s="133">
        <v>41896</v>
      </c>
      <c r="F1155" s="134" t="s">
        <v>2343</v>
      </c>
    </row>
    <row r="1156" spans="1:6">
      <c r="A1156" s="132">
        <v>9245000</v>
      </c>
      <c r="B1156" s="132">
        <v>9225000</v>
      </c>
      <c r="C1156" s="132">
        <v>9310000</v>
      </c>
      <c r="D1156" s="132">
        <v>9245000</v>
      </c>
      <c r="E1156" s="133">
        <v>41895</v>
      </c>
      <c r="F1156" s="134" t="s">
        <v>2344</v>
      </c>
    </row>
    <row r="1157" spans="1:6">
      <c r="A1157" s="132">
        <v>9390000</v>
      </c>
      <c r="B1157" s="132">
        <v>9380000</v>
      </c>
      <c r="C1157" s="132">
        <v>9395000</v>
      </c>
      <c r="D1157" s="132">
        <v>9390000</v>
      </c>
      <c r="E1157" s="133">
        <v>41894</v>
      </c>
      <c r="F1157" s="134" t="s">
        <v>2345</v>
      </c>
    </row>
    <row r="1158" spans="1:6">
      <c r="A1158" s="132">
        <v>9390000</v>
      </c>
      <c r="B1158" s="132">
        <v>9390000</v>
      </c>
      <c r="C1158" s="132">
        <v>9405000</v>
      </c>
      <c r="D1158" s="132">
        <v>9390000</v>
      </c>
      <c r="E1158" s="133">
        <v>41893</v>
      </c>
      <c r="F1158" s="134" t="s">
        <v>2346</v>
      </c>
    </row>
    <row r="1159" spans="1:6">
      <c r="A1159" s="132">
        <v>9403000</v>
      </c>
      <c r="B1159" s="132">
        <v>9400000</v>
      </c>
      <c r="C1159" s="132">
        <v>9411000</v>
      </c>
      <c r="D1159" s="132">
        <v>9403000</v>
      </c>
      <c r="E1159" s="133">
        <v>41892</v>
      </c>
      <c r="F1159" s="134" t="s">
        <v>2347</v>
      </c>
    </row>
    <row r="1160" spans="1:6">
      <c r="A1160" s="132">
        <v>9412000</v>
      </c>
      <c r="B1160" s="132">
        <v>9410000</v>
      </c>
      <c r="C1160" s="132">
        <v>9439000</v>
      </c>
      <c r="D1160" s="132">
        <v>9412000</v>
      </c>
      <c r="E1160" s="133">
        <v>41891</v>
      </c>
      <c r="F1160" s="134" t="s">
        <v>2348</v>
      </c>
    </row>
    <row r="1161" spans="1:6">
      <c r="A1161" s="132">
        <v>9438000</v>
      </c>
      <c r="B1161" s="132">
        <v>9438000</v>
      </c>
      <c r="C1161" s="132">
        <v>9447000</v>
      </c>
      <c r="D1161" s="132">
        <v>9438000</v>
      </c>
      <c r="E1161" s="133">
        <v>41890</v>
      </c>
      <c r="F1161" s="134" t="s">
        <v>2349</v>
      </c>
    </row>
    <row r="1162" spans="1:6">
      <c r="A1162" s="132">
        <v>9441000</v>
      </c>
      <c r="B1162" s="132">
        <v>9420000</v>
      </c>
      <c r="C1162" s="132">
        <v>9445000</v>
      </c>
      <c r="D1162" s="132">
        <v>9441000</v>
      </c>
      <c r="E1162" s="133">
        <v>41889</v>
      </c>
      <c r="F1162" s="134" t="s">
        <v>2350</v>
      </c>
    </row>
    <row r="1163" spans="1:6">
      <c r="A1163" s="132">
        <v>9425000</v>
      </c>
      <c r="B1163" s="132">
        <v>9425000</v>
      </c>
      <c r="C1163" s="132">
        <v>9470000</v>
      </c>
      <c r="D1163" s="132">
        <v>9425000</v>
      </c>
      <c r="E1163" s="133">
        <v>41888</v>
      </c>
      <c r="F1163" s="134" t="s">
        <v>2351</v>
      </c>
    </row>
    <row r="1164" spans="1:6">
      <c r="A1164" s="132">
        <v>9470000</v>
      </c>
      <c r="B1164" s="132">
        <v>9460000</v>
      </c>
      <c r="C1164" s="132">
        <v>9470000</v>
      </c>
      <c r="D1164" s="132">
        <v>9470000</v>
      </c>
      <c r="E1164" s="133">
        <v>41886</v>
      </c>
      <c r="F1164" s="134" t="s">
        <v>2352</v>
      </c>
    </row>
    <row r="1165" spans="1:6">
      <c r="A1165" s="132">
        <v>9465000</v>
      </c>
      <c r="B1165" s="132">
        <v>9460000</v>
      </c>
      <c r="C1165" s="132">
        <v>9480000</v>
      </c>
      <c r="D1165" s="132">
        <v>9465000</v>
      </c>
      <c r="E1165" s="133">
        <v>41885</v>
      </c>
      <c r="F1165" s="134" t="s">
        <v>2353</v>
      </c>
    </row>
    <row r="1166" spans="1:6">
      <c r="A1166" s="132">
        <v>9460000</v>
      </c>
      <c r="B1166" s="132">
        <v>9460000</v>
      </c>
      <c r="C1166" s="132">
        <v>9490000</v>
      </c>
      <c r="D1166" s="132">
        <v>9460000</v>
      </c>
      <c r="E1166" s="133">
        <v>41884</v>
      </c>
      <c r="F1166" s="134" t="s">
        <v>2354</v>
      </c>
    </row>
    <row r="1167" spans="1:6">
      <c r="A1167" s="132">
        <v>9495000</v>
      </c>
      <c r="B1167" s="132">
        <v>9485000</v>
      </c>
      <c r="C1167" s="132">
        <v>9495000</v>
      </c>
      <c r="D1167" s="132">
        <v>9495000</v>
      </c>
      <c r="E1167" s="133">
        <v>41883</v>
      </c>
      <c r="F1167" s="134" t="s">
        <v>2355</v>
      </c>
    </row>
    <row r="1168" spans="1:6">
      <c r="A1168" s="132">
        <v>9490000</v>
      </c>
      <c r="B1168" s="132">
        <v>9490000</v>
      </c>
      <c r="C1168" s="132">
        <v>9520000</v>
      </c>
      <c r="D1168" s="132">
        <v>9490000</v>
      </c>
      <c r="E1168" s="133">
        <v>41882</v>
      </c>
      <c r="F1168" s="134" t="s">
        <v>2356</v>
      </c>
    </row>
    <row r="1169" spans="1:6">
      <c r="A1169" s="132">
        <v>9505000</v>
      </c>
      <c r="B1169" s="132">
        <v>9490000</v>
      </c>
      <c r="C1169" s="132">
        <v>9510000</v>
      </c>
      <c r="D1169" s="132">
        <v>9505000</v>
      </c>
      <c r="E1169" s="133">
        <v>41881</v>
      </c>
      <c r="F1169" s="134" t="s">
        <v>2357</v>
      </c>
    </row>
    <row r="1170" spans="1:6">
      <c r="A1170" s="132">
        <v>9485000</v>
      </c>
      <c r="B1170" s="132">
        <v>9440000</v>
      </c>
      <c r="C1170" s="132">
        <v>9485000</v>
      </c>
      <c r="D1170" s="132">
        <v>9485000</v>
      </c>
      <c r="E1170" s="133">
        <v>41879</v>
      </c>
      <c r="F1170" s="134" t="s">
        <v>2358</v>
      </c>
    </row>
    <row r="1171" spans="1:6">
      <c r="A1171" s="132">
        <v>9435000</v>
      </c>
      <c r="B1171" s="132">
        <v>9430000</v>
      </c>
      <c r="C1171" s="132">
        <v>9445000</v>
      </c>
      <c r="D1171" s="132">
        <v>9435000</v>
      </c>
      <c r="E1171" s="133">
        <v>41878</v>
      </c>
      <c r="F1171" s="134" t="s">
        <v>2359</v>
      </c>
    </row>
    <row r="1172" spans="1:6">
      <c r="A1172" s="132">
        <v>9440000</v>
      </c>
      <c r="B1172" s="132">
        <v>9430000</v>
      </c>
      <c r="C1172" s="132">
        <v>9470000</v>
      </c>
      <c r="D1172" s="132">
        <v>9440000</v>
      </c>
      <c r="E1172" s="133">
        <v>41877</v>
      </c>
      <c r="F1172" s="134" t="s">
        <v>2360</v>
      </c>
    </row>
    <row r="1173" spans="1:6">
      <c r="A1173" s="132">
        <v>9420000</v>
      </c>
      <c r="B1173" s="132">
        <v>9380000</v>
      </c>
      <c r="C1173" s="132">
        <v>9425000</v>
      </c>
      <c r="D1173" s="132">
        <v>9420000</v>
      </c>
      <c r="E1173" s="133">
        <v>41876</v>
      </c>
      <c r="F1173" s="134" t="s">
        <v>2361</v>
      </c>
    </row>
    <row r="1174" spans="1:6">
      <c r="A1174" s="132">
        <v>9415000</v>
      </c>
      <c r="B1174" s="132">
        <v>9385000</v>
      </c>
      <c r="C1174" s="132">
        <v>9445000</v>
      </c>
      <c r="D1174" s="132">
        <v>9415000</v>
      </c>
      <c r="E1174" s="133">
        <v>41875</v>
      </c>
      <c r="F1174" s="134" t="s">
        <v>2362</v>
      </c>
    </row>
    <row r="1175" spans="1:6">
      <c r="A1175" s="132">
        <v>9370000</v>
      </c>
      <c r="B1175" s="132">
        <v>9330000</v>
      </c>
      <c r="C1175" s="132">
        <v>9370000</v>
      </c>
      <c r="D1175" s="132">
        <v>9370000</v>
      </c>
      <c r="E1175" s="133">
        <v>41874</v>
      </c>
      <c r="F1175" s="134" t="s">
        <v>2363</v>
      </c>
    </row>
    <row r="1176" spans="1:6">
      <c r="A1176" s="132">
        <v>9355000</v>
      </c>
      <c r="B1176" s="132">
        <v>9350000</v>
      </c>
      <c r="C1176" s="132">
        <v>9415000</v>
      </c>
      <c r="D1176" s="132">
        <v>9355000</v>
      </c>
      <c r="E1176" s="133">
        <v>41872</v>
      </c>
      <c r="F1176" s="134" t="s">
        <v>2364</v>
      </c>
    </row>
    <row r="1177" spans="1:6">
      <c r="A1177" s="132">
        <v>9425000</v>
      </c>
      <c r="B1177" s="132">
        <v>9420000</v>
      </c>
      <c r="C1177" s="132">
        <v>9450000</v>
      </c>
      <c r="D1177" s="132">
        <v>9425000</v>
      </c>
      <c r="E1177" s="133">
        <v>41871</v>
      </c>
      <c r="F1177" s="134" t="s">
        <v>2365</v>
      </c>
    </row>
    <row r="1178" spans="1:6">
      <c r="A1178" s="132">
        <v>9460000</v>
      </c>
      <c r="B1178" s="132">
        <v>9448000</v>
      </c>
      <c r="C1178" s="132">
        <v>9465000</v>
      </c>
      <c r="D1178" s="132">
        <v>9460000</v>
      </c>
      <c r="E1178" s="133">
        <v>41870</v>
      </c>
      <c r="F1178" s="134" t="s">
        <v>2366</v>
      </c>
    </row>
    <row r="1179" spans="1:6">
      <c r="A1179" s="132">
        <v>9447000</v>
      </c>
      <c r="B1179" s="132">
        <v>9444000</v>
      </c>
      <c r="C1179" s="132">
        <v>9468000</v>
      </c>
      <c r="D1179" s="132">
        <v>9447000</v>
      </c>
      <c r="E1179" s="133">
        <v>41869</v>
      </c>
      <c r="F1179" s="134" t="s">
        <v>2367</v>
      </c>
    </row>
    <row r="1180" spans="1:6">
      <c r="A1180" s="132">
        <v>9472000</v>
      </c>
      <c r="B1180" s="132">
        <v>9472000</v>
      </c>
      <c r="C1180" s="132">
        <v>9487000</v>
      </c>
      <c r="D1180" s="132">
        <v>9472000</v>
      </c>
      <c r="E1180" s="133">
        <v>41868</v>
      </c>
      <c r="F1180" s="134" t="s">
        <v>2368</v>
      </c>
    </row>
    <row r="1181" spans="1:6">
      <c r="A1181" s="132">
        <v>9490000</v>
      </c>
      <c r="B1181" s="132">
        <v>9485000</v>
      </c>
      <c r="C1181" s="132">
        <v>9523000</v>
      </c>
      <c r="D1181" s="132">
        <v>9490000</v>
      </c>
      <c r="E1181" s="133">
        <v>41867</v>
      </c>
      <c r="F1181" s="134" t="s">
        <v>2369</v>
      </c>
    </row>
    <row r="1182" spans="1:6">
      <c r="A1182" s="132">
        <v>9547000</v>
      </c>
      <c r="B1182" s="132">
        <v>9547000</v>
      </c>
      <c r="C1182" s="132">
        <v>9547000</v>
      </c>
      <c r="D1182" s="132">
        <v>9547000</v>
      </c>
      <c r="E1182" s="133">
        <v>41865</v>
      </c>
      <c r="F1182" s="134" t="s">
        <v>2370</v>
      </c>
    </row>
    <row r="1183" spans="1:6">
      <c r="A1183" s="132">
        <v>9539000</v>
      </c>
      <c r="B1183" s="132">
        <v>9523000</v>
      </c>
      <c r="C1183" s="132">
        <v>9540000</v>
      </c>
      <c r="D1183" s="132">
        <v>9539000</v>
      </c>
      <c r="E1183" s="133">
        <v>41864</v>
      </c>
      <c r="F1183" s="134" t="s">
        <v>2371</v>
      </c>
    </row>
    <row r="1184" spans="1:6">
      <c r="A1184" s="132">
        <v>9545000</v>
      </c>
      <c r="B1184" s="132">
        <v>9530000</v>
      </c>
      <c r="C1184" s="132">
        <v>9545000</v>
      </c>
      <c r="D1184" s="132">
        <v>9545000</v>
      </c>
      <c r="E1184" s="133">
        <v>41863</v>
      </c>
      <c r="F1184" s="134" t="s">
        <v>2372</v>
      </c>
    </row>
    <row r="1185" spans="1:6">
      <c r="A1185" s="132">
        <v>9540000</v>
      </c>
      <c r="B1185" s="132">
        <v>9527000</v>
      </c>
      <c r="C1185" s="132">
        <v>9542000</v>
      </c>
      <c r="D1185" s="132">
        <v>9540000</v>
      </c>
      <c r="E1185" s="133">
        <v>41862</v>
      </c>
      <c r="F1185" s="134" t="s">
        <v>2373</v>
      </c>
    </row>
    <row r="1186" spans="1:6">
      <c r="A1186" s="132">
        <v>9546000</v>
      </c>
      <c r="B1186" s="132">
        <v>9546000</v>
      </c>
      <c r="C1186" s="132">
        <v>9580000</v>
      </c>
      <c r="D1186" s="132">
        <v>9546000</v>
      </c>
      <c r="E1186" s="133">
        <v>41861</v>
      </c>
      <c r="F1186" s="134" t="s">
        <v>2374</v>
      </c>
    </row>
    <row r="1187" spans="1:6">
      <c r="A1187" s="132">
        <v>9518000</v>
      </c>
      <c r="B1187" s="132">
        <v>9515000</v>
      </c>
      <c r="C1187" s="132">
        <v>9527000</v>
      </c>
      <c r="D1187" s="132">
        <v>9518000</v>
      </c>
      <c r="E1187" s="133">
        <v>41859</v>
      </c>
      <c r="F1187" s="134" t="s">
        <v>2375</v>
      </c>
    </row>
    <row r="1188" spans="1:6">
      <c r="A1188" s="132">
        <v>9518000</v>
      </c>
      <c r="B1188" s="132">
        <v>9515000</v>
      </c>
      <c r="C1188" s="132">
        <v>9527000</v>
      </c>
      <c r="D1188" s="132">
        <v>9518000</v>
      </c>
      <c r="E1188" s="133">
        <v>41858</v>
      </c>
      <c r="F1188" s="134" t="s">
        <v>2376</v>
      </c>
    </row>
    <row r="1189" spans="1:6">
      <c r="A1189" s="132">
        <v>9522000</v>
      </c>
      <c r="B1189" s="132">
        <v>9477000</v>
      </c>
      <c r="C1189" s="132">
        <v>9522000</v>
      </c>
      <c r="D1189" s="132">
        <v>9522000</v>
      </c>
      <c r="E1189" s="133">
        <v>41857</v>
      </c>
      <c r="F1189" s="134" t="s">
        <v>2377</v>
      </c>
    </row>
    <row r="1190" spans="1:6">
      <c r="A1190" s="132">
        <v>9480000</v>
      </c>
      <c r="B1190" s="132">
        <v>9480000</v>
      </c>
      <c r="C1190" s="132">
        <v>9512000</v>
      </c>
      <c r="D1190" s="132">
        <v>9480000</v>
      </c>
      <c r="E1190" s="133">
        <v>41856</v>
      </c>
      <c r="F1190" s="134" t="s">
        <v>2378</v>
      </c>
    </row>
    <row r="1191" spans="1:6">
      <c r="A1191" s="132">
        <v>9515000</v>
      </c>
      <c r="B1191" s="132">
        <v>9512000</v>
      </c>
      <c r="C1191" s="132">
        <v>9535000</v>
      </c>
      <c r="D1191" s="132">
        <v>9515000</v>
      </c>
      <c r="E1191" s="133">
        <v>41855</v>
      </c>
      <c r="F1191" s="134" t="s">
        <v>2379</v>
      </c>
    </row>
    <row r="1192" spans="1:6">
      <c r="A1192" s="132">
        <v>9518000</v>
      </c>
      <c r="B1192" s="132">
        <v>9495000</v>
      </c>
      <c r="C1192" s="132">
        <v>9525000</v>
      </c>
      <c r="D1192" s="132">
        <v>9518000</v>
      </c>
      <c r="E1192" s="133">
        <v>41854</v>
      </c>
      <c r="F1192" s="134" t="s">
        <v>2380</v>
      </c>
    </row>
    <row r="1193" spans="1:6">
      <c r="A1193" s="132">
        <v>9477000</v>
      </c>
      <c r="B1193" s="132">
        <v>9467000</v>
      </c>
      <c r="C1193" s="132">
        <v>9495000</v>
      </c>
      <c r="D1193" s="132">
        <v>9477000</v>
      </c>
      <c r="E1193" s="133">
        <v>41853</v>
      </c>
      <c r="F1193" s="134" t="s">
        <v>2381</v>
      </c>
    </row>
    <row r="1194" spans="1:6">
      <c r="A1194" s="132">
        <v>9505000</v>
      </c>
      <c r="B1194" s="132">
        <v>9500000</v>
      </c>
      <c r="C1194" s="132">
        <v>9505000</v>
      </c>
      <c r="D1194" s="132">
        <v>9505000</v>
      </c>
      <c r="E1194" s="133">
        <v>41851</v>
      </c>
      <c r="F1194" s="134" t="s">
        <v>2382</v>
      </c>
    </row>
    <row r="1195" spans="1:6">
      <c r="A1195" s="132">
        <v>9502000</v>
      </c>
      <c r="B1195" s="132">
        <v>9502000</v>
      </c>
      <c r="C1195" s="132">
        <v>9502000</v>
      </c>
      <c r="D1195" s="132">
        <v>9502000</v>
      </c>
      <c r="E1195" s="133">
        <v>41850</v>
      </c>
      <c r="F1195" s="134" t="s">
        <v>2383</v>
      </c>
    </row>
    <row r="1196" spans="1:6">
      <c r="A1196" s="132">
        <v>9502000</v>
      </c>
      <c r="B1196" s="132">
        <v>9502000</v>
      </c>
      <c r="C1196" s="132">
        <v>9517000</v>
      </c>
      <c r="D1196" s="132">
        <v>9502000</v>
      </c>
      <c r="E1196" s="133">
        <v>41848</v>
      </c>
      <c r="F1196" s="134" t="s">
        <v>2384</v>
      </c>
    </row>
    <row r="1197" spans="1:6">
      <c r="A1197" s="132">
        <v>9530000</v>
      </c>
      <c r="B1197" s="132">
        <v>9528000</v>
      </c>
      <c r="C1197" s="132">
        <v>9558000</v>
      </c>
      <c r="D1197" s="132">
        <v>9530000</v>
      </c>
      <c r="E1197" s="133">
        <v>41847</v>
      </c>
      <c r="F1197" s="134" t="s">
        <v>2385</v>
      </c>
    </row>
    <row r="1198" spans="1:6">
      <c r="A1198" s="132">
        <v>9535000</v>
      </c>
      <c r="B1198" s="132">
        <v>9515000</v>
      </c>
      <c r="C1198" s="132">
        <v>9542000</v>
      </c>
      <c r="D1198" s="132">
        <v>9535000</v>
      </c>
      <c r="E1198" s="133">
        <v>41846</v>
      </c>
      <c r="F1198" s="134" t="s">
        <v>2386</v>
      </c>
    </row>
    <row r="1199" spans="1:6">
      <c r="A1199" s="132">
        <v>9510000</v>
      </c>
      <c r="B1199" s="132">
        <v>9485000</v>
      </c>
      <c r="C1199" s="132">
        <v>9513000</v>
      </c>
      <c r="D1199" s="132">
        <v>9510000</v>
      </c>
      <c r="E1199" s="133">
        <v>41844</v>
      </c>
      <c r="F1199" s="134" t="s">
        <v>2387</v>
      </c>
    </row>
    <row r="1200" spans="1:6">
      <c r="A1200" s="132">
        <v>9505000</v>
      </c>
      <c r="B1200" s="132">
        <v>9500000</v>
      </c>
      <c r="C1200" s="132">
        <v>9530000</v>
      </c>
      <c r="D1200" s="132">
        <v>9505000</v>
      </c>
      <c r="E1200" s="133">
        <v>41842</v>
      </c>
      <c r="F1200" s="134" t="s">
        <v>2388</v>
      </c>
    </row>
    <row r="1201" spans="1:6">
      <c r="A1201" s="132">
        <v>9525000</v>
      </c>
      <c r="B1201" s="132">
        <v>9490000</v>
      </c>
      <c r="C1201" s="132">
        <v>9532000</v>
      </c>
      <c r="D1201" s="132">
        <v>9525000</v>
      </c>
      <c r="E1201" s="133">
        <v>41843</v>
      </c>
      <c r="F1201" s="134" t="s">
        <v>2389</v>
      </c>
    </row>
    <row r="1202" spans="1:6">
      <c r="A1202" s="132">
        <v>9550000</v>
      </c>
      <c r="B1202" s="132">
        <v>9535000</v>
      </c>
      <c r="C1202" s="132">
        <v>9570000</v>
      </c>
      <c r="D1202" s="132">
        <v>9550000</v>
      </c>
      <c r="E1202" s="133">
        <v>41841</v>
      </c>
      <c r="F1202" s="134" t="s">
        <v>2390</v>
      </c>
    </row>
    <row r="1203" spans="1:6">
      <c r="A1203" s="132">
        <v>9525000</v>
      </c>
      <c r="B1203" s="132">
        <v>9520000</v>
      </c>
      <c r="C1203" s="132">
        <v>9550000</v>
      </c>
      <c r="D1203" s="132">
        <v>9525000</v>
      </c>
      <c r="E1203" s="133">
        <v>41840</v>
      </c>
      <c r="F1203" s="134" t="s">
        <v>2391</v>
      </c>
    </row>
    <row r="1204" spans="1:6">
      <c r="A1204" s="132">
        <v>9540000</v>
      </c>
      <c r="B1204" s="132">
        <v>9545000</v>
      </c>
      <c r="C1204" s="132">
        <v>9565000</v>
      </c>
      <c r="D1204" s="132">
        <v>9540000</v>
      </c>
      <c r="E1204" s="133">
        <v>41837</v>
      </c>
      <c r="F1204" s="134" t="s">
        <v>2392</v>
      </c>
    </row>
    <row r="1205" spans="1:6">
      <c r="A1205" s="132">
        <v>9515000</v>
      </c>
      <c r="B1205" s="132">
        <v>9475000</v>
      </c>
      <c r="C1205" s="132">
        <v>9515000</v>
      </c>
      <c r="D1205" s="132">
        <v>9515000</v>
      </c>
      <c r="E1205" s="133">
        <v>41836</v>
      </c>
      <c r="F1205" s="134" t="s">
        <v>2393</v>
      </c>
    </row>
    <row r="1206" spans="1:6">
      <c r="A1206" s="132">
        <v>9522000</v>
      </c>
      <c r="B1206" s="132">
        <v>9515000</v>
      </c>
      <c r="C1206" s="132">
        <v>9550000</v>
      </c>
      <c r="D1206" s="132">
        <v>9522000</v>
      </c>
      <c r="E1206" s="133">
        <v>41835</v>
      </c>
      <c r="F1206" s="134" t="s">
        <v>2394</v>
      </c>
    </row>
    <row r="1207" spans="1:6">
      <c r="A1207" s="132">
        <v>9590000</v>
      </c>
      <c r="B1207" s="132">
        <v>9590000</v>
      </c>
      <c r="C1207" s="132">
        <v>9660000</v>
      </c>
      <c r="D1207" s="132">
        <v>9590000</v>
      </c>
      <c r="E1207" s="133">
        <v>41834</v>
      </c>
      <c r="F1207" s="134" t="s">
        <v>2395</v>
      </c>
    </row>
    <row r="1208" spans="1:6">
      <c r="A1208" s="132">
        <v>9680000</v>
      </c>
      <c r="B1208" s="132">
        <v>9650000</v>
      </c>
      <c r="C1208" s="132">
        <v>9685000</v>
      </c>
      <c r="D1208" s="132">
        <v>9680000</v>
      </c>
      <c r="E1208" s="133">
        <v>41833</v>
      </c>
      <c r="F1208" s="134" t="s">
        <v>2396</v>
      </c>
    </row>
    <row r="1209" spans="1:6">
      <c r="A1209" s="132">
        <v>9647000</v>
      </c>
      <c r="B1209" s="132">
        <v>9610000</v>
      </c>
      <c r="C1209" s="132">
        <v>9647000</v>
      </c>
      <c r="D1209" s="132">
        <v>9647000</v>
      </c>
      <c r="E1209" s="133">
        <v>41832</v>
      </c>
      <c r="F1209" s="134" t="s">
        <v>2397</v>
      </c>
    </row>
    <row r="1210" spans="1:6">
      <c r="A1210" s="132">
        <v>9645000</v>
      </c>
      <c r="B1210" s="132">
        <v>9570000</v>
      </c>
      <c r="C1210" s="132">
        <v>9645000</v>
      </c>
      <c r="D1210" s="132">
        <v>9645000</v>
      </c>
      <c r="E1210" s="133">
        <v>41830</v>
      </c>
      <c r="F1210" s="134" t="s">
        <v>2398</v>
      </c>
    </row>
    <row r="1211" spans="1:6">
      <c r="A1211" s="132">
        <v>9564000</v>
      </c>
      <c r="B1211" s="132">
        <v>9550000</v>
      </c>
      <c r="C1211" s="132">
        <v>9598000</v>
      </c>
      <c r="D1211" s="132">
        <v>9564000</v>
      </c>
      <c r="E1211" s="133">
        <v>41829</v>
      </c>
      <c r="F1211" s="134" t="s">
        <v>2399</v>
      </c>
    </row>
    <row r="1212" spans="1:6">
      <c r="A1212" s="132">
        <v>9570000</v>
      </c>
      <c r="B1212" s="132">
        <v>9515000</v>
      </c>
      <c r="C1212" s="132">
        <v>9592000</v>
      </c>
      <c r="D1212" s="132">
        <v>9570000</v>
      </c>
      <c r="E1212" s="133">
        <v>41828</v>
      </c>
      <c r="F1212" s="134" t="s">
        <v>2400</v>
      </c>
    </row>
    <row r="1213" spans="1:6">
      <c r="A1213" s="132">
        <v>9495000</v>
      </c>
      <c r="B1213" s="132">
        <v>9482000</v>
      </c>
      <c r="C1213" s="132">
        <v>9512000</v>
      </c>
      <c r="D1213" s="132">
        <v>9495000</v>
      </c>
      <c r="E1213" s="133">
        <v>41827</v>
      </c>
      <c r="F1213" s="134" t="s">
        <v>2401</v>
      </c>
    </row>
    <row r="1214" spans="1:6">
      <c r="A1214" s="132">
        <v>9523000</v>
      </c>
      <c r="B1214" s="132">
        <v>9495000</v>
      </c>
      <c r="C1214" s="132">
        <v>9570000</v>
      </c>
      <c r="D1214" s="132">
        <v>9523000</v>
      </c>
      <c r="E1214" s="133">
        <v>41826</v>
      </c>
      <c r="F1214" s="134" t="s">
        <v>2402</v>
      </c>
    </row>
    <row r="1215" spans="1:6">
      <c r="A1215" s="132">
        <v>9575000</v>
      </c>
      <c r="B1215" s="132">
        <v>9562000</v>
      </c>
      <c r="C1215" s="132">
        <v>9592000</v>
      </c>
      <c r="D1215" s="132">
        <v>9575000</v>
      </c>
      <c r="E1215" s="133">
        <v>41825</v>
      </c>
      <c r="F1215" s="134" t="s">
        <v>2403</v>
      </c>
    </row>
    <row r="1216" spans="1:6">
      <c r="A1216" s="132">
        <v>9655000</v>
      </c>
      <c r="B1216" s="132">
        <v>9648000</v>
      </c>
      <c r="C1216" s="132">
        <v>9682000</v>
      </c>
      <c r="D1216" s="132">
        <v>9655000</v>
      </c>
      <c r="E1216" s="133">
        <v>41816</v>
      </c>
      <c r="F1216" s="134" t="s">
        <v>2404</v>
      </c>
    </row>
    <row r="1217" spans="1:6">
      <c r="A1217" s="132">
        <v>9673000</v>
      </c>
      <c r="B1217" s="132">
        <v>9658000</v>
      </c>
      <c r="C1217" s="132">
        <v>9685000</v>
      </c>
      <c r="D1217" s="132">
        <v>9673000</v>
      </c>
      <c r="E1217" s="133">
        <v>41815</v>
      </c>
      <c r="F1217" s="134" t="s">
        <v>2405</v>
      </c>
    </row>
    <row r="1218" spans="1:6">
      <c r="A1218" s="132">
        <v>9692000</v>
      </c>
      <c r="B1218" s="132">
        <v>9648000</v>
      </c>
      <c r="C1218" s="132">
        <v>9762000</v>
      </c>
      <c r="D1218" s="132">
        <v>9692000</v>
      </c>
      <c r="E1218" s="133">
        <v>41814</v>
      </c>
      <c r="F1218" s="134" t="s">
        <v>2406</v>
      </c>
    </row>
    <row r="1219" spans="1:6">
      <c r="A1219" s="132">
        <v>9673000</v>
      </c>
      <c r="B1219" s="132">
        <v>9673000</v>
      </c>
      <c r="C1219" s="132">
        <v>9732000</v>
      </c>
      <c r="D1219" s="132">
        <v>9673000</v>
      </c>
      <c r="E1219" s="133">
        <v>41813</v>
      </c>
      <c r="F1219" s="134" t="s">
        <v>2407</v>
      </c>
    </row>
    <row r="1220" spans="1:6">
      <c r="A1220" s="132">
        <v>9730000</v>
      </c>
      <c r="B1220" s="132">
        <v>9705000</v>
      </c>
      <c r="C1220" s="132">
        <v>9780000</v>
      </c>
      <c r="D1220" s="132">
        <v>9730000</v>
      </c>
      <c r="E1220" s="133">
        <v>41812</v>
      </c>
      <c r="F1220" s="134" t="s">
        <v>2408</v>
      </c>
    </row>
    <row r="1221" spans="1:6">
      <c r="A1221" s="132">
        <v>9790000</v>
      </c>
      <c r="B1221" s="132">
        <v>9757000</v>
      </c>
      <c r="C1221" s="132">
        <v>9830000</v>
      </c>
      <c r="D1221" s="132">
        <v>9790000</v>
      </c>
      <c r="E1221" s="133">
        <v>41811</v>
      </c>
      <c r="F1221" s="134" t="s">
        <v>2409</v>
      </c>
    </row>
    <row r="1222" spans="1:6">
      <c r="A1222" s="132">
        <v>9530000</v>
      </c>
      <c r="B1222" s="132">
        <v>9487000</v>
      </c>
      <c r="C1222" s="132">
        <v>9538000</v>
      </c>
      <c r="D1222" s="132">
        <v>9530000</v>
      </c>
      <c r="E1222" s="133">
        <v>41809</v>
      </c>
      <c r="F1222" s="134" t="s">
        <v>2410</v>
      </c>
    </row>
    <row r="1223" spans="1:6">
      <c r="A1223" s="132">
        <v>9490000</v>
      </c>
      <c r="B1223" s="132">
        <v>9468000</v>
      </c>
      <c r="C1223" s="132">
        <v>9525000</v>
      </c>
      <c r="D1223" s="132">
        <v>9490000</v>
      </c>
      <c r="E1223" s="133">
        <v>41808</v>
      </c>
      <c r="F1223" s="134" t="s">
        <v>2411</v>
      </c>
    </row>
    <row r="1224" spans="1:6">
      <c r="A1224" s="132">
        <v>9480000</v>
      </c>
      <c r="B1224" s="132">
        <v>9415000</v>
      </c>
      <c r="C1224" s="132">
        <v>9510000</v>
      </c>
      <c r="D1224" s="132">
        <v>9480000</v>
      </c>
      <c r="E1224" s="133">
        <v>41807</v>
      </c>
      <c r="F1224" s="134" t="s">
        <v>2412</v>
      </c>
    </row>
    <row r="1225" spans="1:6">
      <c r="A1225" s="132">
        <v>9512000</v>
      </c>
      <c r="B1225" s="132">
        <v>9512000</v>
      </c>
      <c r="C1225" s="132">
        <v>9605000</v>
      </c>
      <c r="D1225" s="132">
        <v>9512000</v>
      </c>
      <c r="E1225" s="133">
        <v>41806</v>
      </c>
      <c r="F1225" s="134" t="s">
        <v>2413</v>
      </c>
    </row>
    <row r="1226" spans="1:6">
      <c r="A1226" s="132">
        <v>9610000</v>
      </c>
      <c r="B1226" s="132">
        <v>9557000</v>
      </c>
      <c r="C1226" s="132">
        <v>9622000</v>
      </c>
      <c r="D1226" s="132">
        <v>9610000</v>
      </c>
      <c r="E1226" s="133">
        <v>41805</v>
      </c>
      <c r="F1226" s="134" t="s">
        <v>2414</v>
      </c>
    </row>
    <row r="1227" spans="1:6">
      <c r="A1227" s="132">
        <v>9594000</v>
      </c>
      <c r="B1227" s="132">
        <v>9585000</v>
      </c>
      <c r="C1227" s="132">
        <v>9685000</v>
      </c>
      <c r="D1227" s="132">
        <v>9594000</v>
      </c>
      <c r="E1227" s="133">
        <v>41804</v>
      </c>
      <c r="F1227" s="134" t="s">
        <v>2415</v>
      </c>
    </row>
    <row r="1228" spans="1:6">
      <c r="A1228" s="132">
        <v>9600000</v>
      </c>
      <c r="B1228" s="132">
        <v>9538000</v>
      </c>
      <c r="C1228" s="132">
        <v>9607000</v>
      </c>
      <c r="D1228" s="132">
        <v>9600000</v>
      </c>
      <c r="E1228" s="133">
        <v>41802</v>
      </c>
      <c r="F1228" s="134" t="s">
        <v>2416</v>
      </c>
    </row>
    <row r="1229" spans="1:6">
      <c r="A1229" s="132">
        <v>9518000</v>
      </c>
      <c r="B1229" s="132">
        <v>9485000</v>
      </c>
      <c r="C1229" s="132">
        <v>9555000</v>
      </c>
      <c r="D1229" s="132">
        <v>9518000</v>
      </c>
      <c r="E1229" s="133">
        <v>41801</v>
      </c>
      <c r="F1229" s="134" t="s">
        <v>2417</v>
      </c>
    </row>
    <row r="1230" spans="1:6">
      <c r="A1230" s="132">
        <v>9410000</v>
      </c>
      <c r="B1230" s="132">
        <v>9358000</v>
      </c>
      <c r="C1230" s="132">
        <v>9410000</v>
      </c>
      <c r="D1230" s="132">
        <v>9410000</v>
      </c>
      <c r="E1230" s="133">
        <v>41800</v>
      </c>
      <c r="F1230" s="134" t="s">
        <v>2418</v>
      </c>
    </row>
    <row r="1231" spans="1:6">
      <c r="A1231" s="132">
        <v>9445000</v>
      </c>
      <c r="B1231" s="132">
        <v>9440000</v>
      </c>
      <c r="C1231" s="132">
        <v>9530000</v>
      </c>
      <c r="D1231" s="132">
        <v>9445000</v>
      </c>
      <c r="E1231" s="133">
        <v>41799</v>
      </c>
      <c r="F1231" s="134" t="s">
        <v>2419</v>
      </c>
    </row>
    <row r="1232" spans="1:6">
      <c r="A1232" s="132">
        <v>9470000</v>
      </c>
      <c r="B1232" s="132">
        <v>9420000</v>
      </c>
      <c r="C1232" s="132">
        <v>9470000</v>
      </c>
      <c r="D1232" s="132">
        <v>9470000</v>
      </c>
      <c r="E1232" s="133">
        <v>41798</v>
      </c>
      <c r="F1232" s="134" t="s">
        <v>2420</v>
      </c>
    </row>
    <row r="1233" spans="1:6">
      <c r="A1233" s="132">
        <v>9515000</v>
      </c>
      <c r="B1233" s="132">
        <v>9515000</v>
      </c>
      <c r="C1233" s="132">
        <v>9590000</v>
      </c>
      <c r="D1233" s="132">
        <v>9515000</v>
      </c>
      <c r="E1233" s="133">
        <v>41797</v>
      </c>
      <c r="F1233" s="134" t="s">
        <v>2421</v>
      </c>
    </row>
    <row r="1234" spans="1:6">
      <c r="A1234" s="132">
        <v>9570000</v>
      </c>
      <c r="B1234" s="132">
        <v>9565000</v>
      </c>
      <c r="C1234" s="132">
        <v>9610000</v>
      </c>
      <c r="D1234" s="132">
        <v>9570000</v>
      </c>
      <c r="E1234" s="133">
        <v>41793</v>
      </c>
      <c r="F1234" s="134" t="s">
        <v>2422</v>
      </c>
    </row>
    <row r="1235" spans="1:6">
      <c r="A1235" s="132">
        <v>9570000</v>
      </c>
      <c r="B1235" s="132">
        <v>9520000</v>
      </c>
      <c r="C1235" s="132">
        <v>9570000</v>
      </c>
      <c r="D1235" s="132">
        <v>9570000</v>
      </c>
      <c r="E1235" s="133">
        <v>41792</v>
      </c>
      <c r="F1235" s="134" t="s">
        <v>2423</v>
      </c>
    </row>
    <row r="1236" spans="1:6">
      <c r="A1236" s="132">
        <v>9580000</v>
      </c>
      <c r="B1236" s="132">
        <v>9575000</v>
      </c>
      <c r="C1236" s="132">
        <v>9620000</v>
      </c>
      <c r="D1236" s="132">
        <v>9580000</v>
      </c>
      <c r="E1236" s="133">
        <v>41791</v>
      </c>
      <c r="F1236" s="134" t="s">
        <v>2424</v>
      </c>
    </row>
    <row r="1237" spans="1:6">
      <c r="A1237" s="132">
        <v>9580000</v>
      </c>
      <c r="B1237" s="132">
        <v>9570000</v>
      </c>
      <c r="C1237" s="132">
        <v>9600000</v>
      </c>
      <c r="D1237" s="132">
        <v>9580000</v>
      </c>
      <c r="E1237" s="133">
        <v>41790</v>
      </c>
      <c r="F1237" s="134" t="s">
        <v>2425</v>
      </c>
    </row>
    <row r="1238" spans="1:6">
      <c r="A1238" s="132">
        <v>9620000</v>
      </c>
      <c r="B1238" s="132">
        <v>9560000</v>
      </c>
      <c r="C1238" s="132">
        <v>9640000</v>
      </c>
      <c r="D1238" s="132">
        <v>9620000</v>
      </c>
      <c r="E1238" s="133">
        <v>41788</v>
      </c>
      <c r="F1238" s="134" t="s">
        <v>2426</v>
      </c>
    </row>
    <row r="1239" spans="1:6">
      <c r="A1239" s="132">
        <v>9680000</v>
      </c>
      <c r="B1239" s="132">
        <v>9680000</v>
      </c>
      <c r="C1239" s="132">
        <v>9770000</v>
      </c>
      <c r="D1239" s="132">
        <v>9680000</v>
      </c>
      <c r="E1239" s="133">
        <v>41787</v>
      </c>
      <c r="F1239" s="134" t="s">
        <v>2427</v>
      </c>
    </row>
    <row r="1240" spans="1:6">
      <c r="A1240" s="132">
        <v>9760000</v>
      </c>
      <c r="B1240" s="132">
        <v>9760000</v>
      </c>
      <c r="C1240" s="132">
        <v>9850000</v>
      </c>
      <c r="D1240" s="132">
        <v>9760000</v>
      </c>
      <c r="E1240" s="133">
        <v>41786</v>
      </c>
      <c r="F1240" s="134" t="s">
        <v>2428</v>
      </c>
    </row>
    <row r="1241" spans="1:6">
      <c r="A1241" s="132">
        <v>9870000</v>
      </c>
      <c r="B1241" s="132">
        <v>9870000</v>
      </c>
      <c r="C1241" s="132">
        <v>9905000</v>
      </c>
      <c r="D1241" s="132">
        <v>9870000</v>
      </c>
      <c r="E1241" s="133">
        <v>41785</v>
      </c>
      <c r="F1241" s="134" t="s">
        <v>2429</v>
      </c>
    </row>
    <row r="1242" spans="1:6">
      <c r="A1242" s="132">
        <v>9875000</v>
      </c>
      <c r="B1242" s="132">
        <v>9870000</v>
      </c>
      <c r="C1242" s="132">
        <v>9880000</v>
      </c>
      <c r="D1242" s="132">
        <v>9875000</v>
      </c>
      <c r="E1242" s="133">
        <v>41784</v>
      </c>
      <c r="F1242" s="134" t="s">
        <v>2430</v>
      </c>
    </row>
    <row r="1243" spans="1:6">
      <c r="A1243" s="132">
        <v>9880000</v>
      </c>
      <c r="B1243" s="132">
        <v>9880000</v>
      </c>
      <c r="C1243" s="132">
        <v>9935000</v>
      </c>
      <c r="D1243" s="132">
        <v>9880000</v>
      </c>
      <c r="E1243" s="133">
        <v>41780</v>
      </c>
      <c r="F1243" s="134" t="s">
        <v>2431</v>
      </c>
    </row>
    <row r="1244" spans="1:6">
      <c r="A1244" s="132">
        <v>9875000</v>
      </c>
      <c r="B1244" s="132">
        <v>9855000</v>
      </c>
      <c r="C1244" s="132">
        <v>9880000</v>
      </c>
      <c r="D1244" s="132">
        <v>9875000</v>
      </c>
      <c r="E1244" s="133">
        <v>41783</v>
      </c>
      <c r="F1244" s="134" t="s">
        <v>2432</v>
      </c>
    </row>
    <row r="1245" spans="1:6">
      <c r="A1245" s="132">
        <v>9885000</v>
      </c>
      <c r="B1245" s="132">
        <v>9850000</v>
      </c>
      <c r="C1245" s="132">
        <v>9920000</v>
      </c>
      <c r="D1245" s="132">
        <v>9885000</v>
      </c>
      <c r="E1245" s="133">
        <v>41779</v>
      </c>
      <c r="F1245" s="134" t="s">
        <v>2433</v>
      </c>
    </row>
    <row r="1246" spans="1:6">
      <c r="A1246" s="132">
        <v>9930000</v>
      </c>
      <c r="B1246" s="132">
        <v>9910000</v>
      </c>
      <c r="C1246" s="132">
        <v>9940000</v>
      </c>
      <c r="D1246" s="132">
        <v>9930000</v>
      </c>
      <c r="E1246" s="133">
        <v>41778</v>
      </c>
      <c r="F1246" s="134" t="s">
        <v>2434</v>
      </c>
    </row>
    <row r="1247" spans="1:6">
      <c r="A1247" s="132">
        <v>9900000</v>
      </c>
      <c r="B1247" s="132">
        <v>9860000</v>
      </c>
      <c r="C1247" s="132">
        <v>9900000</v>
      </c>
      <c r="D1247" s="132">
        <v>9900000</v>
      </c>
      <c r="E1247" s="133">
        <v>41781</v>
      </c>
      <c r="F1247" s="134" t="s">
        <v>2435</v>
      </c>
    </row>
    <row r="1248" spans="1:6">
      <c r="A1248" s="132">
        <v>9845000</v>
      </c>
      <c r="B1248" s="132">
        <v>9835000</v>
      </c>
      <c r="C1248" s="132">
        <v>9930000</v>
      </c>
      <c r="D1248" s="132">
        <v>9845000</v>
      </c>
      <c r="E1248" s="133">
        <v>41777</v>
      </c>
      <c r="F1248" s="134" t="s">
        <v>2436</v>
      </c>
    </row>
    <row r="1249" spans="1:6">
      <c r="A1249" s="132">
        <v>9920000</v>
      </c>
      <c r="B1249" s="132">
        <v>9920000</v>
      </c>
      <c r="C1249" s="132">
        <v>9990000</v>
      </c>
      <c r="D1249" s="132">
        <v>9920000</v>
      </c>
      <c r="E1249" s="133">
        <v>41776</v>
      </c>
      <c r="F1249" s="134" t="s">
        <v>2437</v>
      </c>
    </row>
    <row r="1250" spans="1:6">
      <c r="A1250" s="132">
        <v>9860000</v>
      </c>
      <c r="B1250" s="132">
        <v>9860000</v>
      </c>
      <c r="C1250" s="132">
        <v>9860000</v>
      </c>
      <c r="D1250" s="132">
        <v>9860000</v>
      </c>
      <c r="E1250" s="133">
        <v>41775</v>
      </c>
      <c r="F1250" s="134" t="s">
        <v>2438</v>
      </c>
    </row>
    <row r="1251" spans="1:6">
      <c r="A1251" s="132">
        <v>9860000</v>
      </c>
      <c r="B1251" s="132">
        <v>9830000</v>
      </c>
      <c r="C1251" s="132">
        <v>9890000</v>
      </c>
      <c r="D1251" s="132">
        <v>9860000</v>
      </c>
      <c r="E1251" s="133">
        <v>41774</v>
      </c>
      <c r="F1251" s="134" t="s">
        <v>2439</v>
      </c>
    </row>
    <row r="1252" spans="1:6">
      <c r="A1252" s="132">
        <v>9900000</v>
      </c>
      <c r="B1252" s="132">
        <v>9780000</v>
      </c>
      <c r="C1252" s="132">
        <v>9930000</v>
      </c>
      <c r="D1252" s="132">
        <v>9900000</v>
      </c>
      <c r="E1252" s="133">
        <v>41773</v>
      </c>
      <c r="F1252" s="134" t="s">
        <v>2440</v>
      </c>
    </row>
    <row r="1253" spans="1:6">
      <c r="A1253" s="132">
        <v>9810000</v>
      </c>
      <c r="B1253" s="132">
        <v>9810000</v>
      </c>
      <c r="C1253" s="132">
        <v>9810000</v>
      </c>
      <c r="D1253" s="132">
        <v>9810000</v>
      </c>
      <c r="E1253" s="133">
        <v>41772</v>
      </c>
      <c r="F1253" s="134" t="s">
        <v>2441</v>
      </c>
    </row>
    <row r="1254" spans="1:6">
      <c r="A1254" s="132">
        <v>9810000</v>
      </c>
      <c r="B1254" s="132">
        <v>9685000</v>
      </c>
      <c r="C1254" s="132">
        <v>9850000</v>
      </c>
      <c r="D1254" s="132">
        <v>9810000</v>
      </c>
      <c r="E1254" s="133">
        <v>41771</v>
      </c>
      <c r="F1254" s="134" t="s">
        <v>2442</v>
      </c>
    </row>
    <row r="1255" spans="1:6">
      <c r="A1255" s="132">
        <v>9690000</v>
      </c>
      <c r="B1255" s="132">
        <v>9670000</v>
      </c>
      <c r="C1255" s="132">
        <v>9770000</v>
      </c>
      <c r="D1255" s="132">
        <v>9690000</v>
      </c>
      <c r="E1255" s="133">
        <v>41770</v>
      </c>
      <c r="F1255" s="134" t="s">
        <v>2443</v>
      </c>
    </row>
    <row r="1256" spans="1:6">
      <c r="A1256" s="132">
        <v>9800000</v>
      </c>
      <c r="B1256" s="132">
        <v>9770000</v>
      </c>
      <c r="C1256" s="132">
        <v>9910000</v>
      </c>
      <c r="D1256" s="132">
        <v>9800000</v>
      </c>
      <c r="E1256" s="133">
        <v>41769</v>
      </c>
      <c r="F1256" s="134" t="s">
        <v>2444</v>
      </c>
    </row>
    <row r="1257" spans="1:6">
      <c r="A1257" s="132">
        <v>9910000</v>
      </c>
      <c r="B1257" s="132">
        <v>9910000</v>
      </c>
      <c r="C1257" s="132">
        <v>9910000</v>
      </c>
      <c r="D1257" s="132">
        <v>9910000</v>
      </c>
      <c r="E1257" s="133">
        <v>41768</v>
      </c>
      <c r="F1257" s="134" t="s">
        <v>2445</v>
      </c>
    </row>
    <row r="1258" spans="1:6">
      <c r="A1258" s="132">
        <v>9910000</v>
      </c>
      <c r="B1258" s="132">
        <v>9910000</v>
      </c>
      <c r="C1258" s="132">
        <v>9990000</v>
      </c>
      <c r="D1258" s="132">
        <v>9910000</v>
      </c>
      <c r="E1258" s="133">
        <v>41767</v>
      </c>
      <c r="F1258" s="134" t="s">
        <v>2446</v>
      </c>
    </row>
    <row r="1259" spans="1:6">
      <c r="A1259" s="132">
        <v>10040000</v>
      </c>
      <c r="B1259" s="132">
        <v>10037000</v>
      </c>
      <c r="C1259" s="132">
        <v>10130000</v>
      </c>
      <c r="D1259" s="132">
        <v>10040000</v>
      </c>
      <c r="E1259" s="133">
        <v>41766</v>
      </c>
      <c r="F1259" s="134" t="s">
        <v>2447</v>
      </c>
    </row>
    <row r="1260" spans="1:6">
      <c r="A1260" s="132">
        <v>10110000</v>
      </c>
      <c r="B1260" s="132">
        <v>10110000</v>
      </c>
      <c r="C1260" s="132">
        <v>10190000</v>
      </c>
      <c r="D1260" s="132">
        <v>10110000</v>
      </c>
      <c r="E1260" s="133">
        <v>41765</v>
      </c>
      <c r="F1260" s="134" t="s">
        <v>2448</v>
      </c>
    </row>
    <row r="1261" spans="1:6">
      <c r="A1261" s="132">
        <v>10190000</v>
      </c>
      <c r="B1261" s="132">
        <v>10130000</v>
      </c>
      <c r="C1261" s="132">
        <v>10195000</v>
      </c>
      <c r="D1261" s="132">
        <v>10190000</v>
      </c>
      <c r="E1261" s="133">
        <v>41764</v>
      </c>
      <c r="F1261" s="134" t="s">
        <v>2449</v>
      </c>
    </row>
    <row r="1262" spans="1:6">
      <c r="A1262" s="132">
        <v>10130000</v>
      </c>
      <c r="B1262" s="132">
        <v>10130000</v>
      </c>
      <c r="C1262" s="132">
        <v>10240000</v>
      </c>
      <c r="D1262" s="132">
        <v>10130000</v>
      </c>
      <c r="E1262" s="133">
        <v>41763</v>
      </c>
      <c r="F1262" s="134" t="s">
        <v>2450</v>
      </c>
    </row>
    <row r="1263" spans="1:6">
      <c r="A1263" s="132">
        <v>10220000</v>
      </c>
      <c r="B1263" s="132">
        <v>10200000</v>
      </c>
      <c r="C1263" s="132">
        <v>10300000</v>
      </c>
      <c r="D1263" s="132">
        <v>10220000</v>
      </c>
      <c r="E1263" s="133">
        <v>41762</v>
      </c>
      <c r="F1263" s="134" t="s">
        <v>2451</v>
      </c>
    </row>
    <row r="1264" spans="1:6">
      <c r="A1264" s="132">
        <v>10130000</v>
      </c>
      <c r="B1264" s="132">
        <v>10120000</v>
      </c>
      <c r="C1264" s="132">
        <v>10130000</v>
      </c>
      <c r="D1264" s="132">
        <v>10130000</v>
      </c>
      <c r="E1264" s="133">
        <v>41761</v>
      </c>
      <c r="F1264" s="134" t="s">
        <v>2452</v>
      </c>
    </row>
    <row r="1265" spans="1:6">
      <c r="A1265" s="132">
        <v>10120000</v>
      </c>
      <c r="B1265" s="132">
        <v>10085000</v>
      </c>
      <c r="C1265" s="132">
        <v>10130000</v>
      </c>
      <c r="D1265" s="132">
        <v>10120000</v>
      </c>
      <c r="E1265" s="133">
        <v>41760</v>
      </c>
      <c r="F1265" s="134" t="s">
        <v>2453</v>
      </c>
    </row>
    <row r="1266" spans="1:6">
      <c r="A1266" s="132">
        <v>10110000</v>
      </c>
      <c r="B1266" s="132">
        <v>10090000</v>
      </c>
      <c r="C1266" s="132">
        <v>10210000</v>
      </c>
      <c r="D1266" s="132">
        <v>10110000</v>
      </c>
      <c r="E1266" s="133">
        <v>41759</v>
      </c>
      <c r="F1266" s="134" t="s">
        <v>2454</v>
      </c>
    </row>
    <row r="1267" spans="1:6">
      <c r="A1267" s="132">
        <v>10160000</v>
      </c>
      <c r="B1267" s="132">
        <v>10090000</v>
      </c>
      <c r="C1267" s="132">
        <v>10180000</v>
      </c>
      <c r="D1267" s="132">
        <v>10160000</v>
      </c>
      <c r="E1267" s="133">
        <v>41758</v>
      </c>
      <c r="F1267" s="134" t="s">
        <v>2455</v>
      </c>
    </row>
    <row r="1268" spans="1:6">
      <c r="A1268" s="132">
        <v>10450000</v>
      </c>
      <c r="B1268" s="132">
        <v>10164000</v>
      </c>
      <c r="C1268" s="132">
        <v>10450000</v>
      </c>
      <c r="D1268" s="132">
        <v>10185000</v>
      </c>
      <c r="E1268" s="133">
        <v>41757</v>
      </c>
      <c r="F1268" s="134" t="s">
        <v>2456</v>
      </c>
    </row>
    <row r="1269" spans="1:6">
      <c r="A1269" s="132">
        <v>10150000</v>
      </c>
      <c r="B1269" s="132">
        <v>10115000</v>
      </c>
      <c r="C1269" s="132">
        <v>10460000</v>
      </c>
      <c r="D1269" s="132">
        <v>10455000</v>
      </c>
      <c r="E1269" s="133">
        <v>41756</v>
      </c>
      <c r="F1269" s="134" t="s">
        <v>2457</v>
      </c>
    </row>
    <row r="1270" spans="1:6">
      <c r="A1270" s="132">
        <v>9955000</v>
      </c>
      <c r="B1270" s="132">
        <v>9945000</v>
      </c>
      <c r="C1270" s="132">
        <v>10150000</v>
      </c>
      <c r="D1270" s="132">
        <v>10140000</v>
      </c>
      <c r="E1270" s="133">
        <v>41755</v>
      </c>
      <c r="F1270" s="134" t="s">
        <v>2458</v>
      </c>
    </row>
    <row r="1271" spans="1:6">
      <c r="A1271" s="132">
        <v>9940000</v>
      </c>
      <c r="B1271" s="132">
        <v>9935000</v>
      </c>
      <c r="C1271" s="132">
        <v>9970000</v>
      </c>
      <c r="D1271" s="132">
        <v>9960000</v>
      </c>
      <c r="E1271" s="133">
        <v>41754</v>
      </c>
      <c r="F1271" s="134" t="s">
        <v>2459</v>
      </c>
    </row>
    <row r="1272" spans="1:6">
      <c r="A1272" s="132">
        <v>9955000</v>
      </c>
      <c r="B1272" s="132">
        <v>9853000</v>
      </c>
      <c r="C1272" s="132">
        <v>9965000</v>
      </c>
      <c r="D1272" s="132">
        <v>9950000</v>
      </c>
      <c r="E1272" s="133">
        <v>41753</v>
      </c>
      <c r="F1272" s="134" t="s">
        <v>2460</v>
      </c>
    </row>
    <row r="1273" spans="1:6">
      <c r="A1273" s="132">
        <v>10020000</v>
      </c>
      <c r="B1273" s="132">
        <v>9910000</v>
      </c>
      <c r="C1273" s="132">
        <v>10080000</v>
      </c>
      <c r="D1273" s="132">
        <v>9910000</v>
      </c>
      <c r="E1273" s="133">
        <v>41752</v>
      </c>
      <c r="F1273" s="134" t="s">
        <v>2461</v>
      </c>
    </row>
    <row r="1274" spans="1:6">
      <c r="A1274" s="132">
        <v>9845000</v>
      </c>
      <c r="B1274" s="132">
        <v>9844000</v>
      </c>
      <c r="C1274" s="132">
        <v>10000000</v>
      </c>
      <c r="D1274" s="132">
        <v>10000000</v>
      </c>
      <c r="E1274" s="133">
        <v>41751</v>
      </c>
      <c r="F1274" s="134" t="s">
        <v>2462</v>
      </c>
    </row>
    <row r="1275" spans="1:6">
      <c r="A1275" s="132">
        <v>9770000</v>
      </c>
      <c r="B1275" s="132">
        <v>9725000</v>
      </c>
      <c r="C1275" s="132">
        <v>9857000</v>
      </c>
      <c r="D1275" s="132">
        <v>9855000</v>
      </c>
      <c r="E1275" s="133">
        <v>41750</v>
      </c>
      <c r="F1275" s="134" t="s">
        <v>2463</v>
      </c>
    </row>
    <row r="1276" spans="1:6">
      <c r="A1276" s="132">
        <v>9780000</v>
      </c>
      <c r="B1276" s="132">
        <v>9778000</v>
      </c>
      <c r="C1276" s="132">
        <v>9820000</v>
      </c>
      <c r="D1276" s="132">
        <v>9800000</v>
      </c>
      <c r="E1276" s="133">
        <v>41749</v>
      </c>
      <c r="F1276" s="134" t="s">
        <v>2464</v>
      </c>
    </row>
    <row r="1277" spans="1:6">
      <c r="A1277" s="132">
        <v>9765000</v>
      </c>
      <c r="B1277" s="132">
        <v>9765000</v>
      </c>
      <c r="C1277" s="132">
        <v>9820000</v>
      </c>
      <c r="D1277" s="132">
        <v>9790000</v>
      </c>
      <c r="E1277" s="133">
        <v>41748</v>
      </c>
      <c r="F1277" s="134" t="s">
        <v>2465</v>
      </c>
    </row>
    <row r="1278" spans="1:6">
      <c r="A1278" s="132">
        <v>9760000</v>
      </c>
      <c r="B1278" s="132">
        <v>9760000</v>
      </c>
      <c r="C1278" s="132">
        <v>9770000</v>
      </c>
      <c r="D1278" s="132">
        <v>9765000</v>
      </c>
      <c r="E1278" s="133">
        <v>41747</v>
      </c>
      <c r="F1278" s="134" t="s">
        <v>2466</v>
      </c>
    </row>
    <row r="1279" spans="1:6">
      <c r="A1279" s="132">
        <v>9750000</v>
      </c>
      <c r="B1279" s="132">
        <v>9738000</v>
      </c>
      <c r="C1279" s="132">
        <v>9780000</v>
      </c>
      <c r="D1279" s="132">
        <v>9765000</v>
      </c>
      <c r="E1279" s="133">
        <v>41746</v>
      </c>
      <c r="F1279" s="134" t="s">
        <v>2467</v>
      </c>
    </row>
    <row r="1280" spans="1:6">
      <c r="A1280" s="132">
        <v>9820000</v>
      </c>
      <c r="B1280" s="132">
        <v>9760000</v>
      </c>
      <c r="C1280" s="132">
        <v>9845000</v>
      </c>
      <c r="D1280" s="132">
        <v>9760000</v>
      </c>
      <c r="E1280" s="133">
        <v>41745</v>
      </c>
      <c r="F1280" s="134" t="s">
        <v>2468</v>
      </c>
    </row>
    <row r="1281" spans="1:6">
      <c r="A1281" s="132">
        <v>9850000</v>
      </c>
      <c r="B1281" s="132">
        <v>9783000</v>
      </c>
      <c r="C1281" s="132">
        <v>9850000</v>
      </c>
      <c r="D1281" s="132">
        <v>9835000</v>
      </c>
      <c r="E1281" s="133">
        <v>41744</v>
      </c>
      <c r="F1281" s="134" t="s">
        <v>2469</v>
      </c>
    </row>
    <row r="1282" spans="1:6">
      <c r="A1282" s="132">
        <v>9825000</v>
      </c>
      <c r="B1282" s="132">
        <v>9808000</v>
      </c>
      <c r="C1282" s="132">
        <v>9900000</v>
      </c>
      <c r="D1282" s="132">
        <v>9880000</v>
      </c>
      <c r="E1282" s="133">
        <v>41743</v>
      </c>
      <c r="F1282" s="134" t="s">
        <v>2470</v>
      </c>
    </row>
    <row r="1283" spans="1:6">
      <c r="A1283" s="132">
        <v>9770000</v>
      </c>
      <c r="B1283" s="132">
        <v>9728000</v>
      </c>
      <c r="C1283" s="132">
        <v>9790000</v>
      </c>
      <c r="D1283" s="132">
        <v>9780000</v>
      </c>
      <c r="E1283" s="133">
        <v>41742</v>
      </c>
      <c r="F1283" s="134" t="s">
        <v>2471</v>
      </c>
    </row>
    <row r="1284" spans="1:6">
      <c r="A1284" s="132">
        <v>9670000</v>
      </c>
      <c r="B1284" s="132">
        <v>9638000</v>
      </c>
      <c r="C1284" s="132">
        <v>9750000</v>
      </c>
      <c r="D1284" s="132">
        <v>9750000</v>
      </c>
      <c r="E1284" s="133">
        <v>41741</v>
      </c>
      <c r="F1284" s="134" t="s">
        <v>2472</v>
      </c>
    </row>
    <row r="1285" spans="1:6">
      <c r="A1285" s="132">
        <v>9685000</v>
      </c>
      <c r="B1285" s="132">
        <v>9672000</v>
      </c>
      <c r="C1285" s="132">
        <v>9704000</v>
      </c>
      <c r="D1285" s="132">
        <v>9675000</v>
      </c>
      <c r="E1285" s="133">
        <v>41740</v>
      </c>
      <c r="F1285" s="134" t="s">
        <v>2473</v>
      </c>
    </row>
    <row r="1286" spans="1:6">
      <c r="A1286" s="132">
        <v>9650000</v>
      </c>
      <c r="B1286" s="132">
        <v>9638000</v>
      </c>
      <c r="C1286" s="132">
        <v>9703000</v>
      </c>
      <c r="D1286" s="132">
        <v>9683000</v>
      </c>
      <c r="E1286" s="133">
        <v>41739</v>
      </c>
      <c r="F1286" s="134" t="s">
        <v>2474</v>
      </c>
    </row>
    <row r="1287" spans="1:6">
      <c r="A1287" s="132">
        <v>9700000</v>
      </c>
      <c r="B1287" s="132">
        <v>9595000</v>
      </c>
      <c r="C1287" s="132">
        <v>9770000</v>
      </c>
      <c r="D1287" s="132">
        <v>9640000</v>
      </c>
      <c r="E1287" s="133">
        <v>41738</v>
      </c>
      <c r="F1287" s="134" t="s">
        <v>2475</v>
      </c>
    </row>
    <row r="1288" spans="1:6">
      <c r="A1288" s="132">
        <v>9475000</v>
      </c>
      <c r="B1288" s="132">
        <v>9470000</v>
      </c>
      <c r="C1288" s="132">
        <v>9658000</v>
      </c>
      <c r="D1288" s="132">
        <v>9658000</v>
      </c>
      <c r="E1288" s="133">
        <v>41737</v>
      </c>
      <c r="F1288" s="134" t="s">
        <v>2476</v>
      </c>
    </row>
    <row r="1289" spans="1:6">
      <c r="A1289" s="132">
        <v>9420000</v>
      </c>
      <c r="B1289" s="132">
        <v>9400000</v>
      </c>
      <c r="C1289" s="132">
        <v>9475000</v>
      </c>
      <c r="D1289" s="132">
        <v>9460000</v>
      </c>
      <c r="E1289" s="133">
        <v>41736</v>
      </c>
      <c r="F1289" s="134" t="s">
        <v>2477</v>
      </c>
    </row>
    <row r="1290" spans="1:6">
      <c r="A1290" s="132">
        <v>9458000</v>
      </c>
      <c r="B1290" s="132">
        <v>9413000</v>
      </c>
      <c r="C1290" s="132">
        <v>9460000</v>
      </c>
      <c r="D1290" s="132">
        <v>9440000</v>
      </c>
      <c r="E1290" s="133">
        <v>41735</v>
      </c>
      <c r="F1290" s="134" t="s">
        <v>2478</v>
      </c>
    </row>
    <row r="1291" spans="1:6">
      <c r="A1291" s="132">
        <v>9470000</v>
      </c>
      <c r="B1291" s="132">
        <v>9455000</v>
      </c>
      <c r="C1291" s="132">
        <v>9500000</v>
      </c>
      <c r="D1291" s="132">
        <v>9462000</v>
      </c>
      <c r="E1291" s="133">
        <v>41734</v>
      </c>
      <c r="F1291" s="134" t="s">
        <v>2479</v>
      </c>
    </row>
    <row r="1292" spans="1:6">
      <c r="A1292" s="132">
        <v>9430000</v>
      </c>
      <c r="B1292" s="132">
        <v>9430000</v>
      </c>
      <c r="C1292" s="132">
        <v>9445000</v>
      </c>
      <c r="D1292" s="132">
        <v>9445000</v>
      </c>
      <c r="E1292" s="133">
        <v>41733</v>
      </c>
      <c r="F1292" s="134" t="s">
        <v>2480</v>
      </c>
    </row>
    <row r="1293" spans="1:6">
      <c r="A1293" s="132">
        <v>9420000</v>
      </c>
      <c r="B1293" s="132">
        <v>9410000</v>
      </c>
      <c r="C1293" s="132">
        <v>9425000</v>
      </c>
      <c r="D1293" s="132">
        <v>9410000</v>
      </c>
      <c r="E1293" s="133">
        <v>41730</v>
      </c>
      <c r="F1293" s="134" t="s">
        <v>2481</v>
      </c>
    </row>
    <row r="1294" spans="1:6">
      <c r="A1294" s="132">
        <v>9450000</v>
      </c>
      <c r="B1294" s="132">
        <v>9430000</v>
      </c>
      <c r="C1294" s="132">
        <v>9450000</v>
      </c>
      <c r="D1294" s="132">
        <v>9430000</v>
      </c>
      <c r="E1294" s="133">
        <v>41729</v>
      </c>
      <c r="F1294" s="134" t="s">
        <v>2482</v>
      </c>
    </row>
    <row r="1295" spans="1:6">
      <c r="A1295" s="132">
        <v>9440000</v>
      </c>
      <c r="B1295" s="132">
        <v>9440000</v>
      </c>
      <c r="C1295" s="132">
        <v>9450000</v>
      </c>
      <c r="D1295" s="132">
        <v>9440000</v>
      </c>
      <c r="E1295" s="133">
        <v>41728</v>
      </c>
      <c r="F1295" s="134" t="s">
        <v>2483</v>
      </c>
    </row>
    <row r="1296" spans="1:6">
      <c r="A1296" s="132">
        <v>9480000</v>
      </c>
      <c r="B1296" s="132">
        <v>9450000</v>
      </c>
      <c r="C1296" s="132">
        <v>9480000</v>
      </c>
      <c r="D1296" s="132">
        <v>9450000</v>
      </c>
      <c r="E1296" s="133">
        <v>41727</v>
      </c>
      <c r="F1296" s="134" t="s">
        <v>2484</v>
      </c>
    </row>
    <row r="1297" spans="1:6">
      <c r="A1297" s="132">
        <v>9500000</v>
      </c>
      <c r="B1297" s="132">
        <v>9500000</v>
      </c>
      <c r="C1297" s="132">
        <v>9500000</v>
      </c>
      <c r="D1297" s="132">
        <v>9500000</v>
      </c>
      <c r="E1297" s="133">
        <v>41726</v>
      </c>
      <c r="F1297" s="134" t="s">
        <v>2485</v>
      </c>
    </row>
    <row r="1298" spans="1:6">
      <c r="A1298" s="132">
        <v>9520000</v>
      </c>
      <c r="B1298" s="132">
        <v>9520000</v>
      </c>
      <c r="C1298" s="132">
        <v>9520000</v>
      </c>
      <c r="D1298" s="132">
        <v>9520000</v>
      </c>
      <c r="E1298" s="133">
        <v>41725</v>
      </c>
      <c r="F1298" s="134" t="s">
        <v>2486</v>
      </c>
    </row>
    <row r="1299" spans="1:6">
      <c r="A1299" s="132">
        <v>9530000</v>
      </c>
      <c r="B1299" s="132">
        <v>9510000</v>
      </c>
      <c r="C1299" s="132">
        <v>9540000</v>
      </c>
      <c r="D1299" s="132">
        <v>9510000</v>
      </c>
      <c r="E1299" s="133">
        <v>41724</v>
      </c>
      <c r="F1299" s="134" t="s">
        <v>2487</v>
      </c>
    </row>
    <row r="1300" spans="1:6">
      <c r="A1300" s="132">
        <v>9500000</v>
      </c>
      <c r="B1300" s="132">
        <v>9500000</v>
      </c>
      <c r="C1300" s="132">
        <v>9550000</v>
      </c>
      <c r="D1300" s="132">
        <v>9520000</v>
      </c>
      <c r="E1300" s="133">
        <v>41723</v>
      </c>
      <c r="F1300" s="134" t="s">
        <v>2488</v>
      </c>
    </row>
    <row r="1301" spans="1:6">
      <c r="A1301" s="132">
        <v>9530000</v>
      </c>
      <c r="B1301" s="132">
        <v>9480000</v>
      </c>
      <c r="C1301" s="132">
        <v>9530000</v>
      </c>
      <c r="D1301" s="132">
        <v>9480000</v>
      </c>
      <c r="E1301" s="133">
        <v>41722</v>
      </c>
      <c r="F1301" s="134" t="s">
        <v>2489</v>
      </c>
    </row>
    <row r="1302" spans="1:6">
      <c r="A1302" s="132">
        <v>9570000</v>
      </c>
      <c r="B1302" s="132">
        <v>9550000</v>
      </c>
      <c r="C1302" s="132">
        <v>9570000</v>
      </c>
      <c r="D1302" s="132">
        <v>9550000</v>
      </c>
      <c r="E1302" s="133">
        <v>41719</v>
      </c>
      <c r="F1302" s="134" t="s">
        <v>2490</v>
      </c>
    </row>
    <row r="1303" spans="1:6">
      <c r="A1303" s="132">
        <v>9530000</v>
      </c>
      <c r="B1303" s="132">
        <v>9510000</v>
      </c>
      <c r="C1303" s="132">
        <v>9550000</v>
      </c>
      <c r="D1303" s="132">
        <v>9530000</v>
      </c>
      <c r="E1303" s="133">
        <v>41718</v>
      </c>
      <c r="F1303" s="134" t="s">
        <v>2491</v>
      </c>
    </row>
    <row r="1304" spans="1:6">
      <c r="A1304" s="132">
        <v>9520000</v>
      </c>
      <c r="B1304" s="132">
        <v>9500000</v>
      </c>
      <c r="C1304" s="132">
        <v>9543000</v>
      </c>
      <c r="D1304" s="132">
        <v>9500000</v>
      </c>
      <c r="E1304" s="133">
        <v>41717</v>
      </c>
      <c r="F1304" s="134" t="s">
        <v>2492</v>
      </c>
    </row>
    <row r="1305" spans="1:6">
      <c r="A1305" s="132">
        <v>9630000</v>
      </c>
      <c r="B1305" s="132">
        <v>9535000</v>
      </c>
      <c r="C1305" s="132">
        <v>9630000</v>
      </c>
      <c r="D1305" s="132">
        <v>9535000</v>
      </c>
      <c r="E1305" s="133">
        <v>41716</v>
      </c>
      <c r="F1305" s="134" t="s">
        <v>2493</v>
      </c>
    </row>
    <row r="1306" spans="1:6">
      <c r="A1306" s="132">
        <v>9810000</v>
      </c>
      <c r="B1306" s="132">
        <v>9650000</v>
      </c>
      <c r="C1306" s="132">
        <v>9820000</v>
      </c>
      <c r="D1306" s="132">
        <v>9660000</v>
      </c>
      <c r="E1306" s="133">
        <v>41715</v>
      </c>
      <c r="F1306" s="134" t="s">
        <v>2494</v>
      </c>
    </row>
    <row r="1307" spans="1:6">
      <c r="A1307" s="132">
        <v>9760000</v>
      </c>
      <c r="B1307" s="132">
        <v>9735000</v>
      </c>
      <c r="C1307" s="132">
        <v>9820000</v>
      </c>
      <c r="D1307" s="132">
        <v>9820000</v>
      </c>
      <c r="E1307" s="133">
        <v>41714</v>
      </c>
      <c r="F1307" s="134" t="s">
        <v>2495</v>
      </c>
    </row>
    <row r="1308" spans="1:6">
      <c r="A1308" s="132">
        <v>9880000</v>
      </c>
      <c r="B1308" s="132">
        <v>9760000</v>
      </c>
      <c r="C1308" s="132">
        <v>9885000</v>
      </c>
      <c r="D1308" s="132">
        <v>9775000</v>
      </c>
      <c r="E1308" s="133">
        <v>41713</v>
      </c>
      <c r="F1308" s="134" t="s">
        <v>2496</v>
      </c>
    </row>
    <row r="1309" spans="1:6">
      <c r="A1309" s="132">
        <v>9790000</v>
      </c>
      <c r="B1309" s="132">
        <v>9783000</v>
      </c>
      <c r="C1309" s="132">
        <v>9850000</v>
      </c>
      <c r="D1309" s="132">
        <v>9850000</v>
      </c>
      <c r="E1309" s="133">
        <v>41712</v>
      </c>
      <c r="F1309" s="134" t="s">
        <v>2497</v>
      </c>
    </row>
    <row r="1310" spans="1:6">
      <c r="A1310" s="132">
        <v>9770000</v>
      </c>
      <c r="B1310" s="132">
        <v>9760000</v>
      </c>
      <c r="C1310" s="132">
        <v>9810000</v>
      </c>
      <c r="D1310" s="132">
        <v>9805000</v>
      </c>
      <c r="E1310" s="133">
        <v>41711</v>
      </c>
      <c r="F1310" s="134" t="s">
        <v>2498</v>
      </c>
    </row>
    <row r="1311" spans="1:6">
      <c r="A1311" s="132">
        <v>9880000</v>
      </c>
      <c r="B1311" s="132">
        <v>9740000</v>
      </c>
      <c r="C1311" s="132">
        <v>9895000</v>
      </c>
      <c r="D1311" s="132">
        <v>9775000</v>
      </c>
      <c r="E1311" s="133">
        <v>41710</v>
      </c>
      <c r="F1311" s="134" t="s">
        <v>2499</v>
      </c>
    </row>
    <row r="1312" spans="1:6">
      <c r="A1312" s="132">
        <v>9800000</v>
      </c>
      <c r="B1312" s="132">
        <v>9730000</v>
      </c>
      <c r="C1312" s="132">
        <v>9890000</v>
      </c>
      <c r="D1312" s="132">
        <v>9787000</v>
      </c>
      <c r="E1312" s="133">
        <v>41709</v>
      </c>
      <c r="F1312" s="134" t="s">
        <v>2500</v>
      </c>
    </row>
    <row r="1313" spans="1:6">
      <c r="A1313" s="132">
        <v>9700000</v>
      </c>
      <c r="B1313" s="132">
        <v>9645000</v>
      </c>
      <c r="C1313" s="132">
        <v>9788000</v>
      </c>
      <c r="D1313" s="132">
        <v>9770000</v>
      </c>
      <c r="E1313" s="133">
        <v>41708</v>
      </c>
      <c r="F1313" s="134" t="s">
        <v>2501</v>
      </c>
    </row>
    <row r="1314" spans="1:6">
      <c r="A1314" s="132">
        <v>9560000</v>
      </c>
      <c r="B1314" s="132">
        <v>9520000</v>
      </c>
      <c r="C1314" s="132">
        <v>9732000</v>
      </c>
      <c r="D1314" s="132">
        <v>9710000</v>
      </c>
      <c r="E1314" s="133">
        <v>41707</v>
      </c>
      <c r="F1314" s="134" t="s">
        <v>2502</v>
      </c>
    </row>
    <row r="1315" spans="1:6">
      <c r="A1315" s="132">
        <v>9735000</v>
      </c>
      <c r="B1315" s="132">
        <v>9550000</v>
      </c>
      <c r="C1315" s="132">
        <v>9748000</v>
      </c>
      <c r="D1315" s="132">
        <v>9550000</v>
      </c>
      <c r="E1315" s="133">
        <v>41706</v>
      </c>
      <c r="F1315" s="134" t="s">
        <v>2503</v>
      </c>
    </row>
    <row r="1316" spans="1:6">
      <c r="A1316" s="132">
        <v>9810000</v>
      </c>
      <c r="B1316" s="132">
        <v>9755000</v>
      </c>
      <c r="C1316" s="132">
        <v>9825000</v>
      </c>
      <c r="D1316" s="132">
        <v>9762000</v>
      </c>
      <c r="E1316" s="133">
        <v>41705</v>
      </c>
      <c r="F1316" s="134" t="s">
        <v>2504</v>
      </c>
    </row>
    <row r="1317" spans="1:6">
      <c r="A1317" s="132">
        <v>9775000</v>
      </c>
      <c r="B1317" s="132">
        <v>9732000</v>
      </c>
      <c r="C1317" s="132">
        <v>9835000</v>
      </c>
      <c r="D1317" s="132">
        <v>9820000</v>
      </c>
      <c r="E1317" s="133">
        <v>41704</v>
      </c>
      <c r="F1317" s="134" t="s">
        <v>2505</v>
      </c>
    </row>
    <row r="1318" spans="1:6">
      <c r="A1318" s="132">
        <v>9760000</v>
      </c>
      <c r="B1318" s="132">
        <v>9730000</v>
      </c>
      <c r="C1318" s="132">
        <v>9832000</v>
      </c>
      <c r="D1318" s="132">
        <v>9800000</v>
      </c>
      <c r="E1318" s="133">
        <v>41703</v>
      </c>
      <c r="F1318" s="134" t="s">
        <v>2506</v>
      </c>
    </row>
    <row r="1319" spans="1:6">
      <c r="A1319" s="132">
        <v>9870000</v>
      </c>
      <c r="B1319" s="132">
        <v>9695000</v>
      </c>
      <c r="C1319" s="132">
        <v>9900000</v>
      </c>
      <c r="D1319" s="132">
        <v>9780000</v>
      </c>
      <c r="E1319" s="133">
        <v>41702</v>
      </c>
      <c r="F1319" s="134" t="s">
        <v>2507</v>
      </c>
    </row>
    <row r="1320" spans="1:6">
      <c r="A1320" s="132">
        <v>9786000</v>
      </c>
      <c r="B1320" s="132">
        <v>9786000</v>
      </c>
      <c r="C1320" s="132">
        <v>10075000</v>
      </c>
      <c r="D1320" s="132">
        <v>9970000</v>
      </c>
      <c r="E1320" s="133">
        <v>41701</v>
      </c>
      <c r="F1320" s="134" t="s">
        <v>2508</v>
      </c>
    </row>
    <row r="1321" spans="1:6">
      <c r="A1321" s="132">
        <v>9735000</v>
      </c>
      <c r="B1321" s="132">
        <v>9695000</v>
      </c>
      <c r="C1321" s="132">
        <v>9777000</v>
      </c>
      <c r="D1321" s="132">
        <v>9776000</v>
      </c>
      <c r="E1321" s="133">
        <v>41700</v>
      </c>
      <c r="F1321" s="134" t="s">
        <v>2509</v>
      </c>
    </row>
    <row r="1322" spans="1:6">
      <c r="A1322" s="132">
        <v>9655000</v>
      </c>
      <c r="B1322" s="132">
        <v>9643000</v>
      </c>
      <c r="C1322" s="132">
        <v>9765000</v>
      </c>
      <c r="D1322" s="132">
        <v>9745000</v>
      </c>
      <c r="E1322" s="133">
        <v>41699</v>
      </c>
      <c r="F1322" s="134" t="s">
        <v>2510</v>
      </c>
    </row>
    <row r="1323" spans="1:6">
      <c r="A1323" s="132">
        <v>9670000</v>
      </c>
      <c r="B1323" s="132">
        <v>9620000</v>
      </c>
      <c r="C1323" s="132">
        <v>9700000</v>
      </c>
      <c r="D1323" s="132">
        <v>9652000</v>
      </c>
      <c r="E1323" s="133">
        <v>41698</v>
      </c>
      <c r="F1323" s="134" t="s">
        <v>2511</v>
      </c>
    </row>
    <row r="1324" spans="1:6">
      <c r="A1324" s="132">
        <v>9650000</v>
      </c>
      <c r="B1324" s="132">
        <v>9590000</v>
      </c>
      <c r="C1324" s="132">
        <v>9680000</v>
      </c>
      <c r="D1324" s="132">
        <v>9650000</v>
      </c>
      <c r="E1324" s="133">
        <v>41697</v>
      </c>
      <c r="F1324" s="134" t="s">
        <v>2512</v>
      </c>
    </row>
    <row r="1325" spans="1:6">
      <c r="A1325" s="132">
        <v>9760000</v>
      </c>
      <c r="B1325" s="132">
        <v>9640000</v>
      </c>
      <c r="C1325" s="132">
        <v>9843000</v>
      </c>
      <c r="D1325" s="132">
        <v>9645000</v>
      </c>
      <c r="E1325" s="133">
        <v>41696</v>
      </c>
      <c r="F1325" s="134" t="s">
        <v>2513</v>
      </c>
    </row>
    <row r="1326" spans="1:6">
      <c r="A1326" s="132">
        <v>9660000</v>
      </c>
      <c r="B1326" s="132">
        <v>9660000</v>
      </c>
      <c r="C1326" s="132">
        <v>9917000</v>
      </c>
      <c r="D1326" s="132">
        <v>9770000</v>
      </c>
      <c r="E1326" s="133">
        <v>41695</v>
      </c>
      <c r="F1326" s="134" t="s">
        <v>2514</v>
      </c>
    </row>
    <row r="1327" spans="1:6">
      <c r="A1327" s="132">
        <v>9435000</v>
      </c>
      <c r="B1327" s="132">
        <v>9435000</v>
      </c>
      <c r="C1327" s="132">
        <v>9680000</v>
      </c>
      <c r="D1327" s="132">
        <v>9680000</v>
      </c>
      <c r="E1327" s="133">
        <v>41694</v>
      </c>
      <c r="F1327" s="134" t="s">
        <v>2515</v>
      </c>
    </row>
    <row r="1328" spans="1:6">
      <c r="A1328" s="132">
        <v>9410000</v>
      </c>
      <c r="B1328" s="132">
        <v>9410000</v>
      </c>
      <c r="C1328" s="132">
        <v>9443000</v>
      </c>
      <c r="D1328" s="132">
        <v>9438000</v>
      </c>
      <c r="E1328" s="133">
        <v>41693</v>
      </c>
      <c r="F1328" s="134" t="s">
        <v>2516</v>
      </c>
    </row>
    <row r="1329" spans="1:6">
      <c r="A1329" s="132">
        <v>9410000</v>
      </c>
      <c r="B1329" s="132">
        <v>9399000</v>
      </c>
      <c r="C1329" s="132">
        <v>9415000</v>
      </c>
      <c r="D1329" s="132">
        <v>9408000</v>
      </c>
      <c r="E1329" s="133">
        <v>41692</v>
      </c>
      <c r="F1329" s="134" t="s">
        <v>2517</v>
      </c>
    </row>
    <row r="1330" spans="1:6">
      <c r="A1330" s="132">
        <v>9405000</v>
      </c>
      <c r="B1330" s="132">
        <v>9395000</v>
      </c>
      <c r="C1330" s="132">
        <v>9428000</v>
      </c>
      <c r="D1330" s="132">
        <v>9420000</v>
      </c>
      <c r="E1330" s="133">
        <v>41691</v>
      </c>
      <c r="F1330" s="134" t="s">
        <v>2518</v>
      </c>
    </row>
    <row r="1331" spans="1:6">
      <c r="A1331" s="132">
        <v>9350000</v>
      </c>
      <c r="B1331" s="132">
        <v>9320000</v>
      </c>
      <c r="C1331" s="132">
        <v>9385000</v>
      </c>
      <c r="D1331" s="132">
        <v>9385000</v>
      </c>
      <c r="E1331" s="133">
        <v>41690</v>
      </c>
      <c r="F1331" s="134" t="s">
        <v>2519</v>
      </c>
    </row>
    <row r="1332" spans="1:6">
      <c r="A1332" s="132">
        <v>9335000</v>
      </c>
      <c r="B1332" s="132">
        <v>9326000</v>
      </c>
      <c r="C1332" s="132">
        <v>9402000</v>
      </c>
      <c r="D1332" s="132">
        <v>9340000</v>
      </c>
      <c r="E1332" s="133">
        <v>41689</v>
      </c>
      <c r="F1332" s="134" t="s">
        <v>2520</v>
      </c>
    </row>
    <row r="1333" spans="1:6">
      <c r="A1333" s="132">
        <v>9450000</v>
      </c>
      <c r="B1333" s="132">
        <v>9362000</v>
      </c>
      <c r="C1333" s="132">
        <v>9450000</v>
      </c>
      <c r="D1333" s="132">
        <v>9362000</v>
      </c>
      <c r="E1333" s="133">
        <v>41688</v>
      </c>
      <c r="F1333" s="134" t="s">
        <v>2521</v>
      </c>
    </row>
    <row r="1334" spans="1:6">
      <c r="A1334" s="132">
        <v>9390000</v>
      </c>
      <c r="B1334" s="132">
        <v>9350000</v>
      </c>
      <c r="C1334" s="132">
        <v>9490000</v>
      </c>
      <c r="D1334" s="132">
        <v>9490000</v>
      </c>
      <c r="E1334" s="133">
        <v>41687</v>
      </c>
      <c r="F1334" s="134" t="s">
        <v>2522</v>
      </c>
    </row>
    <row r="1335" spans="1:6">
      <c r="A1335" s="132">
        <v>9310000</v>
      </c>
      <c r="B1335" s="132">
        <v>9282000</v>
      </c>
      <c r="C1335" s="132">
        <v>9393000</v>
      </c>
      <c r="D1335" s="132">
        <v>9315000</v>
      </c>
      <c r="E1335" s="133">
        <v>41686</v>
      </c>
      <c r="F1335" s="134" t="s">
        <v>2523</v>
      </c>
    </row>
    <row r="1336" spans="1:6">
      <c r="A1336" s="132">
        <v>9235000</v>
      </c>
      <c r="B1336" s="132">
        <v>9235000</v>
      </c>
      <c r="C1336" s="132">
        <v>9400000</v>
      </c>
      <c r="D1336" s="132">
        <v>9315000</v>
      </c>
      <c r="E1336" s="133">
        <v>41685</v>
      </c>
      <c r="F1336" s="134" t="s">
        <v>2524</v>
      </c>
    </row>
    <row r="1337" spans="1:6">
      <c r="A1337" s="132">
        <v>9170000</v>
      </c>
      <c r="B1337" s="132">
        <v>9170000</v>
      </c>
      <c r="C1337" s="132">
        <v>9310000</v>
      </c>
      <c r="D1337" s="132">
        <v>9273000</v>
      </c>
      <c r="E1337" s="133">
        <v>41684</v>
      </c>
      <c r="F1337" s="134" t="s">
        <v>2525</v>
      </c>
    </row>
    <row r="1338" spans="1:6">
      <c r="A1338" s="132">
        <v>9100000</v>
      </c>
      <c r="B1338" s="132">
        <v>9036000</v>
      </c>
      <c r="C1338" s="132">
        <v>9145000</v>
      </c>
      <c r="D1338" s="132">
        <v>9145000</v>
      </c>
      <c r="E1338" s="133">
        <v>41683</v>
      </c>
      <c r="F1338" s="134" t="s">
        <v>2526</v>
      </c>
    </row>
    <row r="1339" spans="1:6">
      <c r="A1339" s="132">
        <v>8953000</v>
      </c>
      <c r="B1339" s="132">
        <v>8946000</v>
      </c>
      <c r="C1339" s="132">
        <v>9126000</v>
      </c>
      <c r="D1339" s="132">
        <v>9122000</v>
      </c>
      <c r="E1339" s="133">
        <v>41682</v>
      </c>
      <c r="F1339" s="134" t="s">
        <v>2527</v>
      </c>
    </row>
    <row r="1340" spans="1:6">
      <c r="A1340" s="132">
        <v>8900000</v>
      </c>
      <c r="B1340" s="132">
        <v>8897000</v>
      </c>
      <c r="C1340" s="132">
        <v>8968000</v>
      </c>
      <c r="D1340" s="132">
        <v>8968000</v>
      </c>
      <c r="E1340" s="133">
        <v>41681</v>
      </c>
      <c r="F1340" s="134" t="s">
        <v>2528</v>
      </c>
    </row>
    <row r="1341" spans="1:6">
      <c r="A1341" s="132">
        <v>8820000</v>
      </c>
      <c r="B1341" s="132">
        <v>8820000</v>
      </c>
      <c r="C1341" s="132">
        <v>8885000</v>
      </c>
      <c r="D1341" s="132">
        <v>8882000</v>
      </c>
      <c r="E1341" s="133">
        <v>41680</v>
      </c>
      <c r="F1341" s="134" t="s">
        <v>2529</v>
      </c>
    </row>
    <row r="1342" spans="1:6">
      <c r="A1342" s="132">
        <v>8825000</v>
      </c>
      <c r="B1342" s="132">
        <v>8801000</v>
      </c>
      <c r="C1342" s="132">
        <v>8833000</v>
      </c>
      <c r="D1342" s="132">
        <v>8806000</v>
      </c>
      <c r="E1342" s="133">
        <v>41679</v>
      </c>
      <c r="F1342" s="134" t="s">
        <v>2530</v>
      </c>
    </row>
    <row r="1343" spans="1:6">
      <c r="A1343" s="132">
        <v>8830000</v>
      </c>
      <c r="B1343" s="132">
        <v>8820000</v>
      </c>
      <c r="C1343" s="132">
        <v>8855000</v>
      </c>
      <c r="D1343" s="132">
        <v>8830000</v>
      </c>
      <c r="E1343" s="133">
        <v>41678</v>
      </c>
      <c r="F1343" s="134" t="s">
        <v>2531</v>
      </c>
    </row>
    <row r="1344" spans="1:6">
      <c r="A1344" s="132">
        <v>8795000</v>
      </c>
      <c r="B1344" s="132">
        <v>8790000</v>
      </c>
      <c r="C1344" s="132">
        <v>8827000</v>
      </c>
      <c r="D1344" s="132">
        <v>8827000</v>
      </c>
      <c r="E1344" s="133">
        <v>41677</v>
      </c>
      <c r="F1344" s="134" t="s">
        <v>2532</v>
      </c>
    </row>
    <row r="1345" spans="1:6">
      <c r="A1345" s="132">
        <v>8770000</v>
      </c>
      <c r="B1345" s="132">
        <v>8768000</v>
      </c>
      <c r="C1345" s="132">
        <v>8790000</v>
      </c>
      <c r="D1345" s="132">
        <v>8790000</v>
      </c>
      <c r="E1345" s="133">
        <v>41676</v>
      </c>
      <c r="F1345" s="134" t="s">
        <v>2533</v>
      </c>
    </row>
    <row r="1346" spans="1:6">
      <c r="A1346" s="132">
        <v>8750000</v>
      </c>
      <c r="B1346" s="132">
        <v>8748500</v>
      </c>
      <c r="C1346" s="132">
        <v>8794000</v>
      </c>
      <c r="D1346" s="132">
        <v>8771000</v>
      </c>
      <c r="E1346" s="133">
        <v>41675</v>
      </c>
      <c r="F1346" s="134" t="s">
        <v>2534</v>
      </c>
    </row>
    <row r="1347" spans="1:6">
      <c r="A1347" s="132">
        <v>8770000</v>
      </c>
      <c r="B1347" s="132">
        <v>8746000</v>
      </c>
      <c r="C1347" s="132">
        <v>8770000</v>
      </c>
      <c r="D1347" s="132">
        <v>8753000</v>
      </c>
      <c r="E1347" s="133">
        <v>41674</v>
      </c>
      <c r="F1347" s="134" t="s">
        <v>2535</v>
      </c>
    </row>
    <row r="1348" spans="1:6">
      <c r="A1348" s="132">
        <v>8740000</v>
      </c>
      <c r="B1348" s="132">
        <v>8719000</v>
      </c>
      <c r="C1348" s="132">
        <v>8767000</v>
      </c>
      <c r="D1348" s="132">
        <v>8762000</v>
      </c>
      <c r="E1348" s="133">
        <v>41673</v>
      </c>
      <c r="F1348" s="134" t="s">
        <v>2536</v>
      </c>
    </row>
    <row r="1349" spans="1:6">
      <c r="A1349" s="132">
        <v>8710000</v>
      </c>
      <c r="B1349" s="132">
        <v>8700000</v>
      </c>
      <c r="C1349" s="132">
        <v>8735000</v>
      </c>
      <c r="D1349" s="132">
        <v>8735000</v>
      </c>
      <c r="E1349" s="133">
        <v>41672</v>
      </c>
      <c r="F1349" s="134" t="s">
        <v>2537</v>
      </c>
    </row>
    <row r="1350" spans="1:6">
      <c r="A1350" s="132">
        <v>8680000</v>
      </c>
      <c r="B1350" s="132">
        <v>8675000</v>
      </c>
      <c r="C1350" s="132">
        <v>8705000</v>
      </c>
      <c r="D1350" s="132">
        <v>8703000</v>
      </c>
      <c r="E1350" s="133">
        <v>41671</v>
      </c>
      <c r="F1350" s="134" t="s">
        <v>2538</v>
      </c>
    </row>
    <row r="1351" spans="1:6">
      <c r="A1351" s="132">
        <v>8680000</v>
      </c>
      <c r="B1351" s="132">
        <v>8670000</v>
      </c>
      <c r="C1351" s="132">
        <v>8713000</v>
      </c>
      <c r="D1351" s="132">
        <v>8682000</v>
      </c>
      <c r="E1351" s="133">
        <v>41670</v>
      </c>
      <c r="F1351" s="134" t="s">
        <v>2539</v>
      </c>
    </row>
    <row r="1352" spans="1:6">
      <c r="A1352" s="132">
        <v>8753000</v>
      </c>
      <c r="B1352" s="132">
        <v>8675000</v>
      </c>
      <c r="C1352" s="132">
        <v>8755000</v>
      </c>
      <c r="D1352" s="132">
        <v>8685000</v>
      </c>
      <c r="E1352" s="133">
        <v>41669</v>
      </c>
      <c r="F1352" s="134" t="s">
        <v>2540</v>
      </c>
    </row>
    <row r="1353" spans="1:6">
      <c r="A1353" s="132">
        <v>8750000</v>
      </c>
      <c r="B1353" s="132">
        <v>8747000</v>
      </c>
      <c r="C1353" s="132">
        <v>8778000</v>
      </c>
      <c r="D1353" s="132">
        <v>8755000</v>
      </c>
      <c r="E1353" s="133">
        <v>41668</v>
      </c>
      <c r="F1353" s="134" t="s">
        <v>2541</v>
      </c>
    </row>
    <row r="1354" spans="1:6">
      <c r="A1354" s="132">
        <v>8755000</v>
      </c>
      <c r="B1354" s="132">
        <v>8738000</v>
      </c>
      <c r="C1354" s="132">
        <v>8762000</v>
      </c>
      <c r="D1354" s="132">
        <v>8745000</v>
      </c>
      <c r="E1354" s="133">
        <v>41667</v>
      </c>
      <c r="F1354" s="134" t="s">
        <v>2542</v>
      </c>
    </row>
    <row r="1355" spans="1:6">
      <c r="A1355" s="132">
        <v>8765000</v>
      </c>
      <c r="B1355" s="132">
        <v>8745000</v>
      </c>
      <c r="C1355" s="132">
        <v>8790000</v>
      </c>
      <c r="D1355" s="132">
        <v>8746000</v>
      </c>
      <c r="E1355" s="133">
        <v>41666</v>
      </c>
      <c r="F1355" s="134" t="s">
        <v>2543</v>
      </c>
    </row>
    <row r="1356" spans="1:6">
      <c r="A1356" s="132">
        <v>8788000</v>
      </c>
      <c r="B1356" s="132">
        <v>8756000</v>
      </c>
      <c r="C1356" s="132">
        <v>8793000</v>
      </c>
      <c r="D1356" s="132">
        <v>8763000</v>
      </c>
      <c r="E1356" s="133">
        <v>41665</v>
      </c>
      <c r="F1356" s="134" t="s">
        <v>2544</v>
      </c>
    </row>
    <row r="1357" spans="1:6">
      <c r="A1357" s="132">
        <v>8750000</v>
      </c>
      <c r="B1357" s="132">
        <v>8750000</v>
      </c>
      <c r="C1357" s="132">
        <v>8810000</v>
      </c>
      <c r="D1357" s="132">
        <v>8785000</v>
      </c>
      <c r="E1357" s="133">
        <v>41664</v>
      </c>
      <c r="F1357" s="134" t="s">
        <v>2545</v>
      </c>
    </row>
    <row r="1358" spans="1:6">
      <c r="A1358" s="132">
        <v>8625000</v>
      </c>
      <c r="B1358" s="132">
        <v>8600000</v>
      </c>
      <c r="C1358" s="132">
        <v>8680000</v>
      </c>
      <c r="D1358" s="132">
        <v>8680000</v>
      </c>
      <c r="E1358" s="133">
        <v>41662</v>
      </c>
      <c r="F1358" s="134" t="s">
        <v>2546</v>
      </c>
    </row>
    <row r="1359" spans="1:6">
      <c r="A1359" s="132">
        <v>8625000</v>
      </c>
      <c r="B1359" s="132">
        <v>8610000</v>
      </c>
      <c r="C1359" s="132">
        <v>8690000</v>
      </c>
      <c r="D1359" s="132">
        <v>8640000</v>
      </c>
      <c r="E1359" s="133">
        <v>41661</v>
      </c>
      <c r="F1359" s="134" t="s">
        <v>2547</v>
      </c>
    </row>
    <row r="1360" spans="1:6">
      <c r="A1360" s="132">
        <v>8560000</v>
      </c>
      <c r="B1360" s="132">
        <v>8560000</v>
      </c>
      <c r="C1360" s="132">
        <v>8620000</v>
      </c>
      <c r="D1360" s="132">
        <v>8590000</v>
      </c>
      <c r="E1360" s="133">
        <v>41660</v>
      </c>
      <c r="F1360" s="134" t="s">
        <v>2548</v>
      </c>
    </row>
    <row r="1361" spans="1:6">
      <c r="A1361" s="132">
        <v>8540000</v>
      </c>
      <c r="B1361" s="132">
        <v>8500000</v>
      </c>
      <c r="C1361" s="132">
        <v>8570000</v>
      </c>
      <c r="D1361" s="132">
        <v>8500000</v>
      </c>
      <c r="E1361" s="133">
        <v>41659</v>
      </c>
      <c r="F1361" s="134" t="s">
        <v>2549</v>
      </c>
    </row>
    <row r="1362" spans="1:6">
      <c r="A1362" s="132">
        <v>8640000</v>
      </c>
      <c r="B1362" s="132">
        <v>8560000</v>
      </c>
      <c r="C1362" s="132">
        <v>8640000</v>
      </c>
      <c r="D1362" s="132">
        <v>8560000</v>
      </c>
      <c r="E1362" s="133">
        <v>41658</v>
      </c>
      <c r="F1362" s="134" t="s">
        <v>2550</v>
      </c>
    </row>
    <row r="1363" spans="1:6">
      <c r="A1363" s="132">
        <v>8720000</v>
      </c>
      <c r="B1363" s="132">
        <v>8620000</v>
      </c>
      <c r="C1363" s="132">
        <v>8720000</v>
      </c>
      <c r="D1363" s="132">
        <v>8620000</v>
      </c>
      <c r="E1363" s="133">
        <v>41657</v>
      </c>
      <c r="F1363" s="134" t="s">
        <v>2551</v>
      </c>
    </row>
    <row r="1364" spans="1:6">
      <c r="A1364" s="132">
        <v>8705000</v>
      </c>
      <c r="B1364" s="132">
        <v>8675000</v>
      </c>
      <c r="C1364" s="132">
        <v>8707000</v>
      </c>
      <c r="D1364" s="132">
        <v>8680000</v>
      </c>
      <c r="E1364" s="133">
        <v>41655</v>
      </c>
      <c r="F1364" s="134" t="s">
        <v>2552</v>
      </c>
    </row>
    <row r="1365" spans="1:6">
      <c r="A1365" s="132">
        <v>8695000</v>
      </c>
      <c r="B1365" s="132">
        <v>8685000</v>
      </c>
      <c r="C1365" s="132">
        <v>8710000</v>
      </c>
      <c r="D1365" s="132">
        <v>8710000</v>
      </c>
      <c r="E1365" s="133">
        <v>41654</v>
      </c>
      <c r="F1365" s="134" t="s">
        <v>2553</v>
      </c>
    </row>
    <row r="1366" spans="1:6">
      <c r="A1366" s="132">
        <v>8740000</v>
      </c>
      <c r="B1366" s="132">
        <v>8710000</v>
      </c>
      <c r="C1366" s="132">
        <v>8770000</v>
      </c>
      <c r="D1366" s="132">
        <v>8710000</v>
      </c>
      <c r="E1366" s="133">
        <v>41653</v>
      </c>
      <c r="F1366" s="134" t="s">
        <v>2554</v>
      </c>
    </row>
    <row r="1367" spans="1:6">
      <c r="A1367" s="132">
        <v>8725000</v>
      </c>
      <c r="B1367" s="132">
        <v>8670000</v>
      </c>
      <c r="C1367" s="132">
        <v>8730000</v>
      </c>
      <c r="D1367" s="132">
        <v>8730000</v>
      </c>
      <c r="E1367" s="133">
        <v>41652</v>
      </c>
      <c r="F1367" s="134" t="s">
        <v>2555</v>
      </c>
    </row>
    <row r="1368" spans="1:6">
      <c r="A1368" s="132">
        <v>8810000</v>
      </c>
      <c r="B1368" s="132">
        <v>8770000</v>
      </c>
      <c r="C1368" s="132">
        <v>8825000</v>
      </c>
      <c r="D1368" s="132">
        <v>8770000</v>
      </c>
      <c r="E1368" s="133">
        <v>41651</v>
      </c>
      <c r="F1368" s="134" t="s">
        <v>2556</v>
      </c>
    </row>
    <row r="1369" spans="1:6">
      <c r="A1369" s="132">
        <v>8790000</v>
      </c>
      <c r="B1369" s="132">
        <v>8790000</v>
      </c>
      <c r="C1369" s="132">
        <v>8830000</v>
      </c>
      <c r="D1369" s="132">
        <v>8812000</v>
      </c>
      <c r="E1369" s="133">
        <v>41650</v>
      </c>
      <c r="F1369" s="134" t="s">
        <v>2557</v>
      </c>
    </row>
    <row r="1370" spans="1:6">
      <c r="A1370" s="132">
        <v>8750000</v>
      </c>
      <c r="B1370" s="132">
        <v>8730000</v>
      </c>
      <c r="C1370" s="132">
        <v>8755000</v>
      </c>
      <c r="D1370" s="132">
        <v>8740000</v>
      </c>
      <c r="E1370" s="133">
        <v>41648</v>
      </c>
      <c r="F1370" s="134" t="s">
        <v>2558</v>
      </c>
    </row>
    <row r="1371" spans="1:6">
      <c r="A1371" s="132">
        <v>8760000</v>
      </c>
      <c r="B1371" s="132">
        <v>8740000</v>
      </c>
      <c r="C1371" s="132">
        <v>8770000</v>
      </c>
      <c r="D1371" s="132">
        <v>8750000</v>
      </c>
      <c r="E1371" s="133">
        <v>41647</v>
      </c>
      <c r="F1371" s="134" t="s">
        <v>2559</v>
      </c>
    </row>
    <row r="1372" spans="1:6">
      <c r="A1372" s="132">
        <v>8790000</v>
      </c>
      <c r="B1372" s="132">
        <v>8770000</v>
      </c>
      <c r="C1372" s="132">
        <v>8805000</v>
      </c>
      <c r="D1372" s="132">
        <v>8770000</v>
      </c>
      <c r="E1372" s="133">
        <v>41646</v>
      </c>
      <c r="F1372" s="134" t="s">
        <v>2560</v>
      </c>
    </row>
    <row r="1373" spans="1:6">
      <c r="A1373" s="132">
        <v>8770000</v>
      </c>
      <c r="B1373" s="132">
        <v>8770000</v>
      </c>
      <c r="C1373" s="132">
        <v>8820000</v>
      </c>
      <c r="D1373" s="132">
        <v>8790000</v>
      </c>
      <c r="E1373" s="133">
        <v>41645</v>
      </c>
      <c r="F1373" s="134" t="s">
        <v>2561</v>
      </c>
    </row>
    <row r="1374" spans="1:6">
      <c r="A1374" s="132">
        <v>8745000</v>
      </c>
      <c r="B1374" s="132">
        <v>8735000</v>
      </c>
      <c r="C1374" s="132">
        <v>8780000</v>
      </c>
      <c r="D1374" s="132">
        <v>8760000</v>
      </c>
      <c r="E1374" s="133">
        <v>41644</v>
      </c>
      <c r="F1374" s="134" t="s">
        <v>2562</v>
      </c>
    </row>
    <row r="1375" spans="1:6">
      <c r="A1375" s="132">
        <v>8810000</v>
      </c>
      <c r="B1375" s="132">
        <v>8730000</v>
      </c>
      <c r="C1375" s="132">
        <v>8810000</v>
      </c>
      <c r="D1375" s="132">
        <v>8750000</v>
      </c>
      <c r="E1375" s="133">
        <v>41643</v>
      </c>
      <c r="F1375" s="134" t="s">
        <v>2563</v>
      </c>
    </row>
    <row r="1376" spans="1:6">
      <c r="A1376" s="132">
        <v>8695000</v>
      </c>
      <c r="B1376" s="132">
        <v>8695000</v>
      </c>
      <c r="C1376" s="132">
        <v>8722000</v>
      </c>
      <c r="D1376" s="132">
        <v>8720000</v>
      </c>
      <c r="E1376" s="133">
        <v>41641</v>
      </c>
      <c r="F1376" s="134" t="s">
        <v>2564</v>
      </c>
    </row>
    <row r="1377" spans="1:6">
      <c r="A1377" s="132">
        <v>8675000</v>
      </c>
      <c r="B1377" s="132">
        <v>8635000</v>
      </c>
      <c r="C1377" s="132">
        <v>8675000</v>
      </c>
      <c r="D1377" s="132">
        <v>8660000</v>
      </c>
      <c r="E1377" s="133">
        <v>41640</v>
      </c>
      <c r="F1377" s="134" t="s">
        <v>2565</v>
      </c>
    </row>
    <row r="1378" spans="1:6">
      <c r="A1378" s="132">
        <v>8655000</v>
      </c>
      <c r="B1378" s="132">
        <v>8610000</v>
      </c>
      <c r="C1378" s="132">
        <v>8710000</v>
      </c>
      <c r="D1378" s="132">
        <v>8685000</v>
      </c>
      <c r="E1378" s="133">
        <v>41639</v>
      </c>
      <c r="F1378" s="134" t="s">
        <v>2566</v>
      </c>
    </row>
    <row r="1379" spans="1:6">
      <c r="A1379" s="132">
        <v>8780000</v>
      </c>
      <c r="B1379" s="132">
        <v>8720000</v>
      </c>
      <c r="C1379" s="132">
        <v>8788000</v>
      </c>
      <c r="D1379" s="132">
        <v>8725000</v>
      </c>
      <c r="E1379" s="133">
        <v>41638</v>
      </c>
      <c r="F1379" s="134" t="s">
        <v>2567</v>
      </c>
    </row>
    <row r="1380" spans="1:6">
      <c r="A1380" s="132">
        <v>8700000</v>
      </c>
      <c r="B1380" s="132">
        <v>8700000</v>
      </c>
      <c r="C1380" s="132">
        <v>8830000</v>
      </c>
      <c r="D1380" s="132">
        <v>8825000</v>
      </c>
      <c r="E1380" s="133">
        <v>41637</v>
      </c>
      <c r="F1380" s="134" t="s">
        <v>2568</v>
      </c>
    </row>
    <row r="1381" spans="1:6">
      <c r="A1381" s="132">
        <v>8680000</v>
      </c>
      <c r="B1381" s="132">
        <v>8660000</v>
      </c>
      <c r="C1381" s="132">
        <v>8750000</v>
      </c>
      <c r="D1381" s="132">
        <v>8725000</v>
      </c>
      <c r="E1381" s="133">
        <v>41636</v>
      </c>
      <c r="F1381" s="134" t="s">
        <v>2569</v>
      </c>
    </row>
    <row r="1382" spans="1:6">
      <c r="A1382" s="132">
        <v>8580000</v>
      </c>
      <c r="B1382" s="132">
        <v>8580000</v>
      </c>
      <c r="C1382" s="132">
        <v>8670000</v>
      </c>
      <c r="D1382" s="132">
        <v>8660000</v>
      </c>
      <c r="E1382" s="133">
        <v>41634</v>
      </c>
      <c r="F1382" s="134" t="s">
        <v>2570</v>
      </c>
    </row>
    <row r="1383" spans="1:6">
      <c r="A1383" s="132">
        <v>8560000</v>
      </c>
      <c r="B1383" s="132">
        <v>8555000</v>
      </c>
      <c r="C1383" s="132">
        <v>8580000</v>
      </c>
      <c r="D1383" s="132">
        <v>8575000</v>
      </c>
      <c r="E1383" s="133">
        <v>41633</v>
      </c>
      <c r="F1383" s="134" t="s">
        <v>2571</v>
      </c>
    </row>
    <row r="1384" spans="1:6">
      <c r="A1384" s="132">
        <v>8530000</v>
      </c>
      <c r="B1384" s="132">
        <v>8520000</v>
      </c>
      <c r="C1384" s="132">
        <v>8580000</v>
      </c>
      <c r="D1384" s="132">
        <v>8577000</v>
      </c>
      <c r="E1384" s="133">
        <v>41632</v>
      </c>
      <c r="F1384" s="134" t="s">
        <v>2572</v>
      </c>
    </row>
    <row r="1385" spans="1:6">
      <c r="A1385" s="132">
        <v>8570000</v>
      </c>
      <c r="B1385" s="132">
        <v>8535000</v>
      </c>
      <c r="C1385" s="132">
        <v>8570000</v>
      </c>
      <c r="D1385" s="132">
        <v>8555000</v>
      </c>
      <c r="E1385" s="133">
        <v>41631</v>
      </c>
      <c r="F1385" s="134" t="s">
        <v>2573</v>
      </c>
    </row>
    <row r="1386" spans="1:6">
      <c r="A1386" s="132">
        <v>8520000</v>
      </c>
      <c r="B1386" s="132">
        <v>8520000</v>
      </c>
      <c r="C1386" s="132">
        <v>8580000</v>
      </c>
      <c r="D1386" s="132">
        <v>8575000</v>
      </c>
      <c r="E1386" s="133">
        <v>41630</v>
      </c>
      <c r="F1386" s="134" t="s">
        <v>2574</v>
      </c>
    </row>
    <row r="1387" spans="1:6">
      <c r="A1387" s="132">
        <v>8545000</v>
      </c>
      <c r="B1387" s="132">
        <v>8490000</v>
      </c>
      <c r="C1387" s="132">
        <v>8545000</v>
      </c>
      <c r="D1387" s="132">
        <v>8510000</v>
      </c>
      <c r="E1387" s="133">
        <v>41629</v>
      </c>
      <c r="F1387" s="134" t="s">
        <v>2575</v>
      </c>
    </row>
    <row r="1388" spans="1:6">
      <c r="A1388" s="132">
        <v>8670000</v>
      </c>
      <c r="B1388" s="132">
        <v>8580000</v>
      </c>
      <c r="C1388" s="132">
        <v>8670000</v>
      </c>
      <c r="D1388" s="132">
        <v>8580000</v>
      </c>
      <c r="E1388" s="133">
        <v>41627</v>
      </c>
      <c r="F1388" s="134" t="s">
        <v>2576</v>
      </c>
    </row>
    <row r="1389" spans="1:6">
      <c r="A1389" s="132">
        <v>8720000</v>
      </c>
      <c r="B1389" s="132">
        <v>8710000</v>
      </c>
      <c r="C1389" s="132">
        <v>8750000</v>
      </c>
      <c r="D1389" s="132">
        <v>8740000</v>
      </c>
      <c r="E1389" s="133">
        <v>41626</v>
      </c>
      <c r="F1389" s="134" t="s">
        <v>2577</v>
      </c>
    </row>
    <row r="1390" spans="1:6">
      <c r="A1390" s="132">
        <v>8720000</v>
      </c>
      <c r="B1390" s="132">
        <v>8700000</v>
      </c>
      <c r="C1390" s="132">
        <v>8740000</v>
      </c>
      <c r="D1390" s="132">
        <v>8705000</v>
      </c>
      <c r="E1390" s="133">
        <v>41625</v>
      </c>
      <c r="F1390" s="134" t="s">
        <v>2578</v>
      </c>
    </row>
    <row r="1391" spans="1:6">
      <c r="A1391" s="132">
        <v>8740000</v>
      </c>
      <c r="B1391" s="132">
        <v>8690000</v>
      </c>
      <c r="C1391" s="132">
        <v>8750000</v>
      </c>
      <c r="D1391" s="132">
        <v>8740000</v>
      </c>
      <c r="E1391" s="133">
        <v>41624</v>
      </c>
      <c r="F1391" s="134" t="s">
        <v>2579</v>
      </c>
    </row>
    <row r="1392" spans="1:6">
      <c r="A1392" s="132">
        <v>8815000</v>
      </c>
      <c r="B1392" s="132">
        <v>8730000</v>
      </c>
      <c r="C1392" s="132">
        <v>8815000</v>
      </c>
      <c r="D1392" s="132">
        <v>8760000</v>
      </c>
      <c r="E1392" s="133">
        <v>41623</v>
      </c>
      <c r="F1392" s="134" t="s">
        <v>2580</v>
      </c>
    </row>
    <row r="1393" spans="1:6">
      <c r="A1393" s="132">
        <v>8730000</v>
      </c>
      <c r="B1393" s="132">
        <v>8710000</v>
      </c>
      <c r="C1393" s="132">
        <v>8810000</v>
      </c>
      <c r="D1393" s="132">
        <v>8800000</v>
      </c>
      <c r="E1393" s="133">
        <v>41622</v>
      </c>
      <c r="F1393" s="134" t="s">
        <v>2581</v>
      </c>
    </row>
    <row r="1394" spans="1:6">
      <c r="A1394" s="132">
        <v>8770000</v>
      </c>
      <c r="B1394" s="132">
        <v>8630000</v>
      </c>
      <c r="C1394" s="132">
        <v>8775000</v>
      </c>
      <c r="D1394" s="132">
        <v>8640000</v>
      </c>
      <c r="E1394" s="133">
        <v>41620</v>
      </c>
      <c r="F1394" s="134" t="s">
        <v>2582</v>
      </c>
    </row>
    <row r="1395" spans="1:6">
      <c r="A1395" s="132">
        <v>8790000</v>
      </c>
      <c r="B1395" s="132">
        <v>8760000</v>
      </c>
      <c r="C1395" s="132">
        <v>8840000</v>
      </c>
      <c r="D1395" s="132">
        <v>8800000</v>
      </c>
      <c r="E1395" s="133">
        <v>41619</v>
      </c>
      <c r="F1395" s="134" t="s">
        <v>2583</v>
      </c>
    </row>
    <row r="1396" spans="1:6">
      <c r="A1396" s="132">
        <v>8710000</v>
      </c>
      <c r="B1396" s="132">
        <v>8700000</v>
      </c>
      <c r="C1396" s="132">
        <v>8840000</v>
      </c>
      <c r="D1396" s="132">
        <v>8800000</v>
      </c>
      <c r="E1396" s="133">
        <v>41618</v>
      </c>
      <c r="F1396" s="134" t="s">
        <v>2584</v>
      </c>
    </row>
    <row r="1397" spans="1:6">
      <c r="A1397" s="132">
        <v>8660000</v>
      </c>
      <c r="B1397" s="132">
        <v>8635000</v>
      </c>
      <c r="C1397" s="132">
        <v>8660000</v>
      </c>
      <c r="D1397" s="132">
        <v>8660000</v>
      </c>
      <c r="E1397" s="133">
        <v>41617</v>
      </c>
      <c r="F1397" s="134" t="s">
        <v>2585</v>
      </c>
    </row>
    <row r="1398" spans="1:6">
      <c r="A1398" s="132">
        <v>8615000</v>
      </c>
      <c r="B1398" s="132">
        <v>8615000</v>
      </c>
      <c r="C1398" s="132">
        <v>8660000</v>
      </c>
      <c r="D1398" s="132">
        <v>8650000</v>
      </c>
      <c r="E1398" s="133">
        <v>41616</v>
      </c>
      <c r="F1398" s="134" t="s">
        <v>2586</v>
      </c>
    </row>
    <row r="1399" spans="1:6">
      <c r="A1399" s="132">
        <v>8600000</v>
      </c>
      <c r="B1399" s="132">
        <v>8590000</v>
      </c>
      <c r="C1399" s="132">
        <v>8640000</v>
      </c>
      <c r="D1399" s="132">
        <v>8635000</v>
      </c>
      <c r="E1399" s="133">
        <v>41615</v>
      </c>
      <c r="F1399" s="134" t="s">
        <v>2587</v>
      </c>
    </row>
    <row r="1400" spans="1:6">
      <c r="A1400" s="132">
        <v>8690000</v>
      </c>
      <c r="B1400" s="132">
        <v>8550000</v>
      </c>
      <c r="C1400" s="132">
        <v>8690000</v>
      </c>
      <c r="D1400" s="132">
        <v>8550000</v>
      </c>
      <c r="E1400" s="133">
        <v>41613</v>
      </c>
      <c r="F1400" s="134" t="s">
        <v>2588</v>
      </c>
    </row>
    <row r="1401" spans="1:6">
      <c r="A1401" s="132">
        <v>8560000</v>
      </c>
      <c r="B1401" s="132">
        <v>8535000</v>
      </c>
      <c r="C1401" s="132">
        <v>8650000</v>
      </c>
      <c r="D1401" s="132">
        <v>8640000</v>
      </c>
      <c r="E1401" s="133">
        <v>41612</v>
      </c>
      <c r="F1401" s="134" t="s">
        <v>2589</v>
      </c>
    </row>
    <row r="1402" spans="1:6">
      <c r="A1402" s="132">
        <v>8550000</v>
      </c>
      <c r="B1402" s="132">
        <v>8490000</v>
      </c>
      <c r="C1402" s="132">
        <v>8580000</v>
      </c>
      <c r="D1402" s="132">
        <v>8580000</v>
      </c>
      <c r="E1402" s="133">
        <v>41611</v>
      </c>
      <c r="F1402" s="134" t="s">
        <v>2590</v>
      </c>
    </row>
    <row r="1403" spans="1:6">
      <c r="A1403" s="132">
        <v>8770000</v>
      </c>
      <c r="B1403" s="132">
        <v>8660000</v>
      </c>
      <c r="C1403" s="132">
        <v>8770000</v>
      </c>
      <c r="D1403" s="132">
        <v>8670000</v>
      </c>
      <c r="E1403" s="133">
        <v>41610</v>
      </c>
      <c r="F1403" s="134" t="s">
        <v>2591</v>
      </c>
    </row>
    <row r="1404" spans="1:6">
      <c r="A1404" s="132">
        <v>8740000</v>
      </c>
      <c r="B1404" s="132">
        <v>8705000</v>
      </c>
      <c r="C1404" s="132">
        <v>8800000</v>
      </c>
      <c r="D1404" s="132">
        <v>8800000</v>
      </c>
      <c r="E1404" s="133">
        <v>41609</v>
      </c>
      <c r="F1404" s="134" t="s">
        <v>2592</v>
      </c>
    </row>
    <row r="1405" spans="1:6">
      <c r="A1405" s="132">
        <v>8650000</v>
      </c>
      <c r="B1405" s="132">
        <v>8650000</v>
      </c>
      <c r="C1405" s="132">
        <v>8710000</v>
      </c>
      <c r="D1405" s="132">
        <v>8710000</v>
      </c>
      <c r="E1405" s="133">
        <v>41608</v>
      </c>
      <c r="F1405" s="134" t="s">
        <v>2593</v>
      </c>
    </row>
    <row r="1406" spans="1:6">
      <c r="A1406" s="132">
        <v>8630000</v>
      </c>
      <c r="B1406" s="132">
        <v>8550000</v>
      </c>
      <c r="C1406" s="132">
        <v>8685000</v>
      </c>
      <c r="D1406" s="132">
        <v>8590000</v>
      </c>
      <c r="E1406" s="133">
        <v>41606</v>
      </c>
      <c r="F1406" s="134" t="s">
        <v>2594</v>
      </c>
    </row>
    <row r="1407" spans="1:6">
      <c r="A1407" s="132">
        <v>8590000</v>
      </c>
      <c r="B1407" s="132">
        <v>8590000</v>
      </c>
      <c r="C1407" s="132">
        <v>8770000</v>
      </c>
      <c r="D1407" s="132">
        <v>8680000</v>
      </c>
      <c r="E1407" s="133">
        <v>41605</v>
      </c>
      <c r="F1407" s="134" t="s">
        <v>2595</v>
      </c>
    </row>
    <row r="1408" spans="1:6">
      <c r="A1408" s="132">
        <v>8580000</v>
      </c>
      <c r="B1408" s="132">
        <v>8570000</v>
      </c>
      <c r="C1408" s="132">
        <v>8700000</v>
      </c>
      <c r="D1408" s="132">
        <v>8590000</v>
      </c>
      <c r="E1408" s="133">
        <v>41604</v>
      </c>
      <c r="F1408" s="134" t="s">
        <v>2596</v>
      </c>
    </row>
    <row r="1409" spans="1:6">
      <c r="A1409" s="132">
        <v>8200000</v>
      </c>
      <c r="B1409" s="132">
        <v>8200000</v>
      </c>
      <c r="C1409" s="132">
        <v>8460000</v>
      </c>
      <c r="D1409" s="132">
        <v>8430000</v>
      </c>
      <c r="E1409" s="133">
        <v>41603</v>
      </c>
      <c r="F1409" s="134" t="s">
        <v>2597</v>
      </c>
    </row>
    <row r="1410" spans="1:6">
      <c r="A1410" s="132">
        <v>8510000</v>
      </c>
      <c r="B1410" s="132">
        <v>8280000</v>
      </c>
      <c r="C1410" s="132">
        <v>8560000</v>
      </c>
      <c r="D1410" s="132">
        <v>8280000</v>
      </c>
      <c r="E1410" s="133">
        <v>41602</v>
      </c>
      <c r="F1410" s="134" t="s">
        <v>2598</v>
      </c>
    </row>
    <row r="1411" spans="1:6">
      <c r="A1411" s="132">
        <v>8890000</v>
      </c>
      <c r="B1411" s="132">
        <v>8790000</v>
      </c>
      <c r="C1411" s="132">
        <v>8920000</v>
      </c>
      <c r="D1411" s="132">
        <v>8850000</v>
      </c>
      <c r="E1411" s="133">
        <v>41601</v>
      </c>
      <c r="F1411" s="134" t="s">
        <v>2599</v>
      </c>
    </row>
    <row r="1412" spans="1:6">
      <c r="A1412" s="132">
        <v>9050000</v>
      </c>
      <c r="B1412" s="132">
        <v>8970000</v>
      </c>
      <c r="C1412" s="132">
        <v>9050000</v>
      </c>
      <c r="D1412" s="132">
        <v>8990000</v>
      </c>
      <c r="E1412" s="133">
        <v>41599</v>
      </c>
      <c r="F1412" s="134" t="s">
        <v>2600</v>
      </c>
    </row>
    <row r="1413" spans="1:6">
      <c r="A1413" s="132">
        <v>9190000</v>
      </c>
      <c r="B1413" s="132">
        <v>9080000</v>
      </c>
      <c r="C1413" s="132">
        <v>9200000</v>
      </c>
      <c r="D1413" s="132">
        <v>9110000</v>
      </c>
      <c r="E1413" s="133">
        <v>41598</v>
      </c>
      <c r="F1413" s="134" t="s">
        <v>2601</v>
      </c>
    </row>
    <row r="1414" spans="1:6">
      <c r="A1414" s="132">
        <v>9145000</v>
      </c>
      <c r="B1414" s="132">
        <v>9065000</v>
      </c>
      <c r="C1414" s="132">
        <v>9170000</v>
      </c>
      <c r="D1414" s="132">
        <v>9170000</v>
      </c>
      <c r="E1414" s="133">
        <v>41597</v>
      </c>
      <c r="F1414" s="134" t="s">
        <v>2602</v>
      </c>
    </row>
    <row r="1415" spans="1:6">
      <c r="A1415" s="132">
        <v>9240000</v>
      </c>
      <c r="B1415" s="132">
        <v>9135000</v>
      </c>
      <c r="C1415" s="132">
        <v>9240000</v>
      </c>
      <c r="D1415" s="132">
        <v>9160000</v>
      </c>
      <c r="E1415" s="133">
        <v>41596</v>
      </c>
      <c r="F1415" s="134" t="s">
        <v>2603</v>
      </c>
    </row>
    <row r="1416" spans="1:6">
      <c r="A1416" s="132">
        <v>9270000</v>
      </c>
      <c r="B1416" s="132">
        <v>9240000</v>
      </c>
      <c r="C1416" s="132">
        <v>9280000</v>
      </c>
      <c r="D1416" s="132">
        <v>9240000</v>
      </c>
      <c r="E1416" s="133">
        <v>41595</v>
      </c>
      <c r="F1416" s="134" t="s">
        <v>2604</v>
      </c>
    </row>
    <row r="1417" spans="1:6">
      <c r="A1417" s="132">
        <v>9270000</v>
      </c>
      <c r="B1417" s="132">
        <v>9270000</v>
      </c>
      <c r="C1417" s="132">
        <v>9310000</v>
      </c>
      <c r="D1417" s="132">
        <v>9280000</v>
      </c>
      <c r="E1417" s="133">
        <v>41594</v>
      </c>
      <c r="F1417" s="134" t="s">
        <v>2605</v>
      </c>
    </row>
    <row r="1418" spans="1:6">
      <c r="A1418" s="132">
        <v>9290000</v>
      </c>
      <c r="B1418" s="132">
        <v>9290000</v>
      </c>
      <c r="C1418" s="132">
        <v>9290000</v>
      </c>
      <c r="D1418" s="132">
        <v>9290000</v>
      </c>
      <c r="E1418" s="133">
        <v>41592</v>
      </c>
      <c r="F1418" s="134" t="s">
        <v>2606</v>
      </c>
    </row>
    <row r="1419" spans="1:6">
      <c r="A1419" s="132">
        <v>9240000</v>
      </c>
      <c r="B1419" s="132">
        <v>9240000</v>
      </c>
      <c r="C1419" s="132">
        <v>9270000</v>
      </c>
      <c r="D1419" s="132">
        <v>9240000</v>
      </c>
      <c r="E1419" s="133">
        <v>41590</v>
      </c>
      <c r="F1419" s="134" t="s">
        <v>2607</v>
      </c>
    </row>
    <row r="1420" spans="1:6">
      <c r="A1420" s="132">
        <v>9290000</v>
      </c>
      <c r="B1420" s="132">
        <v>9260000</v>
      </c>
      <c r="C1420" s="132">
        <v>9300000</v>
      </c>
      <c r="D1420" s="132">
        <v>9260000</v>
      </c>
      <c r="E1420" s="133">
        <v>41589</v>
      </c>
      <c r="F1420" s="134" t="s">
        <v>2608</v>
      </c>
    </row>
    <row r="1421" spans="1:6">
      <c r="A1421" s="132">
        <v>9260000</v>
      </c>
      <c r="B1421" s="132">
        <v>9240000</v>
      </c>
      <c r="C1421" s="132">
        <v>9320000</v>
      </c>
      <c r="D1421" s="132">
        <v>9310000</v>
      </c>
      <c r="E1421" s="133">
        <v>41588</v>
      </c>
      <c r="F1421" s="134" t="s">
        <v>2609</v>
      </c>
    </row>
    <row r="1422" spans="1:6">
      <c r="A1422" s="132">
        <v>9240000</v>
      </c>
      <c r="B1422" s="132">
        <v>9170000</v>
      </c>
      <c r="C1422" s="132">
        <v>9280000</v>
      </c>
      <c r="D1422" s="132">
        <v>9195000</v>
      </c>
      <c r="E1422" s="133">
        <v>41587</v>
      </c>
      <c r="F1422" s="134" t="s">
        <v>2610</v>
      </c>
    </row>
    <row r="1423" spans="1:6">
      <c r="A1423" s="132">
        <v>9480000</v>
      </c>
      <c r="B1423" s="132">
        <v>9440000</v>
      </c>
      <c r="C1423" s="132">
        <v>9480000</v>
      </c>
      <c r="D1423" s="132">
        <v>9440000</v>
      </c>
      <c r="E1423" s="133">
        <v>41585</v>
      </c>
      <c r="F1423" s="134" t="s">
        <v>2611</v>
      </c>
    </row>
    <row r="1424" spans="1:6">
      <c r="A1424" s="132">
        <v>9460000</v>
      </c>
      <c r="B1424" s="132">
        <v>9450000</v>
      </c>
      <c r="C1424" s="132">
        <v>9490000</v>
      </c>
      <c r="D1424" s="132">
        <v>9490000</v>
      </c>
      <c r="E1424" s="133">
        <v>41584</v>
      </c>
      <c r="F1424" s="134" t="s">
        <v>2612</v>
      </c>
    </row>
    <row r="1425" spans="1:6">
      <c r="A1425" s="132">
        <v>9510000</v>
      </c>
      <c r="B1425" s="132">
        <v>9455000</v>
      </c>
      <c r="C1425" s="132">
        <v>9510000</v>
      </c>
      <c r="D1425" s="132">
        <v>9460000</v>
      </c>
      <c r="E1425" s="133">
        <v>41583</v>
      </c>
      <c r="F1425" s="134" t="s">
        <v>2613</v>
      </c>
    </row>
    <row r="1426" spans="1:6">
      <c r="A1426" s="132">
        <v>9570000</v>
      </c>
      <c r="B1426" s="132">
        <v>9490000</v>
      </c>
      <c r="C1426" s="132">
        <v>9570000</v>
      </c>
      <c r="D1426" s="132">
        <v>9510000</v>
      </c>
      <c r="E1426" s="133">
        <v>41582</v>
      </c>
      <c r="F1426" s="134" t="s">
        <v>2614</v>
      </c>
    </row>
    <row r="1427" spans="1:6">
      <c r="A1427" s="132">
        <v>9490000</v>
      </c>
      <c r="B1427" s="132">
        <v>9490000</v>
      </c>
      <c r="C1427" s="132">
        <v>9570000</v>
      </c>
      <c r="D1427" s="132">
        <v>9550000</v>
      </c>
      <c r="E1427" s="133">
        <v>41581</v>
      </c>
      <c r="F1427" s="134" t="s">
        <v>2615</v>
      </c>
    </row>
    <row r="1428" spans="1:6">
      <c r="A1428" s="132">
        <v>9510000</v>
      </c>
      <c r="B1428" s="132">
        <v>9480000</v>
      </c>
      <c r="C1428" s="132">
        <v>9520000</v>
      </c>
      <c r="D1428" s="132">
        <v>9480000</v>
      </c>
      <c r="E1428" s="133">
        <v>41580</v>
      </c>
      <c r="F1428" s="134" t="s">
        <v>2616</v>
      </c>
    </row>
    <row r="1429" spans="1:6">
      <c r="A1429" s="132">
        <v>9610000</v>
      </c>
      <c r="B1429" s="132">
        <v>9570000</v>
      </c>
      <c r="C1429" s="132">
        <v>9620000</v>
      </c>
      <c r="D1429" s="132">
        <v>9570000</v>
      </c>
      <c r="E1429" s="133">
        <v>41578</v>
      </c>
      <c r="F1429" s="134" t="s">
        <v>2617</v>
      </c>
    </row>
    <row r="1430" spans="1:6">
      <c r="A1430" s="132">
        <v>9650000</v>
      </c>
      <c r="B1430" s="132">
        <v>9640000</v>
      </c>
      <c r="C1430" s="132">
        <v>9700000</v>
      </c>
      <c r="D1430" s="132">
        <v>9700000</v>
      </c>
      <c r="E1430" s="133">
        <v>41577</v>
      </c>
      <c r="F1430" s="134" t="s">
        <v>2618</v>
      </c>
    </row>
    <row r="1431" spans="1:6">
      <c r="A1431" s="132">
        <v>9680000</v>
      </c>
      <c r="B1431" s="132">
        <v>9630000</v>
      </c>
      <c r="C1431" s="132">
        <v>9680000</v>
      </c>
      <c r="D1431" s="132">
        <v>9660000</v>
      </c>
      <c r="E1431" s="133">
        <v>41576</v>
      </c>
      <c r="F1431" s="134" t="s">
        <v>2619</v>
      </c>
    </row>
    <row r="1432" spans="1:6">
      <c r="A1432" s="132">
        <v>9630000</v>
      </c>
      <c r="B1432" s="132">
        <v>9605000</v>
      </c>
      <c r="C1432" s="132">
        <v>9710000</v>
      </c>
      <c r="D1432" s="132">
        <v>9710000</v>
      </c>
      <c r="E1432" s="133">
        <v>41575</v>
      </c>
      <c r="F1432" s="134" t="s">
        <v>2620</v>
      </c>
    </row>
    <row r="1433" spans="1:6">
      <c r="A1433" s="132">
        <v>9680000</v>
      </c>
      <c r="B1433" s="132">
        <v>9630000</v>
      </c>
      <c r="C1433" s="132">
        <v>9680000</v>
      </c>
      <c r="D1433" s="132">
        <v>9650000</v>
      </c>
      <c r="E1433" s="133">
        <v>41574</v>
      </c>
      <c r="F1433" s="134" t="s">
        <v>2621</v>
      </c>
    </row>
    <row r="1434" spans="1:6">
      <c r="A1434" s="132">
        <v>9650000</v>
      </c>
      <c r="B1434" s="132">
        <v>9650000</v>
      </c>
      <c r="C1434" s="132">
        <v>9710000</v>
      </c>
      <c r="D1434" s="132">
        <v>9700000</v>
      </c>
      <c r="E1434" s="133">
        <v>41573</v>
      </c>
      <c r="F1434" s="134" t="s">
        <v>2622</v>
      </c>
    </row>
    <row r="1435" spans="1:6">
      <c r="A1435" s="132">
        <v>9590000</v>
      </c>
      <c r="B1435" s="132">
        <v>9570000</v>
      </c>
      <c r="C1435" s="132">
        <v>9610000</v>
      </c>
      <c r="D1435" s="132">
        <v>9610000</v>
      </c>
      <c r="E1435" s="133">
        <v>41571</v>
      </c>
      <c r="F1435" s="134" t="s">
        <v>2623</v>
      </c>
    </row>
    <row r="1436" spans="1:6">
      <c r="A1436" s="132">
        <v>9570000</v>
      </c>
      <c r="B1436" s="132">
        <v>9520000</v>
      </c>
      <c r="C1436" s="132">
        <v>9580000</v>
      </c>
      <c r="D1436" s="132">
        <v>9560000</v>
      </c>
      <c r="E1436" s="133">
        <v>41570</v>
      </c>
      <c r="F1436" s="134" t="s">
        <v>2624</v>
      </c>
    </row>
    <row r="1437" spans="1:6">
      <c r="A1437" s="132">
        <v>9510000</v>
      </c>
      <c r="B1437" s="132">
        <v>9490000</v>
      </c>
      <c r="C1437" s="132">
        <v>9590000</v>
      </c>
      <c r="D1437" s="132">
        <v>9590000</v>
      </c>
      <c r="E1437" s="133">
        <v>41569</v>
      </c>
      <c r="F1437" s="134" t="s">
        <v>2625</v>
      </c>
    </row>
    <row r="1438" spans="1:6">
      <c r="A1438" s="132">
        <v>9580000</v>
      </c>
      <c r="B1438" s="132">
        <v>9475000</v>
      </c>
      <c r="C1438" s="132">
        <v>9580000</v>
      </c>
      <c r="D1438" s="132">
        <v>9535000</v>
      </c>
      <c r="E1438" s="133">
        <v>41568</v>
      </c>
      <c r="F1438" s="134" t="s">
        <v>2626</v>
      </c>
    </row>
    <row r="1439" spans="1:6">
      <c r="A1439" s="132">
        <v>9560000</v>
      </c>
      <c r="B1439" s="132">
        <v>9540000</v>
      </c>
      <c r="C1439" s="132">
        <v>9560000</v>
      </c>
      <c r="D1439" s="132">
        <v>9560000</v>
      </c>
      <c r="E1439" s="133">
        <v>41567</v>
      </c>
      <c r="F1439" s="134" t="s">
        <v>2627</v>
      </c>
    </row>
    <row r="1440" spans="1:6">
      <c r="A1440" s="132">
        <v>9570000</v>
      </c>
      <c r="B1440" s="132">
        <v>9550000</v>
      </c>
      <c r="C1440" s="132">
        <v>9580000</v>
      </c>
      <c r="D1440" s="132">
        <v>9555000</v>
      </c>
      <c r="E1440" s="133">
        <v>41566</v>
      </c>
      <c r="F1440" s="134" t="s">
        <v>2628</v>
      </c>
    </row>
    <row r="1441" spans="1:6">
      <c r="A1441" s="132">
        <v>9390000</v>
      </c>
      <c r="B1441" s="132">
        <v>9390000</v>
      </c>
      <c r="C1441" s="132">
        <v>9550000</v>
      </c>
      <c r="D1441" s="132">
        <v>9530000</v>
      </c>
      <c r="E1441" s="133">
        <v>41564</v>
      </c>
      <c r="F1441" s="134" t="s">
        <v>2629</v>
      </c>
    </row>
    <row r="1442" spans="1:6">
      <c r="A1442" s="132">
        <v>9390000</v>
      </c>
      <c r="B1442" s="132">
        <v>9310000</v>
      </c>
      <c r="C1442" s="132">
        <v>9400000</v>
      </c>
      <c r="D1442" s="132">
        <v>9370000</v>
      </c>
      <c r="E1442" s="133">
        <v>41562</v>
      </c>
      <c r="F1442" s="134" t="s">
        <v>2630</v>
      </c>
    </row>
    <row r="1443" spans="1:6">
      <c r="A1443" s="132">
        <v>9300000</v>
      </c>
      <c r="B1443" s="132">
        <v>9255000</v>
      </c>
      <c r="C1443" s="132">
        <v>9400000</v>
      </c>
      <c r="D1443" s="132">
        <v>9395000</v>
      </c>
      <c r="E1443" s="133">
        <v>41561</v>
      </c>
      <c r="F1443" s="134" t="s">
        <v>2631</v>
      </c>
    </row>
    <row r="1444" spans="1:6">
      <c r="A1444" s="132">
        <v>9410000</v>
      </c>
      <c r="B1444" s="132">
        <v>9300000</v>
      </c>
      <c r="C1444" s="132">
        <v>9410000</v>
      </c>
      <c r="D1444" s="132">
        <v>9320000</v>
      </c>
      <c r="E1444" s="133">
        <v>41559</v>
      </c>
      <c r="F1444" s="134" t="s">
        <v>2632</v>
      </c>
    </row>
    <row r="1445" spans="1:6">
      <c r="A1445" s="132">
        <v>9625000</v>
      </c>
      <c r="B1445" s="132">
        <v>9560000</v>
      </c>
      <c r="C1445" s="132">
        <v>9625000</v>
      </c>
      <c r="D1445" s="132">
        <v>9560000</v>
      </c>
      <c r="E1445" s="133">
        <v>41557</v>
      </c>
      <c r="F1445" s="134" t="s">
        <v>2633</v>
      </c>
    </row>
    <row r="1446" spans="1:6">
      <c r="A1446" s="132">
        <v>9620000</v>
      </c>
      <c r="B1446" s="132">
        <v>9590000</v>
      </c>
      <c r="C1446" s="132">
        <v>9660000</v>
      </c>
      <c r="D1446" s="132">
        <v>9590000</v>
      </c>
      <c r="E1446" s="133">
        <v>41556</v>
      </c>
      <c r="F1446" s="134" t="s">
        <v>2634</v>
      </c>
    </row>
    <row r="1447" spans="1:6">
      <c r="A1447" s="132">
        <v>9760000</v>
      </c>
      <c r="B1447" s="132">
        <v>9700000</v>
      </c>
      <c r="C1447" s="132">
        <v>9770000</v>
      </c>
      <c r="D1447" s="132">
        <v>9760000</v>
      </c>
      <c r="E1447" s="133">
        <v>41555</v>
      </c>
      <c r="F1447" s="134" t="s">
        <v>2635</v>
      </c>
    </row>
    <row r="1448" spans="1:6">
      <c r="A1448" s="132">
        <v>9740000</v>
      </c>
      <c r="B1448" s="132">
        <v>9670000</v>
      </c>
      <c r="C1448" s="132">
        <v>9740000</v>
      </c>
      <c r="D1448" s="132">
        <v>9740000</v>
      </c>
      <c r="E1448" s="133">
        <v>41554</v>
      </c>
      <c r="F1448" s="134" t="s">
        <v>2636</v>
      </c>
    </row>
    <row r="1449" spans="1:6">
      <c r="A1449" s="132">
        <v>9790000</v>
      </c>
      <c r="B1449" s="132">
        <v>9740000</v>
      </c>
      <c r="C1449" s="132">
        <v>9800000</v>
      </c>
      <c r="D1449" s="132">
        <v>9760000</v>
      </c>
      <c r="E1449" s="133">
        <v>41553</v>
      </c>
      <c r="F1449" s="134" t="s">
        <v>2637</v>
      </c>
    </row>
    <row r="1450" spans="1:6">
      <c r="A1450" s="132">
        <v>9690000</v>
      </c>
      <c r="B1450" s="132">
        <v>9660000</v>
      </c>
      <c r="C1450" s="132">
        <v>9770000</v>
      </c>
      <c r="D1450" s="132">
        <v>9770000</v>
      </c>
      <c r="E1450" s="133">
        <v>41552</v>
      </c>
      <c r="F1450" s="134" t="s">
        <v>2638</v>
      </c>
    </row>
    <row r="1451" spans="1:6">
      <c r="A1451" s="132">
        <v>9710000</v>
      </c>
      <c r="B1451" s="132">
        <v>9650000</v>
      </c>
      <c r="C1451" s="132">
        <v>9710000</v>
      </c>
      <c r="D1451" s="132">
        <v>9650000</v>
      </c>
      <c r="E1451" s="133">
        <v>41550</v>
      </c>
      <c r="F1451" s="134" t="s">
        <v>2639</v>
      </c>
    </row>
    <row r="1452" spans="1:6">
      <c r="A1452" s="132">
        <v>9663000</v>
      </c>
      <c r="B1452" s="132">
        <v>9613000</v>
      </c>
      <c r="C1452" s="132">
        <v>9750000</v>
      </c>
      <c r="D1452" s="132">
        <v>9750000</v>
      </c>
      <c r="E1452" s="133">
        <v>41549</v>
      </c>
      <c r="F1452" s="134" t="s">
        <v>2640</v>
      </c>
    </row>
    <row r="1453" spans="1:6">
      <c r="A1453" s="132">
        <v>9840000</v>
      </c>
      <c r="B1453" s="132">
        <v>9700000</v>
      </c>
      <c r="C1453" s="132">
        <v>9840000</v>
      </c>
      <c r="D1453" s="132">
        <v>9700000</v>
      </c>
      <c r="E1453" s="133">
        <v>41548</v>
      </c>
      <c r="F1453" s="134" t="s">
        <v>2641</v>
      </c>
    </row>
    <row r="1454" spans="1:6">
      <c r="A1454" s="132">
        <v>9880000</v>
      </c>
      <c r="B1454" s="132">
        <v>9650000</v>
      </c>
      <c r="C1454" s="132">
        <v>9880000</v>
      </c>
      <c r="D1454" s="132">
        <v>9660000</v>
      </c>
      <c r="E1454" s="133">
        <v>41547</v>
      </c>
      <c r="F1454" s="134" t="s">
        <v>2642</v>
      </c>
    </row>
    <row r="1455" spans="1:6">
      <c r="A1455" s="132">
        <v>9900000</v>
      </c>
      <c r="B1455" s="132">
        <v>9860000</v>
      </c>
      <c r="C1455" s="132">
        <v>9980000</v>
      </c>
      <c r="D1455" s="132">
        <v>9900000</v>
      </c>
      <c r="E1455" s="133">
        <v>41546</v>
      </c>
      <c r="F1455" s="134" t="s">
        <v>2643</v>
      </c>
    </row>
    <row r="1456" spans="1:6">
      <c r="A1456" s="132">
        <v>9480000</v>
      </c>
      <c r="B1456" s="132">
        <v>9440000</v>
      </c>
      <c r="C1456" s="132">
        <v>9700000</v>
      </c>
      <c r="D1456" s="132">
        <v>9680000</v>
      </c>
      <c r="E1456" s="133">
        <v>41545</v>
      </c>
      <c r="F1456" s="134" t="s">
        <v>2644</v>
      </c>
    </row>
    <row r="1457" spans="1:6">
      <c r="A1457" s="132">
        <v>9790000</v>
      </c>
      <c r="B1457" s="132">
        <v>9710000</v>
      </c>
      <c r="C1457" s="132">
        <v>9790000</v>
      </c>
      <c r="D1457" s="132">
        <v>9710000</v>
      </c>
      <c r="E1457" s="133">
        <v>41543</v>
      </c>
      <c r="F1457" s="134" t="s">
        <v>2645</v>
      </c>
    </row>
    <row r="1458" spans="1:6">
      <c r="A1458" s="132">
        <v>9670000</v>
      </c>
      <c r="B1458" s="132">
        <v>9650000</v>
      </c>
      <c r="C1458" s="132">
        <v>9830000</v>
      </c>
      <c r="D1458" s="132">
        <v>9800000</v>
      </c>
      <c r="E1458" s="133">
        <v>41542</v>
      </c>
      <c r="F1458" s="134" t="s">
        <v>2646</v>
      </c>
    </row>
    <row r="1459" spans="1:6">
      <c r="A1459" s="132">
        <v>9180000</v>
      </c>
      <c r="B1459" s="132">
        <v>9180000</v>
      </c>
      <c r="C1459" s="132">
        <v>9270000</v>
      </c>
      <c r="D1459" s="132">
        <v>9260000</v>
      </c>
      <c r="E1459" s="133">
        <v>41541</v>
      </c>
      <c r="F1459" s="134" t="s">
        <v>2647</v>
      </c>
    </row>
    <row r="1460" spans="1:6">
      <c r="A1460" s="132">
        <v>9220000</v>
      </c>
      <c r="B1460" s="132">
        <v>9170000</v>
      </c>
      <c r="C1460" s="132">
        <v>9330000</v>
      </c>
      <c r="D1460" s="132">
        <v>9310000</v>
      </c>
      <c r="E1460" s="133">
        <v>41539</v>
      </c>
      <c r="F1460" s="134" t="s">
        <v>2648</v>
      </c>
    </row>
    <row r="1461" spans="1:6">
      <c r="A1461" s="132">
        <v>9270000</v>
      </c>
      <c r="B1461" s="132">
        <v>9270000</v>
      </c>
      <c r="C1461" s="132">
        <v>9385000</v>
      </c>
      <c r="D1461" s="132">
        <v>9310000</v>
      </c>
      <c r="E1461" s="133">
        <v>41540</v>
      </c>
      <c r="F1461" s="134" t="s">
        <v>2649</v>
      </c>
    </row>
    <row r="1462" spans="1:6">
      <c r="A1462" s="132">
        <v>9500000</v>
      </c>
      <c r="B1462" s="132">
        <v>9080000</v>
      </c>
      <c r="C1462" s="132">
        <v>9520000</v>
      </c>
      <c r="D1462" s="132">
        <v>9080000</v>
      </c>
      <c r="E1462" s="133">
        <v>41538</v>
      </c>
      <c r="F1462" s="134" t="s">
        <v>2650</v>
      </c>
    </row>
    <row r="1463" spans="1:6">
      <c r="A1463" s="132">
        <v>10010000</v>
      </c>
      <c r="B1463" s="132">
        <v>9970000</v>
      </c>
      <c r="C1463" s="132">
        <v>10080000</v>
      </c>
      <c r="D1463" s="132">
        <v>10000000</v>
      </c>
      <c r="E1463" s="133">
        <v>41536</v>
      </c>
      <c r="F1463" s="134" t="s">
        <v>2651</v>
      </c>
    </row>
    <row r="1464" spans="1:6">
      <c r="A1464" s="132">
        <v>9690000</v>
      </c>
      <c r="B1464" s="132">
        <v>9610000</v>
      </c>
      <c r="C1464" s="132">
        <v>9740000</v>
      </c>
      <c r="D1464" s="132">
        <v>9660000</v>
      </c>
      <c r="E1464" s="133">
        <v>41535</v>
      </c>
      <c r="F1464" s="134" t="s">
        <v>2652</v>
      </c>
    </row>
    <row r="1465" spans="1:6">
      <c r="A1465" s="132">
        <v>9500000</v>
      </c>
      <c r="B1465" s="132">
        <v>9500000</v>
      </c>
      <c r="C1465" s="132">
        <v>9830000</v>
      </c>
      <c r="D1465" s="132">
        <v>9600000</v>
      </c>
      <c r="E1465" s="133">
        <v>41534</v>
      </c>
      <c r="F1465" s="134" t="s">
        <v>2653</v>
      </c>
    </row>
    <row r="1466" spans="1:6">
      <c r="A1466" s="132">
        <v>9880000</v>
      </c>
      <c r="B1466" s="132">
        <v>9630000</v>
      </c>
      <c r="C1466" s="132">
        <v>9880000</v>
      </c>
      <c r="D1466" s="132">
        <v>9640000</v>
      </c>
      <c r="E1466" s="133">
        <v>41533</v>
      </c>
      <c r="F1466" s="134" t="s">
        <v>2654</v>
      </c>
    </row>
    <row r="1467" spans="1:6">
      <c r="A1467" s="132">
        <v>10130000</v>
      </c>
      <c r="B1467" s="132">
        <v>10075000</v>
      </c>
      <c r="C1467" s="132">
        <v>10180000</v>
      </c>
      <c r="D1467" s="132">
        <v>10110000</v>
      </c>
      <c r="E1467" s="133">
        <v>41532</v>
      </c>
      <c r="F1467" s="134" t="s">
        <v>2655</v>
      </c>
    </row>
    <row r="1468" spans="1:6">
      <c r="A1468" s="132">
        <v>10170000</v>
      </c>
      <c r="B1468" s="132">
        <v>10060000</v>
      </c>
      <c r="C1468" s="132">
        <v>10255000</v>
      </c>
      <c r="D1468" s="132">
        <v>10090000</v>
      </c>
      <c r="E1468" s="133">
        <v>41531</v>
      </c>
      <c r="F1468" s="134" t="s">
        <v>2656</v>
      </c>
    </row>
    <row r="1469" spans="1:6">
      <c r="A1469" s="132">
        <v>10400000</v>
      </c>
      <c r="B1469" s="132">
        <v>10300000</v>
      </c>
      <c r="C1469" s="132">
        <v>10400000</v>
      </c>
      <c r="D1469" s="132">
        <v>10350000</v>
      </c>
      <c r="E1469" s="133">
        <v>41529</v>
      </c>
      <c r="F1469" s="134" t="s">
        <v>2657</v>
      </c>
    </row>
    <row r="1470" spans="1:6">
      <c r="A1470" s="132">
        <v>10650000</v>
      </c>
      <c r="B1470" s="132">
        <v>10480000</v>
      </c>
      <c r="C1470" s="132">
        <v>10690000</v>
      </c>
      <c r="D1470" s="132">
        <v>10490000</v>
      </c>
      <c r="E1470" s="133">
        <v>41528</v>
      </c>
      <c r="F1470" s="134" t="s">
        <v>2658</v>
      </c>
    </row>
    <row r="1471" spans="1:6">
      <c r="A1471" s="132">
        <v>10910000</v>
      </c>
      <c r="B1471" s="132">
        <v>10620000</v>
      </c>
      <c r="C1471" s="132">
        <v>10910000</v>
      </c>
      <c r="D1471" s="132">
        <v>10630000</v>
      </c>
      <c r="E1471" s="133">
        <v>41527</v>
      </c>
      <c r="F1471" s="134" t="s">
        <v>2659</v>
      </c>
    </row>
    <row r="1472" spans="1:6">
      <c r="A1472" s="132">
        <v>11230000</v>
      </c>
      <c r="B1472" s="132">
        <v>11050000</v>
      </c>
      <c r="C1472" s="132">
        <v>11260000</v>
      </c>
      <c r="D1472" s="132">
        <v>11080000</v>
      </c>
      <c r="E1472" s="133">
        <v>41526</v>
      </c>
      <c r="F1472" s="134" t="s">
        <v>2660</v>
      </c>
    </row>
    <row r="1473" spans="1:6">
      <c r="A1473" s="132">
        <v>11120000</v>
      </c>
      <c r="B1473" s="132">
        <v>11120000</v>
      </c>
      <c r="C1473" s="132">
        <v>11240000</v>
      </c>
      <c r="D1473" s="132">
        <v>11200000</v>
      </c>
      <c r="E1473" s="133">
        <v>41525</v>
      </c>
      <c r="F1473" s="134" t="s">
        <v>2661</v>
      </c>
    </row>
    <row r="1474" spans="1:6">
      <c r="A1474" s="132">
        <v>11250000</v>
      </c>
      <c r="B1474" s="132">
        <v>11050000</v>
      </c>
      <c r="C1474" s="132">
        <v>11250000</v>
      </c>
      <c r="D1474" s="132">
        <v>11125000</v>
      </c>
      <c r="E1474" s="133">
        <v>41524</v>
      </c>
      <c r="F1474" s="134" t="s">
        <v>2662</v>
      </c>
    </row>
    <row r="1475" spans="1:6">
      <c r="A1475" s="132">
        <v>11350000</v>
      </c>
      <c r="B1475" s="132">
        <v>11320000</v>
      </c>
      <c r="C1475" s="132">
        <v>11470000</v>
      </c>
      <c r="D1475" s="132">
        <v>11470000</v>
      </c>
      <c r="E1475" s="133">
        <v>41522</v>
      </c>
      <c r="F1475" s="134" t="s">
        <v>2663</v>
      </c>
    </row>
    <row r="1476" spans="1:6">
      <c r="A1476" s="132">
        <v>11210000</v>
      </c>
      <c r="B1476" s="132">
        <v>11210000</v>
      </c>
      <c r="C1476" s="132">
        <v>11455000</v>
      </c>
      <c r="D1476" s="132">
        <v>11280000</v>
      </c>
      <c r="E1476" s="133">
        <v>41521</v>
      </c>
      <c r="F1476" s="134" t="s">
        <v>2664</v>
      </c>
    </row>
    <row r="1477" spans="1:6">
      <c r="A1477" s="132">
        <v>10865000</v>
      </c>
      <c r="B1477" s="132">
        <v>10865000</v>
      </c>
      <c r="C1477" s="132">
        <v>11035000</v>
      </c>
      <c r="D1477" s="132">
        <v>11035000</v>
      </c>
      <c r="E1477" s="133">
        <v>41520</v>
      </c>
      <c r="F1477" s="134" t="s">
        <v>2665</v>
      </c>
    </row>
    <row r="1478" spans="1:6">
      <c r="A1478" s="132">
        <v>10820000</v>
      </c>
      <c r="B1478" s="132">
        <v>10820000</v>
      </c>
      <c r="C1478" s="132">
        <v>10920000</v>
      </c>
      <c r="D1478" s="132">
        <v>10880000</v>
      </c>
      <c r="E1478" s="133">
        <v>41518</v>
      </c>
      <c r="F1478" s="134" t="s">
        <v>2666</v>
      </c>
    </row>
    <row r="1479" spans="1:6">
      <c r="A1479" s="132">
        <v>10730000</v>
      </c>
      <c r="B1479" s="132">
        <v>10730000</v>
      </c>
      <c r="C1479" s="132">
        <v>11010000</v>
      </c>
      <c r="D1479" s="132">
        <v>10950000</v>
      </c>
      <c r="E1479" s="133">
        <v>41517</v>
      </c>
      <c r="F1479" s="134" t="s">
        <v>2667</v>
      </c>
    </row>
    <row r="1480" spans="1:6">
      <c r="A1480" s="132">
        <v>10840000</v>
      </c>
      <c r="B1480" s="132">
        <v>10740000</v>
      </c>
      <c r="C1480" s="132">
        <v>10910000</v>
      </c>
      <c r="D1480" s="132">
        <v>10870000</v>
      </c>
      <c r="E1480" s="133">
        <v>41515</v>
      </c>
      <c r="F1480" s="134" t="s">
        <v>2668</v>
      </c>
    </row>
    <row r="1481" spans="1:6">
      <c r="A1481" s="132">
        <v>10950000</v>
      </c>
      <c r="B1481" s="132">
        <v>10950000</v>
      </c>
      <c r="C1481" s="132">
        <v>11180000</v>
      </c>
      <c r="D1481" s="132">
        <v>10950000</v>
      </c>
      <c r="E1481" s="133">
        <v>41514</v>
      </c>
      <c r="F1481" s="134" t="s">
        <v>2669</v>
      </c>
    </row>
    <row r="1482" spans="1:6">
      <c r="A1482" s="132">
        <v>10400000</v>
      </c>
      <c r="B1482" s="132">
        <v>10400000</v>
      </c>
      <c r="C1482" s="132">
        <v>10750000</v>
      </c>
      <c r="D1482" s="132">
        <v>10750000</v>
      </c>
      <c r="E1482" s="133">
        <v>41513</v>
      </c>
      <c r="F1482" s="134" t="s">
        <v>2670</v>
      </c>
    </row>
    <row r="1483" spans="1:6">
      <c r="A1483" s="132">
        <v>10410000</v>
      </c>
      <c r="B1483" s="132">
        <v>10365000</v>
      </c>
      <c r="C1483" s="132">
        <v>10430000</v>
      </c>
      <c r="D1483" s="132">
        <v>10390000</v>
      </c>
      <c r="E1483" s="133">
        <v>41512</v>
      </c>
      <c r="F1483" s="134" t="s">
        <v>2671</v>
      </c>
    </row>
    <row r="1484" spans="1:6">
      <c r="A1484" s="132">
        <v>10360000</v>
      </c>
      <c r="B1484" s="132">
        <v>10325000</v>
      </c>
      <c r="C1484" s="132">
        <v>10475000</v>
      </c>
      <c r="D1484" s="132">
        <v>10420000</v>
      </c>
      <c r="E1484" s="133">
        <v>41511</v>
      </c>
      <c r="F1484" s="134" t="s">
        <v>2672</v>
      </c>
    </row>
    <row r="1485" spans="1:6">
      <c r="A1485" s="132">
        <v>10420000</v>
      </c>
      <c r="B1485" s="132">
        <v>10350000</v>
      </c>
      <c r="C1485" s="132">
        <v>10440000</v>
      </c>
      <c r="D1485" s="132">
        <v>10380000</v>
      </c>
      <c r="E1485" s="133">
        <v>41510</v>
      </c>
      <c r="F1485" s="134" t="s">
        <v>2673</v>
      </c>
    </row>
    <row r="1486" spans="1:6">
      <c r="A1486" s="132">
        <v>10270000</v>
      </c>
      <c r="B1486" s="132">
        <v>10260000</v>
      </c>
      <c r="C1486" s="132">
        <v>10360000</v>
      </c>
      <c r="D1486" s="132">
        <v>10330000</v>
      </c>
      <c r="E1486" s="133">
        <v>41508</v>
      </c>
      <c r="F1486" s="134" t="s">
        <v>2674</v>
      </c>
    </row>
    <row r="1487" spans="1:6">
      <c r="A1487" s="132">
        <v>10200000</v>
      </c>
      <c r="B1487" s="132">
        <v>10100000</v>
      </c>
      <c r="C1487" s="132">
        <v>10220000</v>
      </c>
      <c r="D1487" s="132">
        <v>10200000</v>
      </c>
      <c r="E1487" s="133">
        <v>41507</v>
      </c>
      <c r="F1487" s="134" t="s">
        <v>2675</v>
      </c>
    </row>
    <row r="1488" spans="1:6">
      <c r="A1488" s="132">
        <v>10410000</v>
      </c>
      <c r="B1488" s="132">
        <v>10180000</v>
      </c>
      <c r="C1488" s="132">
        <v>10410000</v>
      </c>
      <c r="D1488" s="132">
        <v>10230000</v>
      </c>
      <c r="E1488" s="133">
        <v>41506</v>
      </c>
      <c r="F1488" s="134" t="s">
        <v>2676</v>
      </c>
    </row>
    <row r="1489" spans="1:6">
      <c r="A1489" s="132">
        <v>10650000</v>
      </c>
      <c r="B1489" s="132">
        <v>10470000</v>
      </c>
      <c r="C1489" s="132">
        <v>10650000</v>
      </c>
      <c r="D1489" s="132">
        <v>10470000</v>
      </c>
      <c r="E1489" s="133">
        <v>41505</v>
      </c>
      <c r="F1489" s="134" t="s">
        <v>2677</v>
      </c>
    </row>
    <row r="1490" spans="1:6">
      <c r="A1490" s="132">
        <v>10530000</v>
      </c>
      <c r="B1490" s="132">
        <v>10530000</v>
      </c>
      <c r="C1490" s="132">
        <v>10700000</v>
      </c>
      <c r="D1490" s="132">
        <v>10670000</v>
      </c>
      <c r="E1490" s="133">
        <v>41504</v>
      </c>
      <c r="F1490" s="134" t="s">
        <v>2678</v>
      </c>
    </row>
    <row r="1491" spans="1:6">
      <c r="A1491" s="132">
        <v>10775000</v>
      </c>
      <c r="B1491" s="132">
        <v>10610000</v>
      </c>
      <c r="C1491" s="132">
        <v>10775000</v>
      </c>
      <c r="D1491" s="132">
        <v>10620000</v>
      </c>
      <c r="E1491" s="133">
        <v>41503</v>
      </c>
      <c r="F1491" s="134" t="s">
        <v>2679</v>
      </c>
    </row>
    <row r="1492" spans="1:6">
      <c r="A1492" s="132">
        <v>10745000</v>
      </c>
      <c r="B1492" s="132">
        <v>10630000</v>
      </c>
      <c r="C1492" s="132">
        <v>10750000</v>
      </c>
      <c r="D1492" s="132">
        <v>10630000</v>
      </c>
      <c r="E1492" s="133">
        <v>41501</v>
      </c>
      <c r="F1492" s="134" t="s">
        <v>2680</v>
      </c>
    </row>
    <row r="1493" spans="1:6">
      <c r="A1493" s="132">
        <v>10550000</v>
      </c>
      <c r="B1493" s="132">
        <v>10550000</v>
      </c>
      <c r="C1493" s="132">
        <v>10720000</v>
      </c>
      <c r="D1493" s="132">
        <v>10720000</v>
      </c>
      <c r="E1493" s="133">
        <v>41500</v>
      </c>
      <c r="F1493" s="134" t="s">
        <v>2681</v>
      </c>
    </row>
    <row r="1494" spans="1:6">
      <c r="A1494" s="132">
        <v>10740000</v>
      </c>
      <c r="B1494" s="132">
        <v>10630000</v>
      </c>
      <c r="C1494" s="132">
        <v>10750000</v>
      </c>
      <c r="D1494" s="132">
        <v>10630000</v>
      </c>
      <c r="E1494" s="133">
        <v>41499</v>
      </c>
      <c r="F1494" s="134" t="s">
        <v>2682</v>
      </c>
    </row>
    <row r="1495" spans="1:6">
      <c r="A1495" s="132">
        <v>10830000</v>
      </c>
      <c r="B1495" s="132">
        <v>10810000</v>
      </c>
      <c r="C1495" s="132">
        <v>10880000</v>
      </c>
      <c r="D1495" s="132">
        <v>10840000</v>
      </c>
      <c r="E1495" s="133">
        <v>41498</v>
      </c>
      <c r="F1495" s="134" t="s">
        <v>2683</v>
      </c>
    </row>
    <row r="1496" spans="1:6">
      <c r="A1496" s="132">
        <v>10760000</v>
      </c>
      <c r="B1496" s="132">
        <v>10730000</v>
      </c>
      <c r="C1496" s="132">
        <v>10760000</v>
      </c>
      <c r="D1496" s="132">
        <v>10750000</v>
      </c>
      <c r="E1496" s="133">
        <v>41497</v>
      </c>
      <c r="F1496" s="134" t="s">
        <v>2684</v>
      </c>
    </row>
    <row r="1497" spans="1:6">
      <c r="A1497" s="132">
        <v>10750000</v>
      </c>
      <c r="B1497" s="132">
        <v>10750000</v>
      </c>
      <c r="C1497" s="132">
        <v>10750000</v>
      </c>
      <c r="D1497" s="132">
        <v>10750000</v>
      </c>
      <c r="E1497" s="133">
        <v>41496</v>
      </c>
      <c r="F1497" s="134" t="s">
        <v>2685</v>
      </c>
    </row>
    <row r="1498" spans="1:6">
      <c r="A1498" s="132">
        <v>10730000</v>
      </c>
      <c r="B1498" s="132">
        <v>10680000</v>
      </c>
      <c r="C1498" s="132">
        <v>10730000</v>
      </c>
      <c r="D1498" s="132">
        <v>10680000</v>
      </c>
      <c r="E1498" s="133">
        <v>41494</v>
      </c>
      <c r="F1498" s="134" t="s">
        <v>2686</v>
      </c>
    </row>
    <row r="1499" spans="1:6">
      <c r="A1499" s="132">
        <v>10640000</v>
      </c>
      <c r="B1499" s="132">
        <v>10600000</v>
      </c>
      <c r="C1499" s="132">
        <v>10670000</v>
      </c>
      <c r="D1499" s="132">
        <v>10650000</v>
      </c>
      <c r="E1499" s="133">
        <v>41493</v>
      </c>
      <c r="F1499" s="134" t="s">
        <v>2687</v>
      </c>
    </row>
    <row r="1500" spans="1:6">
      <c r="A1500" s="132">
        <v>10620000</v>
      </c>
      <c r="B1500" s="132">
        <v>10570000</v>
      </c>
      <c r="C1500" s="132">
        <v>10620000</v>
      </c>
      <c r="D1500" s="132">
        <v>10570000</v>
      </c>
      <c r="E1500" s="133">
        <v>41492</v>
      </c>
      <c r="F1500" s="134" t="s">
        <v>2688</v>
      </c>
    </row>
    <row r="1501" spans="1:6">
      <c r="A1501" s="132">
        <v>10710000</v>
      </c>
      <c r="B1501" s="132">
        <v>10670000</v>
      </c>
      <c r="C1501" s="132">
        <v>10760000</v>
      </c>
      <c r="D1501" s="132">
        <v>10680000</v>
      </c>
      <c r="E1501" s="133">
        <v>41491</v>
      </c>
      <c r="F1501" s="134" t="s">
        <v>2689</v>
      </c>
    </row>
    <row r="1502" spans="1:6">
      <c r="A1502" s="132">
        <v>10890000</v>
      </c>
      <c r="B1502" s="132">
        <v>10780000</v>
      </c>
      <c r="C1502" s="132">
        <v>10950000</v>
      </c>
      <c r="D1502" s="132">
        <v>10780000</v>
      </c>
      <c r="E1502" s="133">
        <v>41490</v>
      </c>
      <c r="F1502" s="134" t="s">
        <v>2690</v>
      </c>
    </row>
    <row r="1503" spans="1:6">
      <c r="A1503" s="132">
        <v>10640000</v>
      </c>
      <c r="B1503" s="132">
        <v>10620000</v>
      </c>
      <c r="C1503" s="132">
        <v>11000000</v>
      </c>
      <c r="D1503" s="132">
        <v>10900000</v>
      </c>
      <c r="E1503" s="133">
        <v>41489</v>
      </c>
      <c r="F1503" s="134" t="s">
        <v>2691</v>
      </c>
    </row>
    <row r="1504" spans="1:6">
      <c r="A1504" s="132">
        <v>10550000</v>
      </c>
      <c r="B1504" s="132">
        <v>10550000</v>
      </c>
      <c r="C1504" s="132">
        <v>10610000</v>
      </c>
      <c r="D1504" s="132">
        <v>10610000</v>
      </c>
      <c r="E1504" s="133">
        <v>41487</v>
      </c>
      <c r="F1504" s="134" t="s">
        <v>2692</v>
      </c>
    </row>
    <row r="1505" spans="1:6">
      <c r="A1505" s="132">
        <v>10600000</v>
      </c>
      <c r="B1505" s="132">
        <v>10560000</v>
      </c>
      <c r="C1505" s="132">
        <v>10600000</v>
      </c>
      <c r="D1505" s="132">
        <v>10560000</v>
      </c>
      <c r="E1505" s="133">
        <v>41486</v>
      </c>
      <c r="F1505" s="134" t="s">
        <v>2693</v>
      </c>
    </row>
    <row r="1506" spans="1:6">
      <c r="A1506" s="132">
        <v>10510000</v>
      </c>
      <c r="B1506" s="132">
        <v>10490000</v>
      </c>
      <c r="C1506" s="132">
        <v>10590000</v>
      </c>
      <c r="D1506" s="132">
        <v>10580000</v>
      </c>
      <c r="E1506" s="133">
        <v>41484</v>
      </c>
      <c r="F1506" s="134" t="s">
        <v>2694</v>
      </c>
    </row>
    <row r="1507" spans="1:6">
      <c r="A1507" s="132">
        <v>10660000</v>
      </c>
      <c r="B1507" s="132">
        <v>10530000</v>
      </c>
      <c r="C1507" s="132">
        <v>10660000</v>
      </c>
      <c r="D1507" s="132">
        <v>10580000</v>
      </c>
      <c r="E1507" s="133">
        <v>41483</v>
      </c>
      <c r="F1507" s="134" t="s">
        <v>2695</v>
      </c>
    </row>
    <row r="1508" spans="1:6">
      <c r="A1508" s="132">
        <v>10340000</v>
      </c>
      <c r="B1508" s="132">
        <v>10340000</v>
      </c>
      <c r="C1508" s="132">
        <v>10510000</v>
      </c>
      <c r="D1508" s="132">
        <v>10510000</v>
      </c>
      <c r="E1508" s="133">
        <v>41482</v>
      </c>
      <c r="F1508" s="134" t="s">
        <v>2696</v>
      </c>
    </row>
    <row r="1509" spans="1:6">
      <c r="A1509" s="132">
        <v>10300000</v>
      </c>
      <c r="B1509" s="132">
        <v>10290000</v>
      </c>
      <c r="C1509" s="132">
        <v>10370000</v>
      </c>
      <c r="D1509" s="132">
        <v>10290000</v>
      </c>
      <c r="E1509" s="133">
        <v>41480</v>
      </c>
      <c r="F1509" s="134" t="s">
        <v>2697</v>
      </c>
    </row>
    <row r="1510" spans="1:6">
      <c r="A1510" s="132">
        <v>10240000</v>
      </c>
      <c r="B1510" s="132">
        <v>10240000</v>
      </c>
      <c r="C1510" s="132">
        <v>10430000</v>
      </c>
      <c r="D1510" s="132">
        <v>10370000</v>
      </c>
      <c r="E1510" s="133">
        <v>41479</v>
      </c>
      <c r="F1510" s="134" t="s">
        <v>2698</v>
      </c>
    </row>
    <row r="1511" spans="1:6">
      <c r="A1511" s="132">
        <v>10340000</v>
      </c>
      <c r="B1511" s="132">
        <v>10280000</v>
      </c>
      <c r="C1511" s="132">
        <v>10400000</v>
      </c>
      <c r="D1511" s="132">
        <v>10400000</v>
      </c>
      <c r="E1511" s="133">
        <v>41477</v>
      </c>
      <c r="F1511" s="134" t="s">
        <v>2699</v>
      </c>
    </row>
    <row r="1512" spans="1:6">
      <c r="A1512" s="132">
        <v>10300000</v>
      </c>
      <c r="B1512" s="132">
        <v>10220000</v>
      </c>
      <c r="C1512" s="132">
        <v>10350000</v>
      </c>
      <c r="D1512" s="132">
        <v>10270000</v>
      </c>
      <c r="E1512" s="133">
        <v>41478</v>
      </c>
      <c r="F1512" s="134" t="s">
        <v>2700</v>
      </c>
    </row>
    <row r="1513" spans="1:6">
      <c r="A1513" s="132">
        <v>9980000</v>
      </c>
      <c r="B1513" s="132">
        <v>9980000</v>
      </c>
      <c r="C1513" s="132">
        <v>10230000</v>
      </c>
      <c r="D1513" s="132">
        <v>10230000</v>
      </c>
      <c r="E1513" s="133">
        <v>41476</v>
      </c>
      <c r="F1513" s="134" t="s">
        <v>2701</v>
      </c>
    </row>
    <row r="1514" spans="1:6">
      <c r="A1514" s="132">
        <v>10310000</v>
      </c>
      <c r="B1514" s="132">
        <v>10120000</v>
      </c>
      <c r="C1514" s="132">
        <v>10370000</v>
      </c>
      <c r="D1514" s="132">
        <v>10120000</v>
      </c>
      <c r="E1514" s="133">
        <v>41475</v>
      </c>
      <c r="F1514" s="134" t="s">
        <v>2702</v>
      </c>
    </row>
    <row r="1515" spans="1:6">
      <c r="A1515" s="132">
        <v>10580000</v>
      </c>
      <c r="B1515" s="132">
        <v>10490000</v>
      </c>
      <c r="C1515" s="132">
        <v>10580000</v>
      </c>
      <c r="D1515" s="132">
        <v>10530000</v>
      </c>
      <c r="E1515" s="133">
        <v>41473</v>
      </c>
      <c r="F1515" s="134" t="s">
        <v>2703</v>
      </c>
    </row>
    <row r="1516" spans="1:6">
      <c r="A1516" s="132">
        <v>10810000</v>
      </c>
      <c r="B1516" s="132">
        <v>10680000</v>
      </c>
      <c r="C1516" s="132">
        <v>10810000</v>
      </c>
      <c r="D1516" s="132">
        <v>10715000</v>
      </c>
      <c r="E1516" s="133">
        <v>41472</v>
      </c>
      <c r="F1516" s="134" t="s">
        <v>2704</v>
      </c>
    </row>
    <row r="1517" spans="1:6">
      <c r="A1517" s="132">
        <v>10810000</v>
      </c>
      <c r="B1517" s="132">
        <v>10800000</v>
      </c>
      <c r="C1517" s="132">
        <v>10890000</v>
      </c>
      <c r="D1517" s="132">
        <v>10860000</v>
      </c>
      <c r="E1517" s="133">
        <v>41471</v>
      </c>
      <c r="F1517" s="134" t="s">
        <v>2705</v>
      </c>
    </row>
    <row r="1518" spans="1:6">
      <c r="A1518" s="132">
        <v>10930000</v>
      </c>
      <c r="B1518" s="132">
        <v>10840000</v>
      </c>
      <c r="C1518" s="132">
        <v>10930000</v>
      </c>
      <c r="D1518" s="132">
        <v>10850000</v>
      </c>
      <c r="E1518" s="133">
        <v>41470</v>
      </c>
      <c r="F1518" s="134" t="s">
        <v>2706</v>
      </c>
    </row>
    <row r="1519" spans="1:6">
      <c r="A1519" s="132">
        <v>10850000</v>
      </c>
      <c r="B1519" s="132">
        <v>10810000</v>
      </c>
      <c r="C1519" s="132">
        <v>10940000</v>
      </c>
      <c r="D1519" s="132">
        <v>10935000</v>
      </c>
      <c r="E1519" s="133">
        <v>41469</v>
      </c>
      <c r="F1519" s="134" t="s">
        <v>2707</v>
      </c>
    </row>
    <row r="1520" spans="1:6">
      <c r="A1520" s="132">
        <v>11040000</v>
      </c>
      <c r="B1520" s="132">
        <v>10870000</v>
      </c>
      <c r="C1520" s="132">
        <v>11040000</v>
      </c>
      <c r="D1520" s="132">
        <v>10870000</v>
      </c>
      <c r="E1520" s="133">
        <v>41468</v>
      </c>
      <c r="F1520" s="134" t="s">
        <v>2708</v>
      </c>
    </row>
    <row r="1521" spans="1:6">
      <c r="A1521" s="132">
        <v>11160000</v>
      </c>
      <c r="B1521" s="132">
        <v>11050000</v>
      </c>
      <c r="C1521" s="132">
        <v>11160000</v>
      </c>
      <c r="D1521" s="132">
        <v>11050000</v>
      </c>
      <c r="E1521" s="133">
        <v>41466</v>
      </c>
      <c r="F1521" s="134" t="s">
        <v>2709</v>
      </c>
    </row>
    <row r="1522" spans="1:6">
      <c r="A1522" s="132">
        <v>10810000</v>
      </c>
      <c r="B1522" s="132">
        <v>10800000</v>
      </c>
      <c r="C1522" s="132">
        <v>10880000</v>
      </c>
      <c r="D1522" s="132">
        <v>10870000</v>
      </c>
      <c r="E1522" s="133">
        <v>41465</v>
      </c>
      <c r="F1522" s="134" t="s">
        <v>2710</v>
      </c>
    </row>
    <row r="1523" spans="1:6">
      <c r="A1523" s="132">
        <v>11020000</v>
      </c>
      <c r="B1523" s="132">
        <v>10850000</v>
      </c>
      <c r="C1523" s="132">
        <v>11020000</v>
      </c>
      <c r="D1523" s="132">
        <v>10865000</v>
      </c>
      <c r="E1523" s="133">
        <v>41464</v>
      </c>
      <c r="F1523" s="134" t="s">
        <v>2711</v>
      </c>
    </row>
    <row r="1524" spans="1:6">
      <c r="A1524" s="132">
        <v>11020000</v>
      </c>
      <c r="B1524" s="132">
        <v>10950000</v>
      </c>
      <c r="C1524" s="132">
        <v>11050000</v>
      </c>
      <c r="D1524" s="132">
        <v>10970000</v>
      </c>
      <c r="E1524" s="133">
        <v>41463</v>
      </c>
      <c r="F1524" s="134" t="s">
        <v>2712</v>
      </c>
    </row>
    <row r="1525" spans="1:6">
      <c r="A1525" s="132">
        <v>10900000</v>
      </c>
      <c r="B1525" s="132">
        <v>10825000</v>
      </c>
      <c r="C1525" s="132">
        <v>11060000</v>
      </c>
      <c r="D1525" s="132">
        <v>11030000</v>
      </c>
      <c r="E1525" s="133">
        <v>41462</v>
      </c>
      <c r="F1525" s="134" t="s">
        <v>2713</v>
      </c>
    </row>
    <row r="1526" spans="1:6">
      <c r="A1526" s="132">
        <v>11100000</v>
      </c>
      <c r="B1526" s="132">
        <v>10920000</v>
      </c>
      <c r="C1526" s="132">
        <v>11150000</v>
      </c>
      <c r="D1526" s="132">
        <v>10930000</v>
      </c>
      <c r="E1526" s="133">
        <v>41461</v>
      </c>
      <c r="F1526" s="134" t="s">
        <v>2714</v>
      </c>
    </row>
    <row r="1527" spans="1:6">
      <c r="A1527" s="132">
        <v>11370000</v>
      </c>
      <c r="B1527" s="132">
        <v>11350000</v>
      </c>
      <c r="C1527" s="132">
        <v>11380000</v>
      </c>
      <c r="D1527" s="132">
        <v>11360000</v>
      </c>
      <c r="E1527" s="133">
        <v>41459</v>
      </c>
      <c r="F1527" s="134" t="s">
        <v>2715</v>
      </c>
    </row>
    <row r="1528" spans="1:6">
      <c r="A1528" s="132">
        <v>11370000</v>
      </c>
      <c r="B1528" s="132">
        <v>11250000</v>
      </c>
      <c r="C1528" s="132">
        <v>11420000</v>
      </c>
      <c r="D1528" s="132">
        <v>11400000</v>
      </c>
      <c r="E1528" s="133">
        <v>41458</v>
      </c>
      <c r="F1528" s="134" t="s">
        <v>2716</v>
      </c>
    </row>
    <row r="1529" spans="1:6">
      <c r="A1529" s="132">
        <v>11500000</v>
      </c>
      <c r="B1529" s="132">
        <v>11430000</v>
      </c>
      <c r="C1529" s="132">
        <v>11530000</v>
      </c>
      <c r="D1529" s="132">
        <v>11450000</v>
      </c>
      <c r="E1529" s="133">
        <v>41457</v>
      </c>
      <c r="F1529" s="134" t="s">
        <v>2717</v>
      </c>
    </row>
    <row r="1530" spans="1:6">
      <c r="A1530" s="132">
        <v>11380000</v>
      </c>
      <c r="B1530" s="132">
        <v>11320000</v>
      </c>
      <c r="C1530" s="132">
        <v>11480000</v>
      </c>
      <c r="D1530" s="132">
        <v>11410000</v>
      </c>
      <c r="E1530" s="133">
        <v>41456</v>
      </c>
      <c r="F1530" s="134" t="s">
        <v>2718</v>
      </c>
    </row>
    <row r="1531" spans="1:6">
      <c r="A1531" s="132">
        <v>11010000</v>
      </c>
      <c r="B1531" s="132">
        <v>10960000</v>
      </c>
      <c r="C1531" s="132">
        <v>11120000</v>
      </c>
      <c r="D1531" s="132">
        <v>11110000</v>
      </c>
      <c r="E1531" s="133">
        <v>41455</v>
      </c>
      <c r="F1531" s="134" t="s">
        <v>2719</v>
      </c>
    </row>
    <row r="1532" spans="1:6">
      <c r="A1532" s="132">
        <v>11020000</v>
      </c>
      <c r="B1532" s="132">
        <v>10860000</v>
      </c>
      <c r="C1532" s="132">
        <v>11070000</v>
      </c>
      <c r="D1532" s="132">
        <v>10900000</v>
      </c>
      <c r="E1532" s="133">
        <v>41454</v>
      </c>
      <c r="F1532" s="134" t="s">
        <v>2720</v>
      </c>
    </row>
    <row r="1533" spans="1:6">
      <c r="A1533" s="132">
        <v>11000000</v>
      </c>
      <c r="B1533" s="132">
        <v>10920000</v>
      </c>
      <c r="C1533" s="132">
        <v>11110000</v>
      </c>
      <c r="D1533" s="132">
        <v>10950000</v>
      </c>
      <c r="E1533" s="133">
        <v>41452</v>
      </c>
      <c r="F1533" s="134" t="s">
        <v>2721</v>
      </c>
    </row>
    <row r="1534" spans="1:6">
      <c r="A1534" s="132">
        <v>10680000</v>
      </c>
      <c r="B1534" s="132">
        <v>10660000</v>
      </c>
      <c r="C1534" s="132">
        <v>10930000</v>
      </c>
      <c r="D1534" s="132">
        <v>10830000</v>
      </c>
      <c r="E1534" s="133">
        <v>41451</v>
      </c>
      <c r="F1534" s="134" t="s">
        <v>2722</v>
      </c>
    </row>
    <row r="1535" spans="1:6">
      <c r="A1535" s="132">
        <v>10620000</v>
      </c>
      <c r="B1535" s="132">
        <v>10580000</v>
      </c>
      <c r="C1535" s="132">
        <v>11120000</v>
      </c>
      <c r="D1535" s="132">
        <v>10900000</v>
      </c>
      <c r="E1535" s="133">
        <v>41450</v>
      </c>
      <c r="F1535" s="134" t="s">
        <v>2723</v>
      </c>
    </row>
    <row r="1536" spans="1:6">
      <c r="A1536" s="132">
        <v>10980000</v>
      </c>
      <c r="B1536" s="132">
        <v>10980000</v>
      </c>
      <c r="C1536" s="132">
        <v>10980000</v>
      </c>
      <c r="D1536" s="132">
        <v>10980000</v>
      </c>
      <c r="E1536" s="133">
        <v>41449</v>
      </c>
      <c r="F1536" s="134" t="s">
        <v>2724</v>
      </c>
    </row>
    <row r="1537" spans="1:6">
      <c r="A1537" s="132">
        <v>10880000</v>
      </c>
      <c r="B1537" s="132">
        <v>10380000</v>
      </c>
      <c r="C1537" s="132">
        <v>11300000</v>
      </c>
      <c r="D1537" s="132">
        <v>10970000</v>
      </c>
      <c r="E1537" s="133">
        <v>41448</v>
      </c>
      <c r="F1537" s="134" t="s">
        <v>2725</v>
      </c>
    </row>
    <row r="1538" spans="1:6">
      <c r="A1538" s="132">
        <v>11640000</v>
      </c>
      <c r="B1538" s="132">
        <v>11080000</v>
      </c>
      <c r="C1538" s="132">
        <v>11640000</v>
      </c>
      <c r="D1538" s="132">
        <v>11200000</v>
      </c>
      <c r="E1538" s="133">
        <v>41447</v>
      </c>
      <c r="F1538" s="134" t="s">
        <v>2726</v>
      </c>
    </row>
    <row r="1539" spans="1:6">
      <c r="A1539" s="132">
        <v>11800000</v>
      </c>
      <c r="B1539" s="132">
        <v>11600000</v>
      </c>
      <c r="C1539" s="132">
        <v>11810000</v>
      </c>
      <c r="D1539" s="132">
        <v>11710000</v>
      </c>
      <c r="E1539" s="133">
        <v>41445</v>
      </c>
      <c r="F1539" s="134" t="s">
        <v>2727</v>
      </c>
    </row>
    <row r="1540" spans="1:6">
      <c r="A1540" s="132">
        <v>12230000</v>
      </c>
      <c r="B1540" s="132">
        <v>12030000</v>
      </c>
      <c r="C1540" s="132">
        <v>12250000</v>
      </c>
      <c r="D1540" s="132">
        <v>12050000</v>
      </c>
      <c r="E1540" s="133">
        <v>41444</v>
      </c>
      <c r="F1540" s="134" t="s">
        <v>2728</v>
      </c>
    </row>
    <row r="1541" spans="1:6">
      <c r="A1541" s="132">
        <v>12680000</v>
      </c>
      <c r="B1541" s="132">
        <v>12350000</v>
      </c>
      <c r="C1541" s="132">
        <v>12680000</v>
      </c>
      <c r="D1541" s="132">
        <v>12350000</v>
      </c>
      <c r="E1541" s="133">
        <v>41443</v>
      </c>
      <c r="F1541" s="134" t="s">
        <v>2729</v>
      </c>
    </row>
    <row r="1542" spans="1:6">
      <c r="A1542" s="132">
        <v>12380000</v>
      </c>
      <c r="B1542" s="132">
        <v>12280000</v>
      </c>
      <c r="C1542" s="132">
        <v>12570000</v>
      </c>
      <c r="D1542" s="132">
        <v>12550000</v>
      </c>
      <c r="E1542" s="133">
        <v>41442</v>
      </c>
      <c r="F1542" s="134" t="s">
        <v>2730</v>
      </c>
    </row>
    <row r="1543" spans="1:6">
      <c r="A1543" s="132">
        <v>12500000</v>
      </c>
      <c r="B1543" s="132">
        <v>12380000</v>
      </c>
      <c r="C1543" s="132">
        <v>12680000</v>
      </c>
      <c r="D1543" s="132">
        <v>12600000</v>
      </c>
      <c r="E1543" s="133">
        <v>41441</v>
      </c>
      <c r="F1543" s="134" t="s">
        <v>2731</v>
      </c>
    </row>
    <row r="1544" spans="1:6">
      <c r="A1544" s="132">
        <v>12650000</v>
      </c>
      <c r="B1544" s="132">
        <v>12000000</v>
      </c>
      <c r="C1544" s="132">
        <v>12680000</v>
      </c>
      <c r="D1544" s="132">
        <v>12120000</v>
      </c>
      <c r="E1544" s="133">
        <v>41440</v>
      </c>
      <c r="F1544" s="134" t="s">
        <v>2732</v>
      </c>
    </row>
    <row r="1545" spans="1:6">
      <c r="A1545" s="132">
        <v>13100000</v>
      </c>
      <c r="B1545" s="132">
        <v>13050000</v>
      </c>
      <c r="C1545" s="132">
        <v>13120000</v>
      </c>
      <c r="D1545" s="132">
        <v>13080000</v>
      </c>
      <c r="E1545" s="133">
        <v>41438</v>
      </c>
      <c r="F1545" s="134" t="s">
        <v>2733</v>
      </c>
    </row>
    <row r="1546" spans="1:6">
      <c r="A1546" s="132">
        <v>12660000</v>
      </c>
      <c r="B1546" s="132">
        <v>12660000</v>
      </c>
      <c r="C1546" s="132">
        <v>13050000</v>
      </c>
      <c r="D1546" s="132">
        <v>12990000</v>
      </c>
      <c r="E1546" s="133">
        <v>41437</v>
      </c>
      <c r="F1546" s="134" t="s">
        <v>2734</v>
      </c>
    </row>
    <row r="1547" spans="1:6">
      <c r="A1547" s="132">
        <v>12660000</v>
      </c>
      <c r="B1547" s="132">
        <v>12450000</v>
      </c>
      <c r="C1547" s="132">
        <v>12660000</v>
      </c>
      <c r="D1547" s="132">
        <v>12630000</v>
      </c>
      <c r="E1547" s="133">
        <v>41436</v>
      </c>
      <c r="F1547" s="134" t="s">
        <v>2735</v>
      </c>
    </row>
    <row r="1548" spans="1:6">
      <c r="A1548" s="132">
        <v>12840000</v>
      </c>
      <c r="B1548" s="132">
        <v>12780000</v>
      </c>
      <c r="C1548" s="132">
        <v>12880000</v>
      </c>
      <c r="D1548" s="132">
        <v>12800000</v>
      </c>
      <c r="E1548" s="133">
        <v>41435</v>
      </c>
      <c r="F1548" s="134" t="s">
        <v>2736</v>
      </c>
    </row>
    <row r="1549" spans="1:6">
      <c r="A1549" s="132">
        <v>13040000</v>
      </c>
      <c r="B1549" s="132">
        <v>12890000</v>
      </c>
      <c r="C1549" s="132">
        <v>13040000</v>
      </c>
      <c r="D1549" s="132">
        <v>12900000</v>
      </c>
      <c r="E1549" s="133">
        <v>41434</v>
      </c>
      <c r="F1549" s="134" t="s">
        <v>2737</v>
      </c>
    </row>
    <row r="1550" spans="1:6">
      <c r="A1550" s="132">
        <v>13030000</v>
      </c>
      <c r="B1550" s="132">
        <v>13030000</v>
      </c>
      <c r="C1550" s="132">
        <v>13080000</v>
      </c>
      <c r="D1550" s="132">
        <v>13050000</v>
      </c>
      <c r="E1550" s="133">
        <v>41433</v>
      </c>
      <c r="F1550" s="134" t="s">
        <v>2738</v>
      </c>
    </row>
    <row r="1551" spans="1:6">
      <c r="A1551" s="132">
        <v>12960000</v>
      </c>
      <c r="B1551" s="132">
        <v>12960000</v>
      </c>
      <c r="C1551" s="132">
        <v>13050000</v>
      </c>
      <c r="D1551" s="132">
        <v>13050000</v>
      </c>
      <c r="E1551" s="133">
        <v>41428</v>
      </c>
      <c r="F1551" s="134" t="s">
        <v>2739</v>
      </c>
    </row>
    <row r="1552" spans="1:6">
      <c r="A1552" s="132">
        <v>13110000</v>
      </c>
      <c r="B1552" s="132">
        <v>12950000</v>
      </c>
      <c r="C1552" s="132">
        <v>13140000</v>
      </c>
      <c r="D1552" s="132">
        <v>12950000</v>
      </c>
      <c r="E1552" s="133">
        <v>41427</v>
      </c>
      <c r="F1552" s="134" t="s">
        <v>2740</v>
      </c>
    </row>
    <row r="1553" spans="1:6">
      <c r="A1553" s="132">
        <v>13110000</v>
      </c>
      <c r="B1553" s="132">
        <v>13110000</v>
      </c>
      <c r="C1553" s="132">
        <v>13230000</v>
      </c>
      <c r="D1553" s="132">
        <v>13120000</v>
      </c>
      <c r="E1553" s="133">
        <v>41426</v>
      </c>
      <c r="F1553" s="134" t="s">
        <v>2741</v>
      </c>
    </row>
    <row r="1554" spans="1:6">
      <c r="A1554" s="132">
        <v>13210000</v>
      </c>
      <c r="B1554" s="132">
        <v>13210000</v>
      </c>
      <c r="C1554" s="132">
        <v>13210000</v>
      </c>
      <c r="D1554" s="132">
        <v>13210000</v>
      </c>
      <c r="E1554" s="133">
        <v>41425</v>
      </c>
      <c r="F1554" s="134" t="s">
        <v>2742</v>
      </c>
    </row>
    <row r="1555" spans="1:6">
      <c r="A1555" s="132">
        <v>13150000</v>
      </c>
      <c r="B1555" s="132">
        <v>13080000</v>
      </c>
      <c r="C1555" s="132">
        <v>13200000</v>
      </c>
      <c r="D1555" s="132">
        <v>13190000</v>
      </c>
      <c r="E1555" s="133">
        <v>41424</v>
      </c>
      <c r="F1555" s="134" t="s">
        <v>2743</v>
      </c>
    </row>
    <row r="1556" spans="1:6">
      <c r="A1556" s="132">
        <v>13330000</v>
      </c>
      <c r="B1556" s="132">
        <v>13170000</v>
      </c>
      <c r="C1556" s="132">
        <v>13340000</v>
      </c>
      <c r="D1556" s="132">
        <v>13180000</v>
      </c>
      <c r="E1556" s="133">
        <v>41423</v>
      </c>
      <c r="F1556" s="134" t="s">
        <v>2744</v>
      </c>
    </row>
    <row r="1557" spans="1:6">
      <c r="A1557" s="132">
        <v>13440000</v>
      </c>
      <c r="B1557" s="132">
        <v>13340000</v>
      </c>
      <c r="C1557" s="132">
        <v>13440000</v>
      </c>
      <c r="D1557" s="132">
        <v>13400000</v>
      </c>
      <c r="E1557" s="133">
        <v>41422</v>
      </c>
      <c r="F1557" s="134" t="s">
        <v>2745</v>
      </c>
    </row>
    <row r="1558" spans="1:6">
      <c r="A1558" s="132">
        <v>13330000</v>
      </c>
      <c r="B1558" s="132">
        <v>13200000</v>
      </c>
      <c r="C1558" s="132">
        <v>13380000</v>
      </c>
      <c r="D1558" s="132">
        <v>13215000</v>
      </c>
      <c r="E1558" s="133">
        <v>41421</v>
      </c>
      <c r="F1558" s="134" t="s">
        <v>2746</v>
      </c>
    </row>
    <row r="1559" spans="1:6">
      <c r="A1559" s="132">
        <v>13300000</v>
      </c>
      <c r="B1559" s="132">
        <v>13250000</v>
      </c>
      <c r="C1559" s="132">
        <v>13540000</v>
      </c>
      <c r="D1559" s="132">
        <v>13280000</v>
      </c>
      <c r="E1559" s="133">
        <v>41420</v>
      </c>
      <c r="F1559" s="134" t="s">
        <v>2747</v>
      </c>
    </row>
    <row r="1560" spans="1:6">
      <c r="A1560" s="132">
        <v>12980000</v>
      </c>
      <c r="B1560" s="132">
        <v>12970000</v>
      </c>
      <c r="C1560" s="132">
        <v>13240000</v>
      </c>
      <c r="D1560" s="132">
        <v>13240000</v>
      </c>
      <c r="E1560" s="133">
        <v>41419</v>
      </c>
      <c r="F1560" s="134" t="s">
        <v>2748</v>
      </c>
    </row>
    <row r="1561" spans="1:6">
      <c r="A1561" s="132">
        <v>12260000</v>
      </c>
      <c r="B1561" s="132">
        <v>12200000</v>
      </c>
      <c r="C1561" s="132">
        <v>12570000</v>
      </c>
      <c r="D1561" s="132">
        <v>12560000</v>
      </c>
      <c r="E1561" s="133">
        <v>41415</v>
      </c>
      <c r="F1561" s="134" t="s">
        <v>2749</v>
      </c>
    </row>
    <row r="1562" spans="1:6">
      <c r="A1562" s="132">
        <v>12950000</v>
      </c>
      <c r="B1562" s="132">
        <v>12910000</v>
      </c>
      <c r="C1562" s="132">
        <v>13080000</v>
      </c>
      <c r="D1562" s="132">
        <v>12930000</v>
      </c>
      <c r="E1562" s="133">
        <v>41417</v>
      </c>
      <c r="F1562" s="134" t="s">
        <v>2750</v>
      </c>
    </row>
    <row r="1563" spans="1:6">
      <c r="A1563" s="132">
        <v>11720000</v>
      </c>
      <c r="B1563" s="132">
        <v>11570000</v>
      </c>
      <c r="C1563" s="132">
        <v>12040000</v>
      </c>
      <c r="D1563" s="132">
        <v>12000000</v>
      </c>
      <c r="E1563" s="133">
        <v>41414</v>
      </c>
      <c r="F1563" s="134" t="s">
        <v>2751</v>
      </c>
    </row>
    <row r="1564" spans="1:6">
      <c r="A1564" s="132">
        <v>12810000</v>
      </c>
      <c r="B1564" s="132">
        <v>12780000</v>
      </c>
      <c r="C1564" s="132">
        <v>13270000</v>
      </c>
      <c r="D1564" s="132">
        <v>13250000</v>
      </c>
      <c r="E1564" s="133">
        <v>41416</v>
      </c>
      <c r="F1564" s="134" t="s">
        <v>2752</v>
      </c>
    </row>
    <row r="1565" spans="1:6">
      <c r="A1565" s="132">
        <v>12240000</v>
      </c>
      <c r="B1565" s="132">
        <v>11960000</v>
      </c>
      <c r="C1565" s="132">
        <v>12260000</v>
      </c>
      <c r="D1565" s="132">
        <v>11970000</v>
      </c>
      <c r="E1565" s="133">
        <v>41413</v>
      </c>
      <c r="F1565" s="134" t="s">
        <v>2753</v>
      </c>
    </row>
    <row r="1566" spans="1:6">
      <c r="A1566" s="132">
        <v>12630000</v>
      </c>
      <c r="B1566" s="132">
        <v>12440000</v>
      </c>
      <c r="C1566" s="132">
        <v>12630000</v>
      </c>
      <c r="D1566" s="132">
        <v>12470000</v>
      </c>
      <c r="E1566" s="133">
        <v>41412</v>
      </c>
      <c r="F1566" s="134" t="s">
        <v>2754</v>
      </c>
    </row>
    <row r="1567" spans="1:6">
      <c r="A1567" s="132">
        <v>12840000</v>
      </c>
      <c r="B1567" s="132">
        <v>12720000</v>
      </c>
      <c r="C1567" s="132">
        <v>12850000</v>
      </c>
      <c r="D1567" s="132">
        <v>12780000</v>
      </c>
      <c r="E1567" s="133">
        <v>41410</v>
      </c>
      <c r="F1567" s="134" t="s">
        <v>2755</v>
      </c>
    </row>
    <row r="1568" spans="1:6">
      <c r="A1568" s="132">
        <v>12910000</v>
      </c>
      <c r="B1568" s="132">
        <v>12830000</v>
      </c>
      <c r="C1568" s="132">
        <v>12940000</v>
      </c>
      <c r="D1568" s="132">
        <v>12830000</v>
      </c>
      <c r="E1568" s="133">
        <v>41409</v>
      </c>
      <c r="F1568" s="134" t="s">
        <v>2756</v>
      </c>
    </row>
    <row r="1569" spans="1:6">
      <c r="A1569" s="132">
        <v>13110000</v>
      </c>
      <c r="B1569" s="132">
        <v>13000000</v>
      </c>
      <c r="C1569" s="132">
        <v>13150000</v>
      </c>
      <c r="D1569" s="132">
        <v>13040000</v>
      </c>
      <c r="E1569" s="133">
        <v>41408</v>
      </c>
      <c r="F1569" s="134" t="s">
        <v>2757</v>
      </c>
    </row>
    <row r="1570" spans="1:6">
      <c r="A1570" s="132">
        <v>12930000</v>
      </c>
      <c r="B1570" s="132">
        <v>12930000</v>
      </c>
      <c r="C1570" s="132">
        <v>13040000</v>
      </c>
      <c r="D1570" s="132">
        <v>12975000</v>
      </c>
      <c r="E1570" s="133">
        <v>41407</v>
      </c>
      <c r="F1570" s="134" t="s">
        <v>2758</v>
      </c>
    </row>
    <row r="1571" spans="1:6">
      <c r="A1571" s="132">
        <v>12870000</v>
      </c>
      <c r="B1571" s="132">
        <v>12870000</v>
      </c>
      <c r="C1571" s="132">
        <v>13020000</v>
      </c>
      <c r="D1571" s="132">
        <v>13000000</v>
      </c>
      <c r="E1571" s="133">
        <v>41406</v>
      </c>
      <c r="F1571" s="134" t="s">
        <v>2759</v>
      </c>
    </row>
    <row r="1572" spans="1:6">
      <c r="A1572" s="132">
        <v>13030000</v>
      </c>
      <c r="B1572" s="132">
        <v>12820000</v>
      </c>
      <c r="C1572" s="132">
        <v>13110000</v>
      </c>
      <c r="D1572" s="132">
        <v>12820000</v>
      </c>
      <c r="E1572" s="133">
        <v>41405</v>
      </c>
      <c r="F1572" s="134" t="s">
        <v>2760</v>
      </c>
    </row>
    <row r="1573" spans="1:6">
      <c r="A1573" s="132">
        <v>13180000</v>
      </c>
      <c r="B1573" s="132">
        <v>13120000</v>
      </c>
      <c r="C1573" s="132">
        <v>13180000</v>
      </c>
      <c r="D1573" s="132">
        <v>13140000</v>
      </c>
      <c r="E1573" s="133">
        <v>41403</v>
      </c>
      <c r="F1573" s="134" t="s">
        <v>2761</v>
      </c>
    </row>
    <row r="1574" spans="1:6">
      <c r="A1574" s="132">
        <v>13300000</v>
      </c>
      <c r="B1574" s="132">
        <v>13030000</v>
      </c>
      <c r="C1574" s="132">
        <v>13300000</v>
      </c>
      <c r="D1574" s="132">
        <v>13150000</v>
      </c>
      <c r="E1574" s="133">
        <v>41402</v>
      </c>
      <c r="F1574" s="134" t="s">
        <v>2762</v>
      </c>
    </row>
    <row r="1575" spans="1:6">
      <c r="A1575" s="132">
        <v>13350000</v>
      </c>
      <c r="B1575" s="132">
        <v>13290000</v>
      </c>
      <c r="C1575" s="132">
        <v>13370000</v>
      </c>
      <c r="D1575" s="132">
        <v>13290000</v>
      </c>
      <c r="E1575" s="133">
        <v>41401</v>
      </c>
      <c r="F1575" s="134" t="s">
        <v>2763</v>
      </c>
    </row>
    <row r="1576" spans="1:6">
      <c r="A1576" s="132">
        <v>13540000</v>
      </c>
      <c r="B1576" s="132">
        <v>13430000</v>
      </c>
      <c r="C1576" s="132">
        <v>13540000</v>
      </c>
      <c r="D1576" s="132">
        <v>13440000</v>
      </c>
      <c r="E1576" s="133">
        <v>41400</v>
      </c>
      <c r="F1576" s="134" t="s">
        <v>2764</v>
      </c>
    </row>
    <row r="1577" spans="1:6">
      <c r="A1577" s="132">
        <v>13480000</v>
      </c>
      <c r="B1577" s="132">
        <v>13450000</v>
      </c>
      <c r="C1577" s="132">
        <v>13580000</v>
      </c>
      <c r="D1577" s="132">
        <v>13580000</v>
      </c>
      <c r="E1577" s="133">
        <v>41399</v>
      </c>
      <c r="F1577" s="134" t="s">
        <v>2765</v>
      </c>
    </row>
    <row r="1578" spans="1:6">
      <c r="A1578" s="132">
        <v>13450000</v>
      </c>
      <c r="B1578" s="132">
        <v>13420000</v>
      </c>
      <c r="C1578" s="132">
        <v>13470000</v>
      </c>
      <c r="D1578" s="132">
        <v>13425000</v>
      </c>
      <c r="E1578" s="133">
        <v>41398</v>
      </c>
      <c r="F1578" s="134" t="s">
        <v>2766</v>
      </c>
    </row>
    <row r="1579" spans="1:6">
      <c r="A1579" s="132">
        <v>13430000</v>
      </c>
      <c r="B1579" s="132">
        <v>13370000</v>
      </c>
      <c r="C1579" s="132">
        <v>13470000</v>
      </c>
      <c r="D1579" s="132">
        <v>13460000</v>
      </c>
      <c r="E1579" s="133">
        <v>41396</v>
      </c>
      <c r="F1579" s="134" t="s">
        <v>2767</v>
      </c>
    </row>
    <row r="1580" spans="1:6">
      <c r="A1580" s="132">
        <v>13570000</v>
      </c>
      <c r="B1580" s="132">
        <v>13450000</v>
      </c>
      <c r="C1580" s="132">
        <v>13570000</v>
      </c>
      <c r="D1580" s="132">
        <v>13450000</v>
      </c>
      <c r="E1580" s="133">
        <v>41395</v>
      </c>
      <c r="F1580" s="134" t="s">
        <v>2768</v>
      </c>
    </row>
    <row r="1581" spans="1:6">
      <c r="A1581" s="132">
        <v>13650000</v>
      </c>
      <c r="B1581" s="132">
        <v>13560000</v>
      </c>
      <c r="C1581" s="132">
        <v>13680000</v>
      </c>
      <c r="D1581" s="132">
        <v>13580000</v>
      </c>
      <c r="E1581" s="133">
        <v>41394</v>
      </c>
      <c r="F1581" s="134" t="s">
        <v>2769</v>
      </c>
    </row>
    <row r="1582" spans="1:6">
      <c r="A1582" s="132">
        <v>13700000</v>
      </c>
      <c r="B1582" s="132">
        <v>13640000</v>
      </c>
      <c r="C1582" s="132">
        <v>13780000</v>
      </c>
      <c r="D1582" s="132">
        <v>13680000</v>
      </c>
      <c r="E1582" s="133">
        <v>41393</v>
      </c>
      <c r="F1582" s="134" t="s">
        <v>2770</v>
      </c>
    </row>
    <row r="1583" spans="1:6">
      <c r="A1583" s="132">
        <v>13530000</v>
      </c>
      <c r="B1583" s="132">
        <v>13450000</v>
      </c>
      <c r="C1583" s="132">
        <v>13690000</v>
      </c>
      <c r="D1583" s="132">
        <v>13620000</v>
      </c>
      <c r="E1583" s="133">
        <v>41392</v>
      </c>
      <c r="F1583" s="134" t="s">
        <v>2771</v>
      </c>
    </row>
    <row r="1584" spans="1:6">
      <c r="A1584" s="132">
        <v>13650000</v>
      </c>
      <c r="B1584" s="132">
        <v>13500000</v>
      </c>
      <c r="C1584" s="132">
        <v>13670000</v>
      </c>
      <c r="D1584" s="132">
        <v>13550000</v>
      </c>
      <c r="E1584" s="133">
        <v>41391</v>
      </c>
      <c r="F1584" s="134" t="s">
        <v>2772</v>
      </c>
    </row>
    <row r="1585" spans="1:6">
      <c r="A1585" s="132">
        <v>13780000</v>
      </c>
      <c r="B1585" s="132">
        <v>13690000</v>
      </c>
      <c r="C1585" s="132">
        <v>13850000</v>
      </c>
      <c r="D1585" s="132">
        <v>13750000</v>
      </c>
      <c r="E1585" s="133">
        <v>41389</v>
      </c>
      <c r="F1585" s="134" t="s">
        <v>2773</v>
      </c>
    </row>
    <row r="1586" spans="1:6">
      <c r="A1586" s="132">
        <v>13510000</v>
      </c>
      <c r="B1586" s="132">
        <v>13480000</v>
      </c>
      <c r="C1586" s="132">
        <v>13720000</v>
      </c>
      <c r="D1586" s="132">
        <v>13710000</v>
      </c>
      <c r="E1586" s="133">
        <v>41388</v>
      </c>
      <c r="F1586" s="134" t="s">
        <v>2774</v>
      </c>
    </row>
    <row r="1587" spans="1:6">
      <c r="A1587" s="132">
        <v>13310000</v>
      </c>
      <c r="B1587" s="132">
        <v>13260000</v>
      </c>
      <c r="C1587" s="132">
        <v>13400000</v>
      </c>
      <c r="D1587" s="132">
        <v>13330000</v>
      </c>
      <c r="E1587" s="133">
        <v>41387</v>
      </c>
      <c r="F1587" s="134" t="s">
        <v>2775</v>
      </c>
    </row>
    <row r="1588" spans="1:6">
      <c r="A1588" s="132">
        <v>13260000</v>
      </c>
      <c r="B1588" s="132">
        <v>13220000</v>
      </c>
      <c r="C1588" s="132">
        <v>13500000</v>
      </c>
      <c r="D1588" s="132">
        <v>13390000</v>
      </c>
      <c r="E1588" s="133">
        <v>41386</v>
      </c>
      <c r="F1588" s="134" t="s">
        <v>2776</v>
      </c>
    </row>
    <row r="1589" spans="1:6">
      <c r="A1589" s="132">
        <v>13000000</v>
      </c>
      <c r="B1589" s="132">
        <v>12960000</v>
      </c>
      <c r="C1589" s="132">
        <v>13170000</v>
      </c>
      <c r="D1589" s="132">
        <v>13130000</v>
      </c>
      <c r="E1589" s="133">
        <v>41385</v>
      </c>
      <c r="F1589" s="134" t="s">
        <v>2777</v>
      </c>
    </row>
    <row r="1590" spans="1:6">
      <c r="A1590" s="132">
        <v>13140000</v>
      </c>
      <c r="B1590" s="132">
        <v>12920000</v>
      </c>
      <c r="C1590" s="132">
        <v>13150000</v>
      </c>
      <c r="D1590" s="132">
        <v>12950000</v>
      </c>
      <c r="E1590" s="133">
        <v>41384</v>
      </c>
      <c r="F1590" s="134" t="s">
        <v>2778</v>
      </c>
    </row>
    <row r="1591" spans="1:6">
      <c r="A1591" s="132">
        <v>13120000</v>
      </c>
      <c r="B1591" s="132">
        <v>13090000</v>
      </c>
      <c r="C1591" s="132">
        <v>13130000</v>
      </c>
      <c r="D1591" s="132">
        <v>13110000</v>
      </c>
      <c r="E1591" s="133">
        <v>41382</v>
      </c>
      <c r="F1591" s="134" t="s">
        <v>2779</v>
      </c>
    </row>
    <row r="1592" spans="1:6">
      <c r="A1592" s="132">
        <v>13110000</v>
      </c>
      <c r="B1592" s="132">
        <v>13080000</v>
      </c>
      <c r="C1592" s="132">
        <v>13140000</v>
      </c>
      <c r="D1592" s="132">
        <v>13140000</v>
      </c>
      <c r="E1592" s="133">
        <v>41381</v>
      </c>
      <c r="F1592" s="134" t="s">
        <v>2780</v>
      </c>
    </row>
    <row r="1593" spans="1:6">
      <c r="A1593" s="132">
        <v>13120000</v>
      </c>
      <c r="B1593" s="132">
        <v>13070000</v>
      </c>
      <c r="C1593" s="132">
        <v>13180000</v>
      </c>
      <c r="D1593" s="132">
        <v>13160000</v>
      </c>
      <c r="E1593" s="133">
        <v>41380</v>
      </c>
      <c r="F1593" s="134" t="s">
        <v>2781</v>
      </c>
    </row>
    <row r="1594" spans="1:6">
      <c r="A1594" s="132">
        <v>13380000</v>
      </c>
      <c r="B1594" s="132">
        <v>13100000</v>
      </c>
      <c r="C1594" s="132">
        <v>13390000</v>
      </c>
      <c r="D1594" s="132">
        <v>13100000</v>
      </c>
      <c r="E1594" s="133">
        <v>41379</v>
      </c>
      <c r="F1594" s="134" t="s">
        <v>2782</v>
      </c>
    </row>
    <row r="1595" spans="1:6">
      <c r="A1595" s="132">
        <v>13320000</v>
      </c>
      <c r="B1595" s="132">
        <v>13320000</v>
      </c>
      <c r="C1595" s="132">
        <v>13550000</v>
      </c>
      <c r="D1595" s="132">
        <v>13550000</v>
      </c>
      <c r="E1595" s="133">
        <v>41377</v>
      </c>
      <c r="F1595" s="134" t="s">
        <v>2783</v>
      </c>
    </row>
    <row r="1596" spans="1:6">
      <c r="A1596" s="132">
        <v>13890000</v>
      </c>
      <c r="B1596" s="132">
        <v>13820000</v>
      </c>
      <c r="C1596" s="132">
        <v>13900000</v>
      </c>
      <c r="D1596" s="132">
        <v>13900000</v>
      </c>
      <c r="E1596" s="133">
        <v>41375</v>
      </c>
      <c r="F1596" s="134" t="s">
        <v>2784</v>
      </c>
    </row>
    <row r="1597" spans="1:6">
      <c r="A1597" s="132">
        <v>14180000</v>
      </c>
      <c r="B1597" s="132">
        <v>14000000</v>
      </c>
      <c r="C1597" s="132">
        <v>14220000</v>
      </c>
      <c r="D1597" s="132">
        <v>14000000</v>
      </c>
      <c r="E1597" s="133">
        <v>41374</v>
      </c>
      <c r="F1597" s="134" t="s">
        <v>2785</v>
      </c>
    </row>
    <row r="1598" spans="1:6">
      <c r="A1598" s="132">
        <v>14180000</v>
      </c>
      <c r="B1598" s="132">
        <v>14140000</v>
      </c>
      <c r="C1598" s="132">
        <v>14270000</v>
      </c>
      <c r="D1598" s="132">
        <v>14170000</v>
      </c>
      <c r="E1598" s="133">
        <v>41373</v>
      </c>
      <c r="F1598" s="134" t="s">
        <v>2786</v>
      </c>
    </row>
    <row r="1599" spans="1:6">
      <c r="A1599" s="132">
        <v>14350000</v>
      </c>
      <c r="B1599" s="132">
        <v>14070000</v>
      </c>
      <c r="C1599" s="132">
        <v>14350000</v>
      </c>
      <c r="D1599" s="132">
        <v>14070000</v>
      </c>
      <c r="E1599" s="133">
        <v>41372</v>
      </c>
      <c r="F1599" s="134" t="s">
        <v>2787</v>
      </c>
    </row>
    <row r="1600" spans="1:6">
      <c r="A1600" s="132">
        <v>14350000</v>
      </c>
      <c r="B1600" s="132">
        <v>14170000</v>
      </c>
      <c r="C1600" s="132">
        <v>14410000</v>
      </c>
      <c r="D1600" s="132">
        <v>14410000</v>
      </c>
      <c r="E1600" s="133">
        <v>41371</v>
      </c>
      <c r="F1600" s="134" t="s">
        <v>2788</v>
      </c>
    </row>
    <row r="1601" spans="1:6">
      <c r="A1601" s="132">
        <v>13920000</v>
      </c>
      <c r="B1601" s="132">
        <v>13750000</v>
      </c>
      <c r="C1601" s="132">
        <v>13960000</v>
      </c>
      <c r="D1601" s="132">
        <v>13750000</v>
      </c>
      <c r="E1601" s="133">
        <v>41370</v>
      </c>
      <c r="F1601" s="134" t="s">
        <v>2789</v>
      </c>
    </row>
    <row r="1602" spans="1:6">
      <c r="A1602" s="132">
        <v>13470000</v>
      </c>
      <c r="B1602" s="132">
        <v>13450000</v>
      </c>
      <c r="C1602" s="132">
        <v>13470000</v>
      </c>
      <c r="D1602" s="132">
        <v>13460000</v>
      </c>
      <c r="E1602" s="133">
        <v>41368</v>
      </c>
      <c r="F1602" s="134" t="s">
        <v>2790</v>
      </c>
    </row>
    <row r="1603" spans="1:6">
      <c r="A1603" s="132">
        <v>13390000</v>
      </c>
      <c r="B1603" s="132">
        <v>13390000</v>
      </c>
      <c r="C1603" s="132">
        <v>13530000</v>
      </c>
      <c r="D1603" s="132">
        <v>13530000</v>
      </c>
      <c r="E1603" s="133">
        <v>41367</v>
      </c>
      <c r="F1603" s="134" t="s">
        <v>2791</v>
      </c>
    </row>
    <row r="1604" spans="1:6">
      <c r="A1604" s="132">
        <v>13580000</v>
      </c>
      <c r="B1604" s="132">
        <v>13530000</v>
      </c>
      <c r="C1604" s="132">
        <v>13580000</v>
      </c>
      <c r="D1604" s="132">
        <v>13550000</v>
      </c>
      <c r="E1604" s="133">
        <v>41364</v>
      </c>
      <c r="F1604" s="134" t="s">
        <v>2792</v>
      </c>
    </row>
    <row r="1605" spans="1:6">
      <c r="A1605" s="132">
        <v>13750000</v>
      </c>
      <c r="B1605" s="132">
        <v>13650000</v>
      </c>
      <c r="C1605" s="132">
        <v>13750000</v>
      </c>
      <c r="D1605" s="132">
        <v>13650000</v>
      </c>
      <c r="E1605" s="133">
        <v>41363</v>
      </c>
      <c r="F1605" s="134" t="s">
        <v>2793</v>
      </c>
    </row>
    <row r="1606" spans="1:6">
      <c r="A1606" s="132">
        <v>13750000</v>
      </c>
      <c r="B1606" s="132">
        <v>13750000</v>
      </c>
      <c r="C1606" s="132">
        <v>13800000</v>
      </c>
      <c r="D1606" s="132">
        <v>13800000</v>
      </c>
      <c r="E1606" s="133">
        <v>41361</v>
      </c>
      <c r="F1606" s="134" t="s">
        <v>2794</v>
      </c>
    </row>
    <row r="1607" spans="1:6">
      <c r="A1607" s="132">
        <v>13700000</v>
      </c>
      <c r="B1607" s="132">
        <v>13700000</v>
      </c>
      <c r="C1607" s="132">
        <v>13700000</v>
      </c>
      <c r="D1607" s="132">
        <v>13700000</v>
      </c>
      <c r="E1607" s="133">
        <v>41360</v>
      </c>
      <c r="F1607" s="134" t="s">
        <v>2795</v>
      </c>
    </row>
    <row r="1608" spans="1:6">
      <c r="A1608" s="132">
        <v>13510000</v>
      </c>
      <c r="B1608" s="132">
        <v>13370000</v>
      </c>
      <c r="C1608" s="132">
        <v>13530000</v>
      </c>
      <c r="D1608" s="132">
        <v>13520000</v>
      </c>
      <c r="E1608" s="133">
        <v>41351</v>
      </c>
      <c r="F1608" s="134" t="s">
        <v>2796</v>
      </c>
    </row>
    <row r="1609" spans="1:6">
      <c r="A1609" s="132">
        <v>13180000</v>
      </c>
      <c r="B1609" s="132">
        <v>13180000</v>
      </c>
      <c r="C1609" s="132">
        <v>13600000</v>
      </c>
      <c r="D1609" s="132">
        <v>13460000</v>
      </c>
      <c r="E1609" s="133">
        <v>41350</v>
      </c>
      <c r="F1609" s="134" t="s">
        <v>2797</v>
      </c>
    </row>
    <row r="1610" spans="1:6">
      <c r="A1610" s="132">
        <v>13340000</v>
      </c>
      <c r="B1610" s="132">
        <v>12950000</v>
      </c>
      <c r="C1610" s="132">
        <v>13350000</v>
      </c>
      <c r="D1610" s="132">
        <v>13050000</v>
      </c>
      <c r="E1610" s="133">
        <v>41349</v>
      </c>
      <c r="F1610" s="134" t="s">
        <v>2798</v>
      </c>
    </row>
    <row r="1611" spans="1:6">
      <c r="A1611" s="132">
        <v>13560000</v>
      </c>
      <c r="B1611" s="132">
        <v>13440000</v>
      </c>
      <c r="C1611" s="132">
        <v>13600000</v>
      </c>
      <c r="D1611" s="132">
        <v>13440000</v>
      </c>
      <c r="E1611" s="133">
        <v>41347</v>
      </c>
      <c r="F1611" s="134" t="s">
        <v>2799</v>
      </c>
    </row>
    <row r="1612" spans="1:6">
      <c r="A1612" s="132">
        <v>13600000</v>
      </c>
      <c r="B1612" s="132">
        <v>13560000</v>
      </c>
      <c r="C1612" s="132">
        <v>13780000</v>
      </c>
      <c r="D1612" s="132">
        <v>13710000</v>
      </c>
      <c r="E1612" s="133">
        <v>41346</v>
      </c>
      <c r="F1612" s="134" t="s">
        <v>2800</v>
      </c>
    </row>
    <row r="1613" spans="1:6">
      <c r="A1613" s="132">
        <v>13820000</v>
      </c>
      <c r="B1613" s="132">
        <v>13740000</v>
      </c>
      <c r="C1613" s="132">
        <v>13840000</v>
      </c>
      <c r="D1613" s="132">
        <v>13770000</v>
      </c>
      <c r="E1613" s="133">
        <v>41345</v>
      </c>
      <c r="F1613" s="134" t="s">
        <v>2801</v>
      </c>
    </row>
    <row r="1614" spans="1:6">
      <c r="A1614" s="132">
        <v>13930000</v>
      </c>
      <c r="B1614" s="132">
        <v>13770000</v>
      </c>
      <c r="C1614" s="132">
        <v>14050000</v>
      </c>
      <c r="D1614" s="132">
        <v>13850000</v>
      </c>
      <c r="E1614" s="133">
        <v>41344</v>
      </c>
      <c r="F1614" s="134" t="s">
        <v>2802</v>
      </c>
    </row>
    <row r="1615" spans="1:6">
      <c r="A1615" s="132">
        <v>13540000</v>
      </c>
      <c r="B1615" s="132">
        <v>13540000</v>
      </c>
      <c r="C1615" s="132">
        <v>13830000</v>
      </c>
      <c r="D1615" s="132">
        <v>13820000</v>
      </c>
      <c r="E1615" s="133">
        <v>41343</v>
      </c>
      <c r="F1615" s="134" t="s">
        <v>2803</v>
      </c>
    </row>
    <row r="1616" spans="1:6">
      <c r="A1616" s="132">
        <v>13900000</v>
      </c>
      <c r="B1616" s="132">
        <v>13700000</v>
      </c>
      <c r="C1616" s="132">
        <v>13940000</v>
      </c>
      <c r="D1616" s="132">
        <v>13730000</v>
      </c>
      <c r="E1616" s="133">
        <v>41342</v>
      </c>
      <c r="F1616" s="134" t="s">
        <v>2804</v>
      </c>
    </row>
    <row r="1617" spans="1:6">
      <c r="A1617" s="132">
        <v>14350000</v>
      </c>
      <c r="B1617" s="132">
        <v>13950000</v>
      </c>
      <c r="C1617" s="132">
        <v>14350000</v>
      </c>
      <c r="D1617" s="132">
        <v>14050000</v>
      </c>
      <c r="E1617" s="133">
        <v>41340</v>
      </c>
      <c r="F1617" s="134" t="s">
        <v>2805</v>
      </c>
    </row>
    <row r="1618" spans="1:6">
      <c r="A1618" s="132">
        <v>13850000</v>
      </c>
      <c r="B1618" s="132">
        <v>13780000</v>
      </c>
      <c r="C1618" s="132">
        <v>14210000</v>
      </c>
      <c r="D1618" s="132">
        <v>14180000</v>
      </c>
      <c r="E1618" s="133">
        <v>41339</v>
      </c>
      <c r="F1618" s="134" t="s">
        <v>2806</v>
      </c>
    </row>
    <row r="1619" spans="1:6">
      <c r="A1619" s="132">
        <v>13360000</v>
      </c>
      <c r="B1619" s="132">
        <v>13250000</v>
      </c>
      <c r="C1619" s="132">
        <v>13750000</v>
      </c>
      <c r="D1619" s="132">
        <v>13620000</v>
      </c>
      <c r="E1619" s="133">
        <v>41338</v>
      </c>
      <c r="F1619" s="134" t="s">
        <v>2807</v>
      </c>
    </row>
    <row r="1620" spans="1:6">
      <c r="A1620" s="132">
        <v>13300000</v>
      </c>
      <c r="B1620" s="132">
        <v>12800000</v>
      </c>
      <c r="C1620" s="132">
        <v>13300000</v>
      </c>
      <c r="D1620" s="132">
        <v>13160000</v>
      </c>
      <c r="E1620" s="133">
        <v>41337</v>
      </c>
      <c r="F1620" s="134" t="s">
        <v>2808</v>
      </c>
    </row>
    <row r="1621" spans="1:6">
      <c r="A1621" s="132">
        <v>13800000</v>
      </c>
      <c r="B1621" s="132">
        <v>13580000</v>
      </c>
      <c r="C1621" s="132">
        <v>13900000</v>
      </c>
      <c r="D1621" s="132">
        <v>13800000</v>
      </c>
      <c r="E1621" s="133">
        <v>41336</v>
      </c>
      <c r="F1621" s="134" t="s">
        <v>2809</v>
      </c>
    </row>
    <row r="1622" spans="1:6">
      <c r="A1622" s="132">
        <v>14350000</v>
      </c>
      <c r="B1622" s="132">
        <v>13950000</v>
      </c>
      <c r="C1622" s="132">
        <v>14360000</v>
      </c>
      <c r="D1622" s="132">
        <v>13950000</v>
      </c>
      <c r="E1622" s="133">
        <v>41335</v>
      </c>
      <c r="F1622" s="134" t="s">
        <v>2810</v>
      </c>
    </row>
    <row r="1623" spans="1:6">
      <c r="A1623" s="132">
        <v>14450000</v>
      </c>
      <c r="B1623" s="132">
        <v>14440000</v>
      </c>
      <c r="C1623" s="132">
        <v>14560000</v>
      </c>
      <c r="D1623" s="132">
        <v>14450000</v>
      </c>
      <c r="E1623" s="133">
        <v>41333</v>
      </c>
      <c r="F1623" s="134" t="s">
        <v>2811</v>
      </c>
    </row>
    <row r="1624" spans="1:6">
      <c r="A1624" s="132">
        <v>15000000</v>
      </c>
      <c r="B1624" s="132">
        <v>14450000</v>
      </c>
      <c r="C1624" s="132">
        <v>15000000</v>
      </c>
      <c r="D1624" s="132">
        <v>14620000</v>
      </c>
      <c r="E1624" s="133">
        <v>41332</v>
      </c>
      <c r="F1624" s="134" t="s">
        <v>2812</v>
      </c>
    </row>
    <row r="1625" spans="1:6">
      <c r="A1625" s="132">
        <v>14590000</v>
      </c>
      <c r="B1625" s="132">
        <v>14570000</v>
      </c>
      <c r="C1625" s="132">
        <v>14950000</v>
      </c>
      <c r="D1625" s="132">
        <v>14900000</v>
      </c>
      <c r="E1625" s="133">
        <v>41331</v>
      </c>
      <c r="F1625" s="134" t="s">
        <v>2813</v>
      </c>
    </row>
    <row r="1626" spans="1:6">
      <c r="A1626" s="132">
        <v>14250000</v>
      </c>
      <c r="B1626" s="132">
        <v>14250000</v>
      </c>
      <c r="C1626" s="132">
        <v>14450000</v>
      </c>
      <c r="D1626" s="132">
        <v>14420000</v>
      </c>
      <c r="E1626" s="133">
        <v>41330</v>
      </c>
      <c r="F1626" s="134" t="s">
        <v>2814</v>
      </c>
    </row>
    <row r="1627" spans="1:6">
      <c r="A1627" s="132">
        <v>14020000</v>
      </c>
      <c r="B1627" s="132">
        <v>13930000</v>
      </c>
      <c r="C1627" s="132">
        <v>14090000</v>
      </c>
      <c r="D1627" s="132">
        <v>14080000</v>
      </c>
      <c r="E1627" s="133">
        <v>41329</v>
      </c>
      <c r="F1627" s="134" t="s">
        <v>2815</v>
      </c>
    </row>
    <row r="1628" spans="1:6">
      <c r="A1628" s="132">
        <v>14170000</v>
      </c>
      <c r="B1628" s="132">
        <v>13970000</v>
      </c>
      <c r="C1628" s="132">
        <v>14200000</v>
      </c>
      <c r="D1628" s="132">
        <v>13980000</v>
      </c>
      <c r="E1628" s="133">
        <v>41328</v>
      </c>
      <c r="F1628" s="134" t="s">
        <v>2816</v>
      </c>
    </row>
    <row r="1629" spans="1:6">
      <c r="A1629" s="132">
        <v>13880000</v>
      </c>
      <c r="B1629" s="132">
        <v>13880000</v>
      </c>
      <c r="C1629" s="132">
        <v>13980000</v>
      </c>
      <c r="D1629" s="132">
        <v>13980000</v>
      </c>
      <c r="E1629" s="133">
        <v>41326</v>
      </c>
      <c r="F1629" s="134" t="s">
        <v>2817</v>
      </c>
    </row>
    <row r="1630" spans="1:6">
      <c r="A1630" s="132">
        <v>14220000</v>
      </c>
      <c r="B1630" s="132">
        <v>14050000</v>
      </c>
      <c r="C1630" s="132">
        <v>14250000</v>
      </c>
      <c r="D1630" s="132">
        <v>14130000</v>
      </c>
      <c r="E1630" s="133">
        <v>41325</v>
      </c>
      <c r="F1630" s="134" t="s">
        <v>2818</v>
      </c>
    </row>
    <row r="1631" spans="1:6">
      <c r="A1631" s="132">
        <v>14450000</v>
      </c>
      <c r="B1631" s="132">
        <v>14290000</v>
      </c>
      <c r="C1631" s="132">
        <v>14490000</v>
      </c>
      <c r="D1631" s="132">
        <v>14290000</v>
      </c>
      <c r="E1631" s="133">
        <v>41324</v>
      </c>
      <c r="F1631" s="134" t="s">
        <v>2819</v>
      </c>
    </row>
    <row r="1632" spans="1:6">
      <c r="A1632" s="132">
        <v>14150000</v>
      </c>
      <c r="B1632" s="132">
        <v>14130000</v>
      </c>
      <c r="C1632" s="132">
        <v>14330000</v>
      </c>
      <c r="D1632" s="132">
        <v>14260000</v>
      </c>
      <c r="E1632" s="133">
        <v>41323</v>
      </c>
      <c r="F1632" s="134" t="s">
        <v>2820</v>
      </c>
    </row>
    <row r="1633" spans="1:6">
      <c r="A1633" s="132">
        <v>14350000</v>
      </c>
      <c r="B1633" s="132">
        <v>14110000</v>
      </c>
      <c r="C1633" s="132">
        <v>14380000</v>
      </c>
      <c r="D1633" s="132">
        <v>14110000</v>
      </c>
      <c r="E1633" s="133">
        <v>41322</v>
      </c>
      <c r="F1633" s="134" t="s">
        <v>2821</v>
      </c>
    </row>
    <row r="1634" spans="1:6">
      <c r="A1634" s="132">
        <v>14300000</v>
      </c>
      <c r="B1634" s="132">
        <v>14160000</v>
      </c>
      <c r="C1634" s="132">
        <v>14430000</v>
      </c>
      <c r="D1634" s="132">
        <v>14370000</v>
      </c>
      <c r="E1634" s="133">
        <v>41321</v>
      </c>
      <c r="F1634" s="134" t="s">
        <v>2822</v>
      </c>
    </row>
    <row r="1635" spans="1:6">
      <c r="A1635" s="132">
        <v>14400000</v>
      </c>
      <c r="B1635" s="132">
        <v>14400000</v>
      </c>
      <c r="C1635" s="132">
        <v>14570000</v>
      </c>
      <c r="D1635" s="132">
        <v>14550000</v>
      </c>
      <c r="E1635" s="133">
        <v>41319</v>
      </c>
      <c r="F1635" s="134" t="s">
        <v>2823</v>
      </c>
    </row>
    <row r="1636" spans="1:6">
      <c r="A1636" s="132">
        <v>13700000</v>
      </c>
      <c r="B1636" s="132">
        <v>13600000</v>
      </c>
      <c r="C1636" s="132">
        <v>14250000</v>
      </c>
      <c r="D1636" s="132">
        <v>14150000</v>
      </c>
      <c r="E1636" s="133">
        <v>41318</v>
      </c>
      <c r="F1636" s="134" t="s">
        <v>2824</v>
      </c>
    </row>
    <row r="1637" spans="1:6">
      <c r="A1637" s="132">
        <v>14550000</v>
      </c>
      <c r="B1637" s="132">
        <v>14100000</v>
      </c>
      <c r="C1637" s="132">
        <v>14570000</v>
      </c>
      <c r="D1637" s="132">
        <v>14100000</v>
      </c>
      <c r="E1637" s="133">
        <v>41317</v>
      </c>
      <c r="F1637" s="134" t="s">
        <v>2825</v>
      </c>
    </row>
    <row r="1638" spans="1:6">
      <c r="A1638" s="132">
        <v>14800000</v>
      </c>
      <c r="B1638" s="132">
        <v>14300000</v>
      </c>
      <c r="C1638" s="132">
        <v>14800000</v>
      </c>
      <c r="D1638" s="132">
        <v>14350000</v>
      </c>
      <c r="E1638" s="133">
        <v>41316</v>
      </c>
      <c r="F1638" s="134" t="s">
        <v>2826</v>
      </c>
    </row>
    <row r="1639" spans="1:6">
      <c r="A1639" s="132">
        <v>14830000</v>
      </c>
      <c r="B1639" s="132">
        <v>14830000</v>
      </c>
      <c r="C1639" s="132">
        <v>14970000</v>
      </c>
      <c r="D1639" s="132">
        <v>14900000</v>
      </c>
      <c r="E1639" s="133">
        <v>41314</v>
      </c>
      <c r="F1639" s="134" t="s">
        <v>2827</v>
      </c>
    </row>
    <row r="1640" spans="1:6">
      <c r="A1640" s="132">
        <v>14980000</v>
      </c>
      <c r="B1640" s="132">
        <v>14700000</v>
      </c>
      <c r="C1640" s="132">
        <v>15330000</v>
      </c>
      <c r="D1640" s="132">
        <v>14900000</v>
      </c>
      <c r="E1640" s="133">
        <v>41312</v>
      </c>
      <c r="F1640" s="134" t="s">
        <v>2828</v>
      </c>
    </row>
    <row r="1641" spans="1:6">
      <c r="A1641" s="132">
        <v>14700000</v>
      </c>
      <c r="B1641" s="132">
        <v>14130000</v>
      </c>
      <c r="C1641" s="132">
        <v>14800000</v>
      </c>
      <c r="D1641" s="132">
        <v>14730000</v>
      </c>
      <c r="E1641" s="133">
        <v>41311</v>
      </c>
      <c r="F1641" s="134" t="s">
        <v>2829</v>
      </c>
    </row>
    <row r="1642" spans="1:6">
      <c r="A1642" s="132">
        <v>15650000</v>
      </c>
      <c r="B1642" s="132">
        <v>14900000</v>
      </c>
      <c r="C1642" s="132">
        <v>15690000</v>
      </c>
      <c r="D1642" s="132">
        <v>14900000</v>
      </c>
      <c r="E1642" s="133">
        <v>41310</v>
      </c>
      <c r="F1642" s="134" t="s">
        <v>2830</v>
      </c>
    </row>
    <row r="1643" spans="1:6">
      <c r="A1643" s="132">
        <v>15270000</v>
      </c>
      <c r="B1643" s="132">
        <v>15180000</v>
      </c>
      <c r="C1643" s="132">
        <v>15520000</v>
      </c>
      <c r="D1643" s="132">
        <v>15450000</v>
      </c>
      <c r="E1643" s="133">
        <v>41309</v>
      </c>
      <c r="F1643" s="134" t="s">
        <v>2831</v>
      </c>
    </row>
    <row r="1644" spans="1:6">
      <c r="A1644" s="132">
        <v>15100000</v>
      </c>
      <c r="B1644" s="132">
        <v>14900000</v>
      </c>
      <c r="C1644" s="132">
        <v>15300000</v>
      </c>
      <c r="D1644" s="132">
        <v>15300000</v>
      </c>
      <c r="E1644" s="133">
        <v>41308</v>
      </c>
      <c r="F1644" s="134" t="s">
        <v>2832</v>
      </c>
    </row>
    <row r="1645" spans="1:6">
      <c r="A1645" s="132">
        <v>15620000</v>
      </c>
      <c r="B1645" s="132">
        <v>14850000</v>
      </c>
      <c r="C1645" s="132">
        <v>15620000</v>
      </c>
      <c r="D1645" s="132">
        <v>15300000</v>
      </c>
      <c r="E1645" s="133">
        <v>41307</v>
      </c>
      <c r="F1645" s="134" t="s">
        <v>2833</v>
      </c>
    </row>
    <row r="1646" spans="1:6">
      <c r="A1646" s="132">
        <v>15250000</v>
      </c>
      <c r="B1646" s="132">
        <v>15250000</v>
      </c>
      <c r="C1646" s="132">
        <v>15600000</v>
      </c>
      <c r="D1646" s="132">
        <v>15600000</v>
      </c>
      <c r="E1646" s="133">
        <v>41305</v>
      </c>
      <c r="F1646" s="134" t="s">
        <v>2834</v>
      </c>
    </row>
    <row r="1647" spans="1:6">
      <c r="A1647" s="132">
        <v>14700000</v>
      </c>
      <c r="B1647" s="132">
        <v>14700000</v>
      </c>
      <c r="C1647" s="132">
        <v>15000000</v>
      </c>
      <c r="D1647" s="132">
        <v>14980000</v>
      </c>
      <c r="E1647" s="133">
        <v>41304</v>
      </c>
      <c r="F1647" s="134" t="s">
        <v>2835</v>
      </c>
    </row>
    <row r="1648" spans="1:6">
      <c r="A1648" s="132">
        <v>14620000</v>
      </c>
      <c r="B1648" s="132">
        <v>14550000</v>
      </c>
      <c r="C1648" s="132">
        <v>14680000</v>
      </c>
      <c r="D1648" s="132">
        <v>14670000</v>
      </c>
      <c r="E1648" s="133">
        <v>41302</v>
      </c>
      <c r="F1648" s="134" t="s">
        <v>2836</v>
      </c>
    </row>
    <row r="1649" spans="1:6">
      <c r="A1649" s="132">
        <v>14580000</v>
      </c>
      <c r="B1649" s="132">
        <v>14470000</v>
      </c>
      <c r="C1649" s="132">
        <v>14730000</v>
      </c>
      <c r="D1649" s="132">
        <v>14470000</v>
      </c>
      <c r="E1649" s="133">
        <v>41301</v>
      </c>
      <c r="F1649" s="134" t="s">
        <v>2837</v>
      </c>
    </row>
    <row r="1650" spans="1:6">
      <c r="A1650" s="132">
        <v>13970000</v>
      </c>
      <c r="B1650" s="132">
        <v>13950000</v>
      </c>
      <c r="C1650" s="132">
        <v>14350000</v>
      </c>
      <c r="D1650" s="132">
        <v>14340000</v>
      </c>
      <c r="E1650" s="133">
        <v>41300</v>
      </c>
      <c r="F1650" s="134" t="s">
        <v>2838</v>
      </c>
    </row>
    <row r="1651" spans="1:6">
      <c r="A1651" s="132">
        <v>14000000</v>
      </c>
      <c r="B1651" s="132">
        <v>13900000</v>
      </c>
      <c r="C1651" s="132">
        <v>14030000</v>
      </c>
      <c r="D1651" s="132">
        <v>13920000</v>
      </c>
      <c r="E1651" s="133">
        <v>41298</v>
      </c>
      <c r="F1651" s="134" t="s">
        <v>2839</v>
      </c>
    </row>
    <row r="1652" spans="1:6">
      <c r="A1652" s="132">
        <v>14220000</v>
      </c>
      <c r="B1652" s="132">
        <v>14150000</v>
      </c>
      <c r="C1652" s="132">
        <v>14290000</v>
      </c>
      <c r="D1652" s="132">
        <v>14180000</v>
      </c>
      <c r="E1652" s="133">
        <v>41297</v>
      </c>
      <c r="F1652" s="134" t="s">
        <v>2840</v>
      </c>
    </row>
    <row r="1653" spans="1:6">
      <c r="A1653" s="132">
        <v>14600000</v>
      </c>
      <c r="B1653" s="132">
        <v>14100000</v>
      </c>
      <c r="C1653" s="132">
        <v>14600000</v>
      </c>
      <c r="D1653" s="132">
        <v>14340000</v>
      </c>
      <c r="E1653" s="133">
        <v>41296</v>
      </c>
      <c r="F1653" s="134" t="s">
        <v>2841</v>
      </c>
    </row>
    <row r="1654" spans="1:6">
      <c r="A1654" s="132">
        <v>14100000</v>
      </c>
      <c r="B1654" s="132">
        <v>14070000</v>
      </c>
      <c r="C1654" s="132">
        <v>14350000</v>
      </c>
      <c r="D1654" s="132">
        <v>14290000</v>
      </c>
      <c r="E1654" s="133">
        <v>41295</v>
      </c>
      <c r="F1654" s="134" t="s">
        <v>2842</v>
      </c>
    </row>
    <row r="1655" spans="1:6">
      <c r="A1655" s="132">
        <v>13620000</v>
      </c>
      <c r="B1655" s="132">
        <v>13600000</v>
      </c>
      <c r="C1655" s="132">
        <v>13950000</v>
      </c>
      <c r="D1655" s="132">
        <v>13860000</v>
      </c>
      <c r="E1655" s="133">
        <v>41294</v>
      </c>
      <c r="F1655" s="134" t="s">
        <v>2843</v>
      </c>
    </row>
    <row r="1656" spans="1:6">
      <c r="A1656" s="132">
        <v>13280000</v>
      </c>
      <c r="B1656" s="132">
        <v>13280000</v>
      </c>
      <c r="C1656" s="132">
        <v>13600000</v>
      </c>
      <c r="D1656" s="132">
        <v>13500000</v>
      </c>
      <c r="E1656" s="133">
        <v>41293</v>
      </c>
      <c r="F1656" s="134" t="s">
        <v>2844</v>
      </c>
    </row>
    <row r="1657" spans="1:6">
      <c r="A1657" s="132">
        <v>13180000</v>
      </c>
      <c r="B1657" s="132">
        <v>13180000</v>
      </c>
      <c r="C1657" s="132">
        <v>13200000</v>
      </c>
      <c r="D1657" s="132">
        <v>13190000</v>
      </c>
      <c r="E1657" s="133">
        <v>41291</v>
      </c>
      <c r="F1657" s="134" t="s">
        <v>2845</v>
      </c>
    </row>
    <row r="1658" spans="1:6">
      <c r="A1658" s="132">
        <v>13250000</v>
      </c>
      <c r="B1658" s="132">
        <v>13170000</v>
      </c>
      <c r="C1658" s="132">
        <v>13250000</v>
      </c>
      <c r="D1658" s="132">
        <v>13200000</v>
      </c>
      <c r="E1658" s="133">
        <v>41290</v>
      </c>
      <c r="F1658" s="134" t="s">
        <v>2846</v>
      </c>
    </row>
    <row r="1659" spans="1:6">
      <c r="A1659" s="132">
        <v>13030000</v>
      </c>
      <c r="B1659" s="132">
        <v>13030000</v>
      </c>
      <c r="C1659" s="132">
        <v>13280000</v>
      </c>
      <c r="D1659" s="132">
        <v>13270000</v>
      </c>
      <c r="E1659" s="133">
        <v>41289</v>
      </c>
      <c r="F1659" s="134" t="s">
        <v>2847</v>
      </c>
    </row>
    <row r="1660" spans="1:6">
      <c r="A1660" s="132">
        <v>13000000</v>
      </c>
      <c r="B1660" s="132">
        <v>12990000</v>
      </c>
      <c r="C1660" s="132">
        <v>13040000</v>
      </c>
      <c r="D1660" s="132">
        <v>13040000</v>
      </c>
      <c r="E1660" s="133">
        <v>41288</v>
      </c>
      <c r="F1660" s="134" t="s">
        <v>2848</v>
      </c>
    </row>
    <row r="1661" spans="1:6">
      <c r="A1661" s="132">
        <v>13020000</v>
      </c>
      <c r="B1661" s="132">
        <v>12970000</v>
      </c>
      <c r="C1661" s="132">
        <v>13050000</v>
      </c>
      <c r="D1661" s="132">
        <v>12980000</v>
      </c>
      <c r="E1661" s="133">
        <v>41287</v>
      </c>
      <c r="F1661" s="134" t="s">
        <v>2849</v>
      </c>
    </row>
    <row r="1662" spans="1:6">
      <c r="A1662" s="132">
        <v>12950000</v>
      </c>
      <c r="B1662" s="132">
        <v>12930000</v>
      </c>
      <c r="C1662" s="132">
        <v>12980000</v>
      </c>
      <c r="D1662" s="132">
        <v>12970000</v>
      </c>
      <c r="E1662" s="133">
        <v>41284</v>
      </c>
      <c r="F1662" s="134" t="s">
        <v>2850</v>
      </c>
    </row>
    <row r="1663" spans="1:6">
      <c r="A1663" s="132">
        <v>13030000</v>
      </c>
      <c r="B1663" s="132">
        <v>12890000</v>
      </c>
      <c r="C1663" s="132">
        <v>13050000</v>
      </c>
      <c r="D1663" s="132">
        <v>12920000</v>
      </c>
      <c r="E1663" s="133">
        <v>41283</v>
      </c>
      <c r="F1663" s="134" t="s">
        <v>2851</v>
      </c>
    </row>
    <row r="1664" spans="1:6">
      <c r="A1664" s="132">
        <v>12670000</v>
      </c>
      <c r="B1664" s="132">
        <v>12670000</v>
      </c>
      <c r="C1664" s="132">
        <v>12900000</v>
      </c>
      <c r="D1664" s="132">
        <v>12900000</v>
      </c>
      <c r="E1664" s="133">
        <v>41282</v>
      </c>
      <c r="F1664" s="134" t="s">
        <v>2852</v>
      </c>
    </row>
    <row r="1665" spans="1:6">
      <c r="A1665" s="132">
        <v>12760000</v>
      </c>
      <c r="B1665" s="132">
        <v>12720000</v>
      </c>
      <c r="C1665" s="132">
        <v>12780000</v>
      </c>
      <c r="D1665" s="132">
        <v>12740000</v>
      </c>
      <c r="E1665" s="133">
        <v>41281</v>
      </c>
      <c r="F1665" s="134" t="s">
        <v>2853</v>
      </c>
    </row>
    <row r="1666" spans="1:6">
      <c r="A1666" s="132">
        <v>12770000</v>
      </c>
      <c r="B1666" s="132">
        <v>12720000</v>
      </c>
      <c r="C1666" s="132">
        <v>12770000</v>
      </c>
      <c r="D1666" s="132">
        <v>12750000</v>
      </c>
      <c r="E1666" s="133">
        <v>41280</v>
      </c>
      <c r="F1666" s="134" t="s">
        <v>2854</v>
      </c>
    </row>
    <row r="1667" spans="1:6">
      <c r="A1667" s="132">
        <v>12760000</v>
      </c>
      <c r="B1667" s="132">
        <v>12760000</v>
      </c>
      <c r="C1667" s="132">
        <v>12760000</v>
      </c>
      <c r="D1667" s="132">
        <v>12760000</v>
      </c>
      <c r="E1667" s="133">
        <v>41279</v>
      </c>
      <c r="F1667" s="134" t="s">
        <v>2855</v>
      </c>
    </row>
    <row r="1668" spans="1:6">
      <c r="A1668" s="132">
        <v>12880000</v>
      </c>
      <c r="B1668" s="132">
        <v>12800000</v>
      </c>
      <c r="C1668" s="132">
        <v>12900000</v>
      </c>
      <c r="D1668" s="132">
        <v>12900000</v>
      </c>
      <c r="E1668" s="133">
        <v>41276</v>
      </c>
      <c r="F1668" s="134" t="s">
        <v>2856</v>
      </c>
    </row>
    <row r="1669" spans="1:6">
      <c r="A1669" s="132">
        <v>12690000</v>
      </c>
      <c r="B1669" s="132">
        <v>12650000</v>
      </c>
      <c r="C1669" s="132">
        <v>12710000</v>
      </c>
      <c r="D1669" s="132">
        <v>12700000</v>
      </c>
      <c r="E1669" s="133">
        <v>41275</v>
      </c>
      <c r="F1669" s="134" t="s">
        <v>2857</v>
      </c>
    </row>
    <row r="1670" spans="1:6">
      <c r="A1670" s="132">
        <v>12820000</v>
      </c>
      <c r="B1670" s="132">
        <v>12670000</v>
      </c>
      <c r="C1670" s="132">
        <v>12850000</v>
      </c>
      <c r="D1670" s="132">
        <v>12700000</v>
      </c>
      <c r="E1670" s="133">
        <v>41274</v>
      </c>
      <c r="F1670" s="134" t="s">
        <v>2858</v>
      </c>
    </row>
    <row r="1671" spans="1:6">
      <c r="A1671" s="132">
        <v>12300000</v>
      </c>
      <c r="B1671" s="132">
        <v>12250000</v>
      </c>
      <c r="C1671" s="132">
        <v>12600000</v>
      </c>
      <c r="D1671" s="132">
        <v>12600000</v>
      </c>
      <c r="E1671" s="133">
        <v>41273</v>
      </c>
      <c r="F1671" s="134" t="s">
        <v>2859</v>
      </c>
    </row>
    <row r="1672" spans="1:6">
      <c r="A1672" s="132">
        <v>12600000</v>
      </c>
      <c r="B1672" s="132">
        <v>12460000</v>
      </c>
      <c r="C1672" s="132">
        <v>12600000</v>
      </c>
      <c r="D1672" s="132">
        <v>12460000</v>
      </c>
      <c r="E1672" s="133">
        <v>41272</v>
      </c>
      <c r="F1672" s="134" t="s">
        <v>2860</v>
      </c>
    </row>
    <row r="1673" spans="1:6">
      <c r="A1673" s="132">
        <v>12850000</v>
      </c>
      <c r="B1673" s="132">
        <v>12830000</v>
      </c>
      <c r="C1673" s="132">
        <v>12880000</v>
      </c>
      <c r="D1673" s="132">
        <v>12870000</v>
      </c>
      <c r="E1673" s="133">
        <v>41270</v>
      </c>
      <c r="F1673" s="134" t="s">
        <v>2861</v>
      </c>
    </row>
    <row r="1674" spans="1:6">
      <c r="A1674" s="132">
        <v>12780000</v>
      </c>
      <c r="B1674" s="132">
        <v>12780000</v>
      </c>
      <c r="C1674" s="132">
        <v>12850000</v>
      </c>
      <c r="D1674" s="132">
        <v>12800000</v>
      </c>
      <c r="E1674" s="133">
        <v>41269</v>
      </c>
      <c r="F1674" s="134" t="s">
        <v>2862</v>
      </c>
    </row>
    <row r="1675" spans="1:6">
      <c r="A1675" s="132">
        <v>13590000</v>
      </c>
      <c r="B1675" s="132">
        <v>12930000</v>
      </c>
      <c r="C1675" s="132">
        <v>13600000</v>
      </c>
      <c r="D1675" s="132">
        <v>12930000</v>
      </c>
      <c r="E1675" s="133">
        <v>41268</v>
      </c>
      <c r="F1675" s="134" t="s">
        <v>2863</v>
      </c>
    </row>
    <row r="1676" spans="1:6">
      <c r="A1676" s="132">
        <v>13100000</v>
      </c>
      <c r="B1676" s="132">
        <v>13000000</v>
      </c>
      <c r="C1676" s="132">
        <v>13650000</v>
      </c>
      <c r="D1676" s="132">
        <v>13460000</v>
      </c>
      <c r="E1676" s="133">
        <v>41267</v>
      </c>
      <c r="F1676" s="134" t="s">
        <v>2864</v>
      </c>
    </row>
    <row r="1677" spans="1:6">
      <c r="A1677" s="132">
        <v>12500000</v>
      </c>
      <c r="B1677" s="132">
        <v>12490000</v>
      </c>
      <c r="C1677" s="132">
        <v>12830000</v>
      </c>
      <c r="D1677" s="132">
        <v>12830000</v>
      </c>
      <c r="E1677" s="133">
        <v>41266</v>
      </c>
      <c r="F1677" s="134" t="s">
        <v>2865</v>
      </c>
    </row>
    <row r="1678" spans="1:6">
      <c r="A1678" s="132">
        <v>12380000</v>
      </c>
      <c r="B1678" s="132">
        <v>12330000</v>
      </c>
      <c r="C1678" s="132">
        <v>12440000</v>
      </c>
      <c r="D1678" s="132">
        <v>12430000</v>
      </c>
      <c r="E1678" s="133">
        <v>41265</v>
      </c>
      <c r="F1678" s="134" t="s">
        <v>2866</v>
      </c>
    </row>
    <row r="1679" spans="1:6">
      <c r="A1679" s="132">
        <v>12210000</v>
      </c>
      <c r="B1679" s="132">
        <v>12210000</v>
      </c>
      <c r="C1679" s="132">
        <v>12310000</v>
      </c>
      <c r="D1679" s="132">
        <v>12290000</v>
      </c>
      <c r="E1679" s="133">
        <v>41263</v>
      </c>
      <c r="F1679" s="134" t="s">
        <v>2867</v>
      </c>
    </row>
    <row r="1680" spans="1:6">
      <c r="A1680" s="132">
        <v>12400000</v>
      </c>
      <c r="B1680" s="132">
        <v>12190000</v>
      </c>
      <c r="C1680" s="132">
        <v>12400000</v>
      </c>
      <c r="D1680" s="132">
        <v>12200000</v>
      </c>
      <c r="E1680" s="133">
        <v>41262</v>
      </c>
      <c r="F1680" s="134" t="s">
        <v>2868</v>
      </c>
    </row>
    <row r="1681" spans="1:6">
      <c r="A1681" s="132">
        <v>12130000</v>
      </c>
      <c r="B1681" s="132">
        <v>12130000</v>
      </c>
      <c r="C1681" s="132">
        <v>12500000</v>
      </c>
      <c r="D1681" s="132">
        <v>12500000</v>
      </c>
      <c r="E1681" s="133">
        <v>41261</v>
      </c>
      <c r="F1681" s="134" t="s">
        <v>2869</v>
      </c>
    </row>
    <row r="1682" spans="1:6">
      <c r="A1682" s="132">
        <v>11990000</v>
      </c>
      <c r="B1682" s="132">
        <v>11970000</v>
      </c>
      <c r="C1682" s="132">
        <v>12050000</v>
      </c>
      <c r="D1682" s="132">
        <v>12050000</v>
      </c>
      <c r="E1682" s="133">
        <v>41260</v>
      </c>
      <c r="F1682" s="134" t="s">
        <v>2870</v>
      </c>
    </row>
    <row r="1683" spans="1:6">
      <c r="A1683" s="132">
        <v>11960000</v>
      </c>
      <c r="B1683" s="132">
        <v>11930000</v>
      </c>
      <c r="C1683" s="132">
        <v>11960000</v>
      </c>
      <c r="D1683" s="132">
        <v>11950000</v>
      </c>
      <c r="E1683" s="133">
        <v>41259</v>
      </c>
      <c r="F1683" s="134" t="s">
        <v>2871</v>
      </c>
    </row>
    <row r="1684" spans="1:6">
      <c r="A1684" s="132">
        <v>11920000</v>
      </c>
      <c r="B1684" s="132">
        <v>11880000</v>
      </c>
      <c r="C1684" s="132">
        <v>12000000</v>
      </c>
      <c r="D1684" s="132">
        <v>11900000</v>
      </c>
      <c r="E1684" s="133">
        <v>41258</v>
      </c>
      <c r="F1684" s="134" t="s">
        <v>2872</v>
      </c>
    </row>
    <row r="1685" spans="1:6">
      <c r="A1685" s="132">
        <v>12050000</v>
      </c>
      <c r="B1685" s="132">
        <v>12010000</v>
      </c>
      <c r="C1685" s="132">
        <v>12130000</v>
      </c>
      <c r="D1685" s="132">
        <v>12080000</v>
      </c>
      <c r="E1685" s="133">
        <v>41256</v>
      </c>
      <c r="F1685" s="134" t="s">
        <v>2873</v>
      </c>
    </row>
    <row r="1686" spans="1:6">
      <c r="A1686" s="132">
        <v>12020000</v>
      </c>
      <c r="B1686" s="132">
        <v>12010000</v>
      </c>
      <c r="C1686" s="132">
        <v>12140000</v>
      </c>
      <c r="D1686" s="132">
        <v>12140000</v>
      </c>
      <c r="E1686" s="133">
        <v>41255</v>
      </c>
      <c r="F1686" s="134" t="s">
        <v>2874</v>
      </c>
    </row>
    <row r="1687" spans="1:6">
      <c r="A1687" s="132">
        <v>12040000</v>
      </c>
      <c r="B1687" s="132">
        <v>11940000</v>
      </c>
      <c r="C1687" s="132">
        <v>12060000</v>
      </c>
      <c r="D1687" s="132">
        <v>11980000</v>
      </c>
      <c r="E1687" s="133">
        <v>41254</v>
      </c>
      <c r="F1687" s="134" t="s">
        <v>2875</v>
      </c>
    </row>
    <row r="1688" spans="1:6">
      <c r="A1688" s="132">
        <v>11810000</v>
      </c>
      <c r="B1688" s="132">
        <v>11810000</v>
      </c>
      <c r="C1688" s="132">
        <v>12050000</v>
      </c>
      <c r="D1688" s="132">
        <v>12050000</v>
      </c>
      <c r="E1688" s="133">
        <v>41253</v>
      </c>
      <c r="F1688" s="134" t="s">
        <v>2876</v>
      </c>
    </row>
    <row r="1689" spans="1:6">
      <c r="A1689" s="132">
        <v>11700000</v>
      </c>
      <c r="B1689" s="132">
        <v>11670000</v>
      </c>
      <c r="C1689" s="132">
        <v>11870000</v>
      </c>
      <c r="D1689" s="132">
        <v>11850000</v>
      </c>
      <c r="E1689" s="133">
        <v>41252</v>
      </c>
      <c r="F1689" s="134" t="s">
        <v>2877</v>
      </c>
    </row>
    <row r="1690" spans="1:6">
      <c r="A1690" s="132">
        <v>12080000</v>
      </c>
      <c r="B1690" s="132">
        <v>11780000</v>
      </c>
      <c r="C1690" s="132">
        <v>12080000</v>
      </c>
      <c r="D1690" s="132">
        <v>11800000</v>
      </c>
      <c r="E1690" s="133">
        <v>41251</v>
      </c>
      <c r="F1690" s="134" t="s">
        <v>2878</v>
      </c>
    </row>
    <row r="1691" spans="1:6">
      <c r="A1691" s="132">
        <v>12100000</v>
      </c>
      <c r="B1691" s="132">
        <v>12010000</v>
      </c>
      <c r="C1691" s="132">
        <v>12100000</v>
      </c>
      <c r="D1691" s="132">
        <v>12020000</v>
      </c>
      <c r="E1691" s="133">
        <v>41249</v>
      </c>
      <c r="F1691" s="134" t="s">
        <v>2879</v>
      </c>
    </row>
    <row r="1692" spans="1:6">
      <c r="A1692" s="132">
        <v>11800000</v>
      </c>
      <c r="B1692" s="132">
        <v>11800000</v>
      </c>
      <c r="C1692" s="132">
        <v>11930000</v>
      </c>
      <c r="D1692" s="132">
        <v>11930000</v>
      </c>
      <c r="E1692" s="133">
        <v>41248</v>
      </c>
      <c r="F1692" s="134" t="s">
        <v>2880</v>
      </c>
    </row>
    <row r="1693" spans="1:6">
      <c r="A1693" s="132">
        <v>11780000</v>
      </c>
      <c r="B1693" s="132">
        <v>11720000</v>
      </c>
      <c r="C1693" s="132">
        <v>11800000</v>
      </c>
      <c r="D1693" s="132">
        <v>11720000</v>
      </c>
      <c r="E1693" s="133">
        <v>41247</v>
      </c>
      <c r="F1693" s="134" t="s">
        <v>2881</v>
      </c>
    </row>
    <row r="1694" spans="1:6">
      <c r="A1694" s="132">
        <v>11830000</v>
      </c>
      <c r="B1694" s="132">
        <v>11790000</v>
      </c>
      <c r="C1694" s="132">
        <v>11840000</v>
      </c>
      <c r="D1694" s="132">
        <v>11820000</v>
      </c>
      <c r="E1694" s="133">
        <v>41246</v>
      </c>
      <c r="F1694" s="134" t="s">
        <v>2882</v>
      </c>
    </row>
    <row r="1695" spans="1:6">
      <c r="A1695" s="132">
        <v>11850000</v>
      </c>
      <c r="B1695" s="132">
        <v>11770000</v>
      </c>
      <c r="C1695" s="132">
        <v>11860000</v>
      </c>
      <c r="D1695" s="132">
        <v>11770000</v>
      </c>
      <c r="E1695" s="133">
        <v>41245</v>
      </c>
      <c r="F1695" s="134" t="s">
        <v>2883</v>
      </c>
    </row>
    <row r="1696" spans="1:6">
      <c r="A1696" s="132">
        <v>11750000</v>
      </c>
      <c r="B1696" s="132">
        <v>11750000</v>
      </c>
      <c r="C1696" s="132">
        <v>12000000</v>
      </c>
      <c r="D1696" s="132">
        <v>11950000</v>
      </c>
      <c r="E1696" s="133">
        <v>41244</v>
      </c>
      <c r="F1696" s="134" t="s">
        <v>2884</v>
      </c>
    </row>
    <row r="1697" spans="1:6">
      <c r="A1697" s="132">
        <v>11440000</v>
      </c>
      <c r="B1697" s="132">
        <v>11430000</v>
      </c>
      <c r="C1697" s="132">
        <v>11530000</v>
      </c>
      <c r="D1697" s="132">
        <v>11510000</v>
      </c>
      <c r="E1697" s="133">
        <v>41242</v>
      </c>
      <c r="F1697" s="134" t="s">
        <v>2885</v>
      </c>
    </row>
    <row r="1698" spans="1:6">
      <c r="A1698" s="132">
        <v>11500000</v>
      </c>
      <c r="B1698" s="132">
        <v>11400000</v>
      </c>
      <c r="C1698" s="132">
        <v>11600000</v>
      </c>
      <c r="D1698" s="132">
        <v>11410000</v>
      </c>
      <c r="E1698" s="133">
        <v>41241</v>
      </c>
      <c r="F1698" s="134" t="s">
        <v>2886</v>
      </c>
    </row>
    <row r="1699" spans="1:6">
      <c r="A1699" s="132">
        <v>11350000</v>
      </c>
      <c r="B1699" s="132">
        <v>11300000</v>
      </c>
      <c r="C1699" s="132">
        <v>11500000</v>
      </c>
      <c r="D1699" s="132">
        <v>11430000</v>
      </c>
      <c r="E1699" s="133">
        <v>41240</v>
      </c>
      <c r="F1699" s="134" t="s">
        <v>2887</v>
      </c>
    </row>
    <row r="1700" spans="1:6">
      <c r="A1700" s="132">
        <v>11700000</v>
      </c>
      <c r="B1700" s="132">
        <v>11570000</v>
      </c>
      <c r="C1700" s="132">
        <v>11700000</v>
      </c>
      <c r="D1700" s="132">
        <v>11600000</v>
      </c>
      <c r="E1700" s="133">
        <v>41239</v>
      </c>
      <c r="F1700" s="134" t="s">
        <v>2888</v>
      </c>
    </row>
    <row r="1701" spans="1:6">
      <c r="A1701" s="132">
        <v>11550000</v>
      </c>
      <c r="B1701" s="132">
        <v>11500000</v>
      </c>
      <c r="C1701" s="132">
        <v>11550000</v>
      </c>
      <c r="D1701" s="132">
        <v>11550000</v>
      </c>
      <c r="E1701" s="133">
        <v>41235</v>
      </c>
      <c r="F1701" s="134" t="s">
        <v>2889</v>
      </c>
    </row>
    <row r="1702" spans="1:6">
      <c r="A1702" s="132">
        <v>10820000</v>
      </c>
      <c r="B1702" s="132">
        <v>10820000</v>
      </c>
      <c r="C1702" s="132">
        <v>11700000</v>
      </c>
      <c r="D1702" s="132">
        <v>11280000</v>
      </c>
      <c r="E1702" s="133">
        <v>41234</v>
      </c>
      <c r="F1702" s="134" t="s">
        <v>2890</v>
      </c>
    </row>
    <row r="1703" spans="1:6">
      <c r="A1703" s="132">
        <v>10700000</v>
      </c>
      <c r="B1703" s="132">
        <v>10490000</v>
      </c>
      <c r="C1703" s="132">
        <v>10980000</v>
      </c>
      <c r="D1703" s="132">
        <v>10770000</v>
      </c>
      <c r="E1703" s="133">
        <v>41233</v>
      </c>
      <c r="F1703" s="134" t="s">
        <v>2891</v>
      </c>
    </row>
    <row r="1704" spans="1:6">
      <c r="A1704" s="132">
        <v>11160000</v>
      </c>
      <c r="B1704" s="132">
        <v>10930000</v>
      </c>
      <c r="C1704" s="132">
        <v>11160000</v>
      </c>
      <c r="D1704" s="132">
        <v>10940000</v>
      </c>
      <c r="E1704" s="133">
        <v>41232</v>
      </c>
      <c r="F1704" s="134" t="s">
        <v>2892</v>
      </c>
    </row>
    <row r="1705" spans="1:6">
      <c r="A1705" s="132">
        <v>11180000</v>
      </c>
      <c r="B1705" s="132">
        <v>10920000</v>
      </c>
      <c r="C1705" s="132">
        <v>11180000</v>
      </c>
      <c r="D1705" s="132">
        <v>11080000</v>
      </c>
      <c r="E1705" s="133">
        <v>41231</v>
      </c>
      <c r="F1705" s="134" t="s">
        <v>2893</v>
      </c>
    </row>
    <row r="1706" spans="1:6">
      <c r="A1706" s="132">
        <v>11580000</v>
      </c>
      <c r="B1706" s="132">
        <v>11300000</v>
      </c>
      <c r="C1706" s="132">
        <v>11650000</v>
      </c>
      <c r="D1706" s="132">
        <v>11300000</v>
      </c>
      <c r="E1706" s="133">
        <v>41230</v>
      </c>
      <c r="F1706" s="134" t="s">
        <v>2894</v>
      </c>
    </row>
    <row r="1707" spans="1:6">
      <c r="A1707" s="132">
        <v>11630000</v>
      </c>
      <c r="B1707" s="132">
        <v>11630000</v>
      </c>
      <c r="C1707" s="132">
        <v>11630000</v>
      </c>
      <c r="D1707" s="132">
        <v>11630000</v>
      </c>
      <c r="E1707" s="133">
        <v>41228</v>
      </c>
      <c r="F1707" s="134" t="s">
        <v>2895</v>
      </c>
    </row>
    <row r="1708" spans="1:6">
      <c r="A1708" s="132">
        <v>11700000</v>
      </c>
      <c r="B1708" s="132">
        <v>11620000</v>
      </c>
      <c r="C1708" s="132">
        <v>11900000</v>
      </c>
      <c r="D1708" s="132">
        <v>11720000</v>
      </c>
      <c r="E1708" s="133">
        <v>41227</v>
      </c>
      <c r="F1708" s="134" t="s">
        <v>2896</v>
      </c>
    </row>
    <row r="1709" spans="1:6">
      <c r="A1709" s="132">
        <v>12000000</v>
      </c>
      <c r="B1709" s="132">
        <v>11600000</v>
      </c>
      <c r="C1709" s="132">
        <v>12000000</v>
      </c>
      <c r="D1709" s="132">
        <v>11600000</v>
      </c>
      <c r="E1709" s="133">
        <v>41226</v>
      </c>
      <c r="F1709" s="134" t="s">
        <v>2897</v>
      </c>
    </row>
    <row r="1710" spans="1:6">
      <c r="A1710" s="132">
        <v>12150000</v>
      </c>
      <c r="B1710" s="132">
        <v>12100000</v>
      </c>
      <c r="C1710" s="132">
        <v>12200000</v>
      </c>
      <c r="D1710" s="132">
        <v>12100000</v>
      </c>
      <c r="E1710" s="133">
        <v>41225</v>
      </c>
      <c r="F1710" s="134" t="s">
        <v>2898</v>
      </c>
    </row>
    <row r="1711" spans="1:6">
      <c r="A1711" s="132">
        <v>12230000</v>
      </c>
      <c r="B1711" s="132">
        <v>12100000</v>
      </c>
      <c r="C1711" s="132">
        <v>12280000</v>
      </c>
      <c r="D1711" s="132">
        <v>12210000</v>
      </c>
      <c r="E1711" s="133">
        <v>41224</v>
      </c>
      <c r="F1711" s="134" t="s">
        <v>2899</v>
      </c>
    </row>
    <row r="1712" spans="1:6">
      <c r="A1712" s="132">
        <v>12300000</v>
      </c>
      <c r="B1712" s="132">
        <v>12200000</v>
      </c>
      <c r="C1712" s="132">
        <v>12370000</v>
      </c>
      <c r="D1712" s="132">
        <v>12320000</v>
      </c>
      <c r="E1712" s="133">
        <v>41223</v>
      </c>
      <c r="F1712" s="134" t="s">
        <v>2900</v>
      </c>
    </row>
    <row r="1713" spans="1:6">
      <c r="A1713" s="132">
        <v>12250000</v>
      </c>
      <c r="B1713" s="132">
        <v>12170000</v>
      </c>
      <c r="C1713" s="132">
        <v>12250000</v>
      </c>
      <c r="D1713" s="132">
        <v>12170000</v>
      </c>
      <c r="E1713" s="133">
        <v>41221</v>
      </c>
      <c r="F1713" s="134" t="s">
        <v>2901</v>
      </c>
    </row>
    <row r="1714" spans="1:6">
      <c r="A1714" s="132">
        <v>12880000</v>
      </c>
      <c r="B1714" s="132">
        <v>12350000</v>
      </c>
      <c r="C1714" s="132">
        <v>12900000</v>
      </c>
      <c r="D1714" s="132">
        <v>12420000</v>
      </c>
      <c r="E1714" s="133">
        <v>41220</v>
      </c>
      <c r="F1714" s="134" t="s">
        <v>2902</v>
      </c>
    </row>
    <row r="1715" spans="1:6">
      <c r="A1715" s="132">
        <v>12200000</v>
      </c>
      <c r="B1715" s="132">
        <v>12200000</v>
      </c>
      <c r="C1715" s="132">
        <v>12600000</v>
      </c>
      <c r="D1715" s="132">
        <v>12450000</v>
      </c>
      <c r="E1715" s="133">
        <v>41219</v>
      </c>
      <c r="F1715" s="134" t="s">
        <v>2903</v>
      </c>
    </row>
    <row r="1716" spans="1:6">
      <c r="A1716" s="132">
        <v>11390000</v>
      </c>
      <c r="B1716" s="132">
        <v>11220000</v>
      </c>
      <c r="C1716" s="132">
        <v>12280000</v>
      </c>
      <c r="D1716" s="132">
        <v>11930000</v>
      </c>
      <c r="E1716" s="133">
        <v>41218</v>
      </c>
      <c r="F1716" s="134" t="s">
        <v>2904</v>
      </c>
    </row>
    <row r="1717" spans="1:6">
      <c r="A1717" s="132">
        <v>12300000</v>
      </c>
      <c r="B1717" s="132">
        <v>11450000</v>
      </c>
      <c r="C1717" s="132">
        <v>12300000</v>
      </c>
      <c r="D1717" s="132">
        <v>11450000</v>
      </c>
      <c r="E1717" s="133">
        <v>41217</v>
      </c>
      <c r="F1717" s="134" t="s">
        <v>2905</v>
      </c>
    </row>
    <row r="1718" spans="1:6">
      <c r="A1718" s="132">
        <v>12650000</v>
      </c>
      <c r="B1718" s="132">
        <v>12650000</v>
      </c>
      <c r="C1718" s="132">
        <v>12700000</v>
      </c>
      <c r="D1718" s="132">
        <v>12650000</v>
      </c>
      <c r="E1718" s="133">
        <v>41214</v>
      </c>
      <c r="F1718" s="134" t="s">
        <v>2906</v>
      </c>
    </row>
    <row r="1719" spans="1:6">
      <c r="A1719" s="132">
        <v>12620000</v>
      </c>
      <c r="B1719" s="132">
        <v>12520000</v>
      </c>
      <c r="C1719" s="132">
        <v>12730000</v>
      </c>
      <c r="D1719" s="132">
        <v>12670000</v>
      </c>
      <c r="E1719" s="133">
        <v>41213</v>
      </c>
      <c r="F1719" s="134" t="s">
        <v>2907</v>
      </c>
    </row>
    <row r="1720" spans="1:6">
      <c r="A1720" s="132">
        <v>12700000</v>
      </c>
      <c r="B1720" s="132">
        <v>12700000</v>
      </c>
      <c r="C1720" s="132">
        <v>12880000</v>
      </c>
      <c r="D1720" s="132">
        <v>12770000</v>
      </c>
      <c r="E1720" s="133">
        <v>41212</v>
      </c>
      <c r="F1720" s="134" t="s">
        <v>2908</v>
      </c>
    </row>
    <row r="1721" spans="1:6">
      <c r="A1721" s="132">
        <v>13150000</v>
      </c>
      <c r="B1721" s="132">
        <v>12980000</v>
      </c>
      <c r="C1721" s="132">
        <v>13200000</v>
      </c>
      <c r="D1721" s="132">
        <v>13050000</v>
      </c>
      <c r="E1721" s="133">
        <v>41211</v>
      </c>
      <c r="F1721" s="134" t="s">
        <v>2909</v>
      </c>
    </row>
    <row r="1722" spans="1:6">
      <c r="A1722" s="132">
        <v>12700000</v>
      </c>
      <c r="B1722" s="132">
        <v>12500000</v>
      </c>
      <c r="C1722" s="132">
        <v>12950000</v>
      </c>
      <c r="D1722" s="132">
        <v>12950000</v>
      </c>
      <c r="E1722" s="133">
        <v>41210</v>
      </c>
      <c r="F1722" s="134" t="s">
        <v>2910</v>
      </c>
    </row>
    <row r="1723" spans="1:6">
      <c r="A1723" s="132">
        <v>12800000</v>
      </c>
      <c r="B1723" s="132">
        <v>12600000</v>
      </c>
      <c r="C1723" s="132">
        <v>12850000</v>
      </c>
      <c r="D1723" s="132">
        <v>12730000</v>
      </c>
      <c r="E1723" s="133">
        <v>41209</v>
      </c>
      <c r="F1723" s="134" t="s">
        <v>2911</v>
      </c>
    </row>
    <row r="1724" spans="1:6">
      <c r="A1724" s="132">
        <v>13100000</v>
      </c>
      <c r="B1724" s="132">
        <v>13000000</v>
      </c>
      <c r="C1724" s="132">
        <v>13150000</v>
      </c>
      <c r="D1724" s="132">
        <v>13050000</v>
      </c>
      <c r="E1724" s="133">
        <v>41207</v>
      </c>
      <c r="F1724" s="134" t="s">
        <v>2912</v>
      </c>
    </row>
    <row r="1725" spans="1:6">
      <c r="A1725" s="132">
        <v>12800000</v>
      </c>
      <c r="B1725" s="132">
        <v>12800000</v>
      </c>
      <c r="C1725" s="132">
        <v>13400000</v>
      </c>
      <c r="D1725" s="132">
        <v>13000000</v>
      </c>
      <c r="E1725" s="133">
        <v>41206</v>
      </c>
      <c r="F1725" s="134" t="s">
        <v>2913</v>
      </c>
    </row>
    <row r="1726" spans="1:6">
      <c r="A1726" s="132">
        <v>12500000</v>
      </c>
      <c r="B1726" s="132">
        <v>12100000</v>
      </c>
      <c r="C1726" s="132">
        <v>12600000</v>
      </c>
      <c r="D1726" s="132">
        <v>12500000</v>
      </c>
      <c r="E1726" s="133">
        <v>41205</v>
      </c>
      <c r="F1726" s="134" t="s">
        <v>2914</v>
      </c>
    </row>
    <row r="1727" spans="1:6">
      <c r="A1727" s="132">
        <v>13850000</v>
      </c>
      <c r="B1727" s="132">
        <v>12940000</v>
      </c>
      <c r="C1727" s="132">
        <v>13850000</v>
      </c>
      <c r="D1727" s="132">
        <v>13200000</v>
      </c>
      <c r="E1727" s="133">
        <v>41204</v>
      </c>
      <c r="F1727" s="134" t="s">
        <v>2915</v>
      </c>
    </row>
    <row r="1728" spans="1:6">
      <c r="A1728" s="132">
        <v>13800000</v>
      </c>
      <c r="B1728" s="132">
        <v>13800000</v>
      </c>
      <c r="C1728" s="132">
        <v>14050000</v>
      </c>
      <c r="D1728" s="132">
        <v>13860000</v>
      </c>
      <c r="E1728" s="133">
        <v>41203</v>
      </c>
      <c r="F1728" s="134" t="s">
        <v>2916</v>
      </c>
    </row>
    <row r="1729" spans="1:6">
      <c r="A1729" s="132">
        <v>15150000</v>
      </c>
      <c r="B1729" s="132">
        <v>14950000</v>
      </c>
      <c r="C1729" s="132">
        <v>15150000</v>
      </c>
      <c r="D1729" s="132">
        <v>14980000</v>
      </c>
      <c r="E1729" s="133">
        <v>41199</v>
      </c>
      <c r="F1729" s="134" t="s">
        <v>2917</v>
      </c>
    </row>
    <row r="1730" spans="1:6">
      <c r="A1730" s="132">
        <v>14050000</v>
      </c>
      <c r="B1730" s="132">
        <v>14050000</v>
      </c>
      <c r="C1730" s="132">
        <v>14230000</v>
      </c>
      <c r="D1730" s="132">
        <v>14200000</v>
      </c>
      <c r="E1730" s="133">
        <v>41198</v>
      </c>
      <c r="F1730" s="134" t="s">
        <v>2918</v>
      </c>
    </row>
    <row r="1731" spans="1:6">
      <c r="A1731" s="132">
        <v>12880000</v>
      </c>
      <c r="B1731" s="132">
        <v>12880000</v>
      </c>
      <c r="C1731" s="132">
        <v>13100000</v>
      </c>
      <c r="D1731" s="132">
        <v>13100000</v>
      </c>
      <c r="E1731" s="133">
        <v>41195</v>
      </c>
      <c r="F1731" s="134" t="s">
        <v>2919</v>
      </c>
    </row>
    <row r="1732" spans="1:6">
      <c r="A1732" s="132">
        <v>12850000</v>
      </c>
      <c r="B1732" s="132">
        <v>12830000</v>
      </c>
      <c r="C1732" s="132">
        <v>12900000</v>
      </c>
      <c r="D1732" s="132">
        <v>12830000</v>
      </c>
      <c r="E1732" s="133">
        <v>41193</v>
      </c>
      <c r="F1732" s="134" t="s">
        <v>2920</v>
      </c>
    </row>
    <row r="1733" spans="1:6">
      <c r="A1733" s="132">
        <v>12700000</v>
      </c>
      <c r="B1733" s="132">
        <v>12550000</v>
      </c>
      <c r="C1733" s="132">
        <v>12850000</v>
      </c>
      <c r="D1733" s="132">
        <v>12800000</v>
      </c>
      <c r="E1733" s="133">
        <v>41192</v>
      </c>
      <c r="F1733" s="134" t="s">
        <v>2921</v>
      </c>
    </row>
    <row r="1734" spans="1:6">
      <c r="A1734" s="132">
        <v>14400000</v>
      </c>
      <c r="B1734" s="132">
        <v>12000000</v>
      </c>
      <c r="C1734" s="132">
        <v>14400000</v>
      </c>
      <c r="D1734" s="132">
        <v>13500000</v>
      </c>
      <c r="E1734" s="133">
        <v>41184</v>
      </c>
      <c r="F1734" s="134" t="s">
        <v>2922</v>
      </c>
    </row>
    <row r="1735" spans="1:6">
      <c r="A1735" s="132">
        <v>12550000</v>
      </c>
      <c r="B1735" s="132">
        <v>12540000</v>
      </c>
      <c r="C1735" s="132">
        <v>13450000</v>
      </c>
      <c r="D1735" s="132">
        <v>13450000</v>
      </c>
      <c r="E1735" s="133">
        <v>41183</v>
      </c>
      <c r="F1735" s="134" t="s">
        <v>2923</v>
      </c>
    </row>
    <row r="1736" spans="1:6">
      <c r="A1736" s="132">
        <v>11700000</v>
      </c>
      <c r="B1736" s="132">
        <v>11400000</v>
      </c>
      <c r="C1736" s="132">
        <v>11710000</v>
      </c>
      <c r="D1736" s="132">
        <v>11670000</v>
      </c>
      <c r="E1736" s="133">
        <v>41182</v>
      </c>
      <c r="F1736" s="134" t="s">
        <v>2924</v>
      </c>
    </row>
    <row r="1737" spans="1:6">
      <c r="A1737" s="132">
        <v>10940000</v>
      </c>
      <c r="B1737" s="132">
        <v>10940000</v>
      </c>
      <c r="C1737" s="132">
        <v>11480000</v>
      </c>
      <c r="D1737" s="132">
        <v>11320000</v>
      </c>
      <c r="E1737" s="133">
        <v>41181</v>
      </c>
      <c r="F1737" s="134" t="s">
        <v>2925</v>
      </c>
    </row>
    <row r="1738" spans="1:6">
      <c r="A1738" s="132">
        <v>10800000</v>
      </c>
      <c r="B1738" s="132">
        <v>10700000</v>
      </c>
      <c r="C1738" s="132">
        <v>10870000</v>
      </c>
      <c r="D1738" s="132">
        <v>10700000</v>
      </c>
      <c r="E1738" s="133">
        <v>41179</v>
      </c>
      <c r="F1738" s="134" t="s">
        <v>2926</v>
      </c>
    </row>
    <row r="1739" spans="1:6">
      <c r="A1739" s="132">
        <v>10520000</v>
      </c>
      <c r="B1739" s="132">
        <v>10380000</v>
      </c>
      <c r="C1739" s="132">
        <v>10630000</v>
      </c>
      <c r="D1739" s="132">
        <v>10490000</v>
      </c>
      <c r="E1739" s="133">
        <v>41178</v>
      </c>
      <c r="F1739" s="134" t="s">
        <v>2927</v>
      </c>
    </row>
    <row r="1740" spans="1:6">
      <c r="A1740" s="132">
        <v>10310000</v>
      </c>
      <c r="B1740" s="132">
        <v>10170000</v>
      </c>
      <c r="C1740" s="132">
        <v>10680000</v>
      </c>
      <c r="D1740" s="132">
        <v>10290000</v>
      </c>
      <c r="E1740" s="133">
        <v>41177</v>
      </c>
      <c r="F1740" s="134" t="s">
        <v>2928</v>
      </c>
    </row>
    <row r="1741" spans="1:6">
      <c r="A1741" s="132">
        <v>9700000</v>
      </c>
      <c r="B1741" s="132">
        <v>9690000</v>
      </c>
      <c r="C1741" s="132">
        <v>10130000</v>
      </c>
      <c r="D1741" s="132">
        <v>10110000</v>
      </c>
      <c r="E1741" s="133">
        <v>41176</v>
      </c>
      <c r="F1741" s="134" t="s">
        <v>2929</v>
      </c>
    </row>
    <row r="1742" spans="1:6">
      <c r="A1742" s="132">
        <v>9680000</v>
      </c>
      <c r="B1742" s="132">
        <v>9660000</v>
      </c>
      <c r="C1742" s="132">
        <v>9830000</v>
      </c>
      <c r="D1742" s="132">
        <v>9780000</v>
      </c>
      <c r="E1742" s="133">
        <v>41175</v>
      </c>
      <c r="F1742" s="134" t="s">
        <v>2930</v>
      </c>
    </row>
    <row r="1743" spans="1:6">
      <c r="A1743" s="132">
        <v>9660000</v>
      </c>
      <c r="B1743" s="132">
        <v>9550000</v>
      </c>
      <c r="C1743" s="132">
        <v>9700000</v>
      </c>
      <c r="D1743" s="132">
        <v>9700000</v>
      </c>
      <c r="E1743" s="133">
        <v>41174</v>
      </c>
      <c r="F1743" s="134" t="s">
        <v>2931</v>
      </c>
    </row>
    <row r="1744" spans="1:6">
      <c r="A1744" s="132">
        <v>9460000</v>
      </c>
      <c r="B1744" s="132">
        <v>9460000</v>
      </c>
      <c r="C1744" s="132">
        <v>9520000</v>
      </c>
      <c r="D1744" s="132">
        <v>9500000</v>
      </c>
      <c r="E1744" s="133">
        <v>41172</v>
      </c>
      <c r="F1744" s="134" t="s">
        <v>2932</v>
      </c>
    </row>
    <row r="1745" spans="1:6">
      <c r="A1745" s="132">
        <v>9320000</v>
      </c>
      <c r="B1745" s="132">
        <v>9300000</v>
      </c>
      <c r="C1745" s="132">
        <v>9500000</v>
      </c>
      <c r="D1745" s="132">
        <v>9490000</v>
      </c>
      <c r="E1745" s="133">
        <v>41171</v>
      </c>
      <c r="F1745" s="134" t="s">
        <v>2933</v>
      </c>
    </row>
    <row r="1746" spans="1:6">
      <c r="A1746" s="132">
        <v>9390000</v>
      </c>
      <c r="B1746" s="132">
        <v>9300000</v>
      </c>
      <c r="C1746" s="132">
        <v>9480000</v>
      </c>
      <c r="D1746" s="132">
        <v>9340000</v>
      </c>
      <c r="E1746" s="133">
        <v>41170</v>
      </c>
      <c r="F1746" s="134" t="s">
        <v>2934</v>
      </c>
    </row>
    <row r="1747" spans="1:6">
      <c r="A1747" s="132">
        <v>9660000</v>
      </c>
      <c r="B1747" s="132">
        <v>9520000</v>
      </c>
      <c r="C1747" s="132">
        <v>9690000</v>
      </c>
      <c r="D1747" s="132">
        <v>9540000</v>
      </c>
      <c r="E1747" s="133">
        <v>41169</v>
      </c>
      <c r="F1747" s="134" t="s">
        <v>2935</v>
      </c>
    </row>
    <row r="1748" spans="1:6">
      <c r="A1748" s="132">
        <v>9450000</v>
      </c>
      <c r="B1748" s="132">
        <v>9400000</v>
      </c>
      <c r="C1748" s="132">
        <v>9500000</v>
      </c>
      <c r="D1748" s="132">
        <v>9420000</v>
      </c>
      <c r="E1748" s="133">
        <v>41168</v>
      </c>
      <c r="F1748" s="134" t="s">
        <v>2936</v>
      </c>
    </row>
    <row r="1749" spans="1:6">
      <c r="A1749" s="132">
        <v>9230000</v>
      </c>
      <c r="B1749" s="132">
        <v>9220000</v>
      </c>
      <c r="C1749" s="132">
        <v>9550000</v>
      </c>
      <c r="D1749" s="132">
        <v>9420000</v>
      </c>
      <c r="E1749" s="133">
        <v>41167</v>
      </c>
      <c r="F1749" s="134" t="s">
        <v>2937</v>
      </c>
    </row>
    <row r="1750" spans="1:6">
      <c r="A1750" s="132">
        <v>8970000</v>
      </c>
      <c r="B1750" s="132">
        <v>8930000</v>
      </c>
      <c r="C1750" s="132">
        <v>9230000</v>
      </c>
      <c r="D1750" s="132">
        <v>9140000</v>
      </c>
      <c r="E1750" s="133">
        <v>41165</v>
      </c>
      <c r="F1750" s="134" t="s">
        <v>2938</v>
      </c>
    </row>
    <row r="1751" spans="1:6">
      <c r="A1751" s="132">
        <v>9240000</v>
      </c>
      <c r="B1751" s="132">
        <v>8750000</v>
      </c>
      <c r="C1751" s="132">
        <v>9290000</v>
      </c>
      <c r="D1751" s="132">
        <v>9290000</v>
      </c>
      <c r="E1751" s="133">
        <v>41163</v>
      </c>
      <c r="F1751" s="134" t="s">
        <v>2939</v>
      </c>
    </row>
    <row r="1752" spans="1:6">
      <c r="A1752" s="132">
        <v>9800000</v>
      </c>
      <c r="B1752" s="132">
        <v>9360000</v>
      </c>
      <c r="C1752" s="132">
        <v>9800000</v>
      </c>
      <c r="D1752" s="132">
        <v>9360000</v>
      </c>
      <c r="E1752" s="133">
        <v>41162</v>
      </c>
      <c r="F1752" s="134" t="s">
        <v>2940</v>
      </c>
    </row>
    <row r="1753" spans="1:6">
      <c r="A1753" s="132">
        <v>9220000</v>
      </c>
      <c r="B1753" s="132">
        <v>9220000</v>
      </c>
      <c r="C1753" s="132">
        <v>9450000</v>
      </c>
      <c r="D1753" s="132">
        <v>9450000</v>
      </c>
      <c r="E1753" s="133">
        <v>41161</v>
      </c>
      <c r="F1753" s="134" t="s">
        <v>2941</v>
      </c>
    </row>
    <row r="1754" spans="1:6">
      <c r="A1754" s="132">
        <v>8860000</v>
      </c>
      <c r="B1754" s="132">
        <v>8860000</v>
      </c>
      <c r="C1754" s="132">
        <v>9140000</v>
      </c>
      <c r="D1754" s="132">
        <v>9080000</v>
      </c>
      <c r="E1754" s="133">
        <v>41160</v>
      </c>
      <c r="F1754" s="134" t="s">
        <v>2942</v>
      </c>
    </row>
    <row r="1755" spans="1:6">
      <c r="A1755" s="132">
        <v>8700000</v>
      </c>
      <c r="B1755" s="132">
        <v>8620000</v>
      </c>
      <c r="C1755" s="132">
        <v>8700000</v>
      </c>
      <c r="D1755" s="132">
        <v>8630000</v>
      </c>
      <c r="E1755" s="133">
        <v>41158</v>
      </c>
      <c r="F1755" s="134" t="s">
        <v>2943</v>
      </c>
    </row>
    <row r="1756" spans="1:6">
      <c r="A1756" s="132">
        <v>8420000</v>
      </c>
      <c r="B1756" s="132">
        <v>8400000</v>
      </c>
      <c r="C1756" s="132">
        <v>8560000</v>
      </c>
      <c r="D1756" s="132">
        <v>8550000</v>
      </c>
      <c r="E1756" s="133">
        <v>41157</v>
      </c>
      <c r="F1756" s="134" t="s">
        <v>2944</v>
      </c>
    </row>
    <row r="1757" spans="1:6">
      <c r="A1757" s="132">
        <v>8440000</v>
      </c>
      <c r="B1757" s="132">
        <v>8400000</v>
      </c>
      <c r="C1757" s="132">
        <v>8500000</v>
      </c>
      <c r="D1757" s="132">
        <v>8400000</v>
      </c>
      <c r="E1757" s="133">
        <v>41156</v>
      </c>
      <c r="F1757" s="134" t="s">
        <v>2945</v>
      </c>
    </row>
    <row r="1758" spans="1:6">
      <c r="A1758" s="132">
        <v>8200000</v>
      </c>
      <c r="B1758" s="132">
        <v>8160000</v>
      </c>
      <c r="C1758" s="132">
        <v>8370000</v>
      </c>
      <c r="D1758" s="132">
        <v>8370000</v>
      </c>
      <c r="E1758" s="133">
        <v>41155</v>
      </c>
      <c r="F1758" s="134" t="s">
        <v>2946</v>
      </c>
    </row>
    <row r="1759" spans="1:6">
      <c r="A1759" s="132">
        <v>8390000</v>
      </c>
      <c r="B1759" s="132">
        <v>8330000</v>
      </c>
      <c r="C1759" s="132">
        <v>8390000</v>
      </c>
      <c r="D1759" s="132">
        <v>8330000</v>
      </c>
      <c r="E1759" s="133">
        <v>41154</v>
      </c>
      <c r="F1759" s="134" t="s">
        <v>2947</v>
      </c>
    </row>
    <row r="1760" spans="1:6">
      <c r="A1760" s="132">
        <v>8440000</v>
      </c>
      <c r="B1760" s="132">
        <v>8380000</v>
      </c>
      <c r="C1760" s="132">
        <v>8440000</v>
      </c>
      <c r="D1760" s="132">
        <v>8380000</v>
      </c>
      <c r="E1760" s="133">
        <v>41153</v>
      </c>
      <c r="F1760" s="134" t="s">
        <v>2948</v>
      </c>
    </row>
    <row r="1761" spans="1:6">
      <c r="A1761" s="132">
        <v>8360000</v>
      </c>
      <c r="B1761" s="132">
        <v>8360000</v>
      </c>
      <c r="C1761" s="132">
        <v>8360000</v>
      </c>
      <c r="D1761" s="132">
        <v>8360000</v>
      </c>
      <c r="E1761" s="133">
        <v>41150</v>
      </c>
      <c r="F1761" s="134" t="s">
        <v>2949</v>
      </c>
    </row>
    <row r="1762" spans="1:6">
      <c r="A1762" s="132">
        <v>8390000</v>
      </c>
      <c r="B1762" s="132">
        <v>8350000</v>
      </c>
      <c r="C1762" s="132">
        <v>8390000</v>
      </c>
      <c r="D1762" s="132">
        <v>8350000</v>
      </c>
      <c r="E1762" s="133">
        <v>41149</v>
      </c>
      <c r="F1762" s="134" t="s">
        <v>2950</v>
      </c>
    </row>
    <row r="1763" spans="1:6">
      <c r="A1763" s="132">
        <v>8330000</v>
      </c>
      <c r="B1763" s="132">
        <v>8300000</v>
      </c>
      <c r="C1763" s="132">
        <v>8390000</v>
      </c>
      <c r="D1763" s="132">
        <v>8380000</v>
      </c>
      <c r="E1763" s="133">
        <v>41148</v>
      </c>
      <c r="F1763" s="134" t="s">
        <v>2951</v>
      </c>
    </row>
    <row r="1764" spans="1:6">
      <c r="A1764" s="132">
        <v>8420000</v>
      </c>
      <c r="B1764" s="132">
        <v>8340000</v>
      </c>
      <c r="C1764" s="132">
        <v>8430000</v>
      </c>
      <c r="D1764" s="132">
        <v>8340000</v>
      </c>
      <c r="E1764" s="133">
        <v>41147</v>
      </c>
      <c r="F1764" s="134" t="s">
        <v>2952</v>
      </c>
    </row>
    <row r="1765" spans="1:6">
      <c r="A1765" s="132">
        <v>8350000</v>
      </c>
      <c r="B1765" s="132">
        <v>8350000</v>
      </c>
      <c r="C1765" s="132">
        <v>8520000</v>
      </c>
      <c r="D1765" s="132">
        <v>8430000</v>
      </c>
      <c r="E1765" s="133">
        <v>41146</v>
      </c>
      <c r="F1765" s="134" t="s">
        <v>2953</v>
      </c>
    </row>
    <row r="1766" spans="1:6">
      <c r="A1766" s="132">
        <v>8180000</v>
      </c>
      <c r="B1766" s="132">
        <v>8180000</v>
      </c>
      <c r="C1766" s="132">
        <v>8310000</v>
      </c>
      <c r="D1766" s="132">
        <v>8265000</v>
      </c>
      <c r="E1766" s="133">
        <v>41144</v>
      </c>
      <c r="F1766" s="134" t="s">
        <v>2954</v>
      </c>
    </row>
    <row r="1767" spans="1:6">
      <c r="A1767" s="132">
        <v>7985000</v>
      </c>
      <c r="B1767" s="132">
        <v>7970000</v>
      </c>
      <c r="C1767" s="132">
        <v>8050000</v>
      </c>
      <c r="D1767" s="132">
        <v>8050000</v>
      </c>
      <c r="E1767" s="133">
        <v>41143</v>
      </c>
      <c r="F1767" s="134" t="s">
        <v>2955</v>
      </c>
    </row>
    <row r="1768" spans="1:6">
      <c r="A1768" s="132">
        <v>7870000</v>
      </c>
      <c r="B1768" s="132">
        <v>7870000</v>
      </c>
      <c r="C1768" s="132">
        <v>7960000</v>
      </c>
      <c r="D1768" s="132">
        <v>7960000</v>
      </c>
      <c r="E1768" s="133">
        <v>41142</v>
      </c>
      <c r="F1768" s="134" t="s">
        <v>2956</v>
      </c>
    </row>
    <row r="1769" spans="1:6">
      <c r="A1769" s="132">
        <v>7870000</v>
      </c>
      <c r="B1769" s="132">
        <v>7820000</v>
      </c>
      <c r="C1769" s="132">
        <v>7870000</v>
      </c>
      <c r="D1769" s="132">
        <v>7860000</v>
      </c>
      <c r="E1769" s="133">
        <v>41139</v>
      </c>
      <c r="F1769" s="134" t="s">
        <v>2957</v>
      </c>
    </row>
    <row r="1770" spans="1:6">
      <c r="A1770" s="132">
        <v>7790000</v>
      </c>
      <c r="B1770" s="132">
        <v>7780000</v>
      </c>
      <c r="C1770" s="132">
        <v>7880000</v>
      </c>
      <c r="D1770" s="132">
        <v>7850000</v>
      </c>
      <c r="E1770" s="133">
        <v>41137</v>
      </c>
      <c r="F1770" s="134" t="s">
        <v>2958</v>
      </c>
    </row>
    <row r="1771" spans="1:6">
      <c r="A1771" s="132">
        <v>7830000</v>
      </c>
      <c r="B1771" s="132">
        <v>7740000</v>
      </c>
      <c r="C1771" s="132">
        <v>7830000</v>
      </c>
      <c r="D1771" s="132">
        <v>7770000</v>
      </c>
      <c r="E1771" s="133">
        <v>41136</v>
      </c>
      <c r="F1771" s="134" t="s">
        <v>2959</v>
      </c>
    </row>
    <row r="1772" spans="1:6">
      <c r="A1772" s="132">
        <v>7860000</v>
      </c>
      <c r="B1772" s="132">
        <v>7840000</v>
      </c>
      <c r="C1772" s="132">
        <v>7900000</v>
      </c>
      <c r="D1772" s="132">
        <v>7845000</v>
      </c>
      <c r="E1772" s="133">
        <v>41135</v>
      </c>
      <c r="F1772" s="134" t="s">
        <v>2960</v>
      </c>
    </row>
    <row r="1773" spans="1:6">
      <c r="A1773" s="132">
        <v>7870000</v>
      </c>
      <c r="B1773" s="132">
        <v>7860000</v>
      </c>
      <c r="C1773" s="132">
        <v>7910000</v>
      </c>
      <c r="D1773" s="132">
        <v>7890000</v>
      </c>
      <c r="E1773" s="133">
        <v>41134</v>
      </c>
      <c r="F1773" s="134" t="s">
        <v>2961</v>
      </c>
    </row>
    <row r="1774" spans="1:6">
      <c r="A1774" s="132">
        <v>7910000</v>
      </c>
      <c r="B1774" s="132">
        <v>7840000</v>
      </c>
      <c r="C1774" s="132">
        <v>8000000</v>
      </c>
      <c r="D1774" s="132">
        <v>7920000</v>
      </c>
      <c r="E1774" s="133">
        <v>41133</v>
      </c>
      <c r="F1774" s="134" t="s">
        <v>2962</v>
      </c>
    </row>
    <row r="1775" spans="1:6">
      <c r="A1775" s="132">
        <v>7640000</v>
      </c>
      <c r="B1775" s="132">
        <v>7640000</v>
      </c>
      <c r="C1775" s="132">
        <v>7880000</v>
      </c>
      <c r="D1775" s="132">
        <v>7840000</v>
      </c>
      <c r="E1775" s="133">
        <v>41132</v>
      </c>
      <c r="F1775" s="134" t="s">
        <v>2963</v>
      </c>
    </row>
    <row r="1776" spans="1:6">
      <c r="A1776" s="132">
        <v>7560000</v>
      </c>
      <c r="B1776" s="132">
        <v>7560000</v>
      </c>
      <c r="C1776" s="132">
        <v>7690000</v>
      </c>
      <c r="D1776" s="132">
        <v>7670000</v>
      </c>
      <c r="E1776" s="133">
        <v>41130</v>
      </c>
      <c r="F1776" s="134" t="s">
        <v>2964</v>
      </c>
    </row>
    <row r="1777" spans="1:6">
      <c r="A1777" s="132">
        <v>7810000</v>
      </c>
      <c r="B1777" s="132">
        <v>7630000</v>
      </c>
      <c r="C1777" s="132">
        <v>7820000</v>
      </c>
      <c r="D1777" s="132">
        <v>7630000</v>
      </c>
      <c r="E1777" s="133">
        <v>41129</v>
      </c>
      <c r="F1777" s="134" t="s">
        <v>2965</v>
      </c>
    </row>
    <row r="1778" spans="1:6">
      <c r="A1778" s="132">
        <v>7820000</v>
      </c>
      <c r="B1778" s="132">
        <v>7750000</v>
      </c>
      <c r="C1778" s="132">
        <v>7900000</v>
      </c>
      <c r="D1778" s="132">
        <v>7840000</v>
      </c>
      <c r="E1778" s="133">
        <v>41128</v>
      </c>
      <c r="F1778" s="134" t="s">
        <v>2966</v>
      </c>
    </row>
    <row r="1779" spans="1:6">
      <c r="A1779" s="132">
        <v>7660000</v>
      </c>
      <c r="B1779" s="132">
        <v>7630000</v>
      </c>
      <c r="C1779" s="132">
        <v>7800000</v>
      </c>
      <c r="D1779" s="132">
        <v>7680000</v>
      </c>
      <c r="E1779" s="133">
        <v>41127</v>
      </c>
      <c r="F1779" s="134" t="s">
        <v>2967</v>
      </c>
    </row>
    <row r="1780" spans="1:6">
      <c r="A1780" s="132">
        <v>7360000</v>
      </c>
      <c r="B1780" s="132">
        <v>7360000</v>
      </c>
      <c r="C1780" s="132">
        <v>7510000</v>
      </c>
      <c r="D1780" s="132">
        <v>7490000</v>
      </c>
      <c r="E1780" s="133">
        <v>41126</v>
      </c>
      <c r="F1780" s="134" t="s">
        <v>2968</v>
      </c>
    </row>
    <row r="1781" spans="1:6">
      <c r="A1781" s="132">
        <v>7420000</v>
      </c>
      <c r="B1781" s="132">
        <v>7380000</v>
      </c>
      <c r="C1781" s="132">
        <v>7430000</v>
      </c>
      <c r="D1781" s="132">
        <v>7390000</v>
      </c>
      <c r="E1781" s="133">
        <v>41125</v>
      </c>
      <c r="F1781" s="134" t="s">
        <v>2969</v>
      </c>
    </row>
    <row r="1782" spans="1:6">
      <c r="A1782" s="132">
        <v>7450000</v>
      </c>
      <c r="B1782" s="132">
        <v>7450000</v>
      </c>
      <c r="C1782" s="132">
        <v>7490000</v>
      </c>
      <c r="D1782" s="132">
        <v>7460000</v>
      </c>
      <c r="E1782" s="133">
        <v>41123</v>
      </c>
      <c r="F1782" s="134" t="s">
        <v>2970</v>
      </c>
    </row>
    <row r="1783" spans="1:6">
      <c r="A1783" s="132">
        <v>7390000</v>
      </c>
      <c r="B1783" s="132">
        <v>7390000</v>
      </c>
      <c r="C1783" s="132">
        <v>7490000</v>
      </c>
      <c r="D1783" s="132">
        <v>7430000</v>
      </c>
      <c r="E1783" s="133">
        <v>41122</v>
      </c>
      <c r="F1783" s="134" t="s">
        <v>2971</v>
      </c>
    </row>
    <row r="1784" spans="1:6">
      <c r="A1784" s="132">
        <v>7340000</v>
      </c>
      <c r="B1784" s="132">
        <v>7335000</v>
      </c>
      <c r="C1784" s="132">
        <v>7400000</v>
      </c>
      <c r="D1784" s="132">
        <v>7400000</v>
      </c>
      <c r="E1784" s="133">
        <v>41121</v>
      </c>
      <c r="F1784" s="134" t="s">
        <v>2972</v>
      </c>
    </row>
    <row r="1785" spans="1:6">
      <c r="A1785" s="132">
        <v>7300000</v>
      </c>
      <c r="B1785" s="132">
        <v>7300000</v>
      </c>
      <c r="C1785" s="132">
        <v>7380000</v>
      </c>
      <c r="D1785" s="132">
        <v>7350000</v>
      </c>
      <c r="E1785" s="133">
        <v>41120</v>
      </c>
      <c r="F1785" s="134" t="s">
        <v>2973</v>
      </c>
    </row>
    <row r="1786" spans="1:6">
      <c r="A1786" s="132">
        <v>7320000</v>
      </c>
      <c r="B1786" s="132">
        <v>7230000</v>
      </c>
      <c r="C1786" s="132">
        <v>7340000</v>
      </c>
      <c r="D1786" s="132">
        <v>7280000</v>
      </c>
      <c r="E1786" s="133">
        <v>41119</v>
      </c>
      <c r="F1786" s="134" t="s">
        <v>2974</v>
      </c>
    </row>
    <row r="1787" spans="1:6">
      <c r="A1787" s="132">
        <v>7390000</v>
      </c>
      <c r="B1787" s="132">
        <v>7380000</v>
      </c>
      <c r="C1787" s="132">
        <v>7440000</v>
      </c>
      <c r="D1787" s="132">
        <v>7380000</v>
      </c>
      <c r="E1787" s="133">
        <v>41118</v>
      </c>
      <c r="F1787" s="134" t="s">
        <v>2975</v>
      </c>
    </row>
    <row r="1788" spans="1:6">
      <c r="A1788" s="132">
        <v>7280000</v>
      </c>
      <c r="B1788" s="132">
        <v>7280000</v>
      </c>
      <c r="C1788" s="132">
        <v>7370000</v>
      </c>
      <c r="D1788" s="132">
        <v>7370000</v>
      </c>
      <c r="E1788" s="133">
        <v>41116</v>
      </c>
      <c r="F1788" s="134" t="s">
        <v>2976</v>
      </c>
    </row>
    <row r="1789" spans="1:6">
      <c r="A1789" s="132">
        <v>7120000</v>
      </c>
      <c r="B1789" s="132">
        <v>7120000</v>
      </c>
      <c r="C1789" s="132">
        <v>7180000</v>
      </c>
      <c r="D1789" s="132">
        <v>7180000</v>
      </c>
      <c r="E1789" s="133">
        <v>41115</v>
      </c>
      <c r="F1789" s="134" t="s">
        <v>2977</v>
      </c>
    </row>
    <row r="1790" spans="1:6">
      <c r="A1790" s="132">
        <v>7010000</v>
      </c>
      <c r="B1790" s="132">
        <v>7010000</v>
      </c>
      <c r="C1790" s="132">
        <v>7110000</v>
      </c>
      <c r="D1790" s="132">
        <v>7110000</v>
      </c>
      <c r="E1790" s="133">
        <v>41114</v>
      </c>
      <c r="F1790" s="134" t="s">
        <v>2978</v>
      </c>
    </row>
    <row r="1791" spans="1:6">
      <c r="A1791" s="132">
        <v>6930000</v>
      </c>
      <c r="B1791" s="132">
        <v>6930000</v>
      </c>
      <c r="C1791" s="132">
        <v>7010000</v>
      </c>
      <c r="D1791" s="132">
        <v>6990000</v>
      </c>
      <c r="E1791" s="133">
        <v>41113</v>
      </c>
      <c r="F1791" s="134" t="s">
        <v>2979</v>
      </c>
    </row>
    <row r="1792" spans="1:6">
      <c r="A1792" s="132">
        <v>7040000</v>
      </c>
      <c r="B1792" s="132">
        <v>7010000</v>
      </c>
      <c r="C1792" s="132">
        <v>7040000</v>
      </c>
      <c r="D1792" s="132">
        <v>7020000</v>
      </c>
      <c r="E1792" s="133">
        <v>41111</v>
      </c>
      <c r="F1792" s="134" t="s">
        <v>2980</v>
      </c>
    </row>
    <row r="1793" spans="1:6">
      <c r="A1793" s="132">
        <v>6990000</v>
      </c>
      <c r="B1793" s="132">
        <v>6960000</v>
      </c>
      <c r="C1793" s="132">
        <v>7010000</v>
      </c>
      <c r="D1793" s="132">
        <v>6960000</v>
      </c>
      <c r="E1793" s="133">
        <v>41112</v>
      </c>
      <c r="F1793" s="134" t="s">
        <v>2981</v>
      </c>
    </row>
    <row r="1794" spans="1:6">
      <c r="A1794" s="132">
        <v>7060000</v>
      </c>
      <c r="B1794" s="132">
        <v>7040000</v>
      </c>
      <c r="C1794" s="132">
        <v>7060000</v>
      </c>
      <c r="D1794" s="132">
        <v>7055000</v>
      </c>
      <c r="E1794" s="133">
        <v>41109</v>
      </c>
      <c r="F1794" s="134" t="s">
        <v>2982</v>
      </c>
    </row>
    <row r="1795" spans="1:6">
      <c r="A1795" s="132">
        <v>7040000</v>
      </c>
      <c r="B1795" s="132">
        <v>7040000</v>
      </c>
      <c r="C1795" s="132">
        <v>7080000</v>
      </c>
      <c r="D1795" s="132">
        <v>7080000</v>
      </c>
      <c r="E1795" s="133">
        <v>41108</v>
      </c>
      <c r="F1795" s="134" t="s">
        <v>2983</v>
      </c>
    </row>
    <row r="1796" spans="1:6">
      <c r="A1796" s="132">
        <v>7130000</v>
      </c>
      <c r="B1796" s="132">
        <v>7090000</v>
      </c>
      <c r="C1796" s="132">
        <v>7130000</v>
      </c>
      <c r="D1796" s="132">
        <v>7090000</v>
      </c>
      <c r="E1796" s="133">
        <v>41107</v>
      </c>
      <c r="F1796" s="134" t="s">
        <v>2984</v>
      </c>
    </row>
    <row r="1797" spans="1:6">
      <c r="A1797" s="132">
        <v>6990000</v>
      </c>
      <c r="B1797" s="132">
        <v>6990000</v>
      </c>
      <c r="C1797" s="132">
        <v>7100000</v>
      </c>
      <c r="D1797" s="132">
        <v>7100000</v>
      </c>
      <c r="E1797" s="133">
        <v>41106</v>
      </c>
      <c r="F1797" s="134" t="s">
        <v>2985</v>
      </c>
    </row>
    <row r="1798" spans="1:6">
      <c r="A1798" s="132">
        <v>7080000</v>
      </c>
      <c r="B1798" s="132">
        <v>7050000</v>
      </c>
      <c r="C1798" s="132">
        <v>7095000</v>
      </c>
      <c r="D1798" s="132">
        <v>7050000</v>
      </c>
      <c r="E1798" s="133">
        <v>41105</v>
      </c>
      <c r="F1798" s="134" t="s">
        <v>2986</v>
      </c>
    </row>
    <row r="1799" spans="1:6">
      <c r="A1799" s="132">
        <v>7220000</v>
      </c>
      <c r="B1799" s="132">
        <v>7130000</v>
      </c>
      <c r="C1799" s="132">
        <v>7220000</v>
      </c>
      <c r="D1799" s="132">
        <v>7130000</v>
      </c>
      <c r="E1799" s="133">
        <v>41104</v>
      </c>
      <c r="F1799" s="134" t="s">
        <v>2987</v>
      </c>
    </row>
    <row r="1800" spans="1:6">
      <c r="A1800" s="132">
        <v>7090000</v>
      </c>
      <c r="B1800" s="132">
        <v>7090000</v>
      </c>
      <c r="C1800" s="132">
        <v>7120000</v>
      </c>
      <c r="D1800" s="132">
        <v>7120000</v>
      </c>
      <c r="E1800" s="133">
        <v>41102</v>
      </c>
      <c r="F1800" s="134" t="s">
        <v>2988</v>
      </c>
    </row>
    <row r="1801" spans="1:6">
      <c r="A1801" s="132">
        <v>7150000</v>
      </c>
      <c r="B1801" s="132">
        <v>7110000</v>
      </c>
      <c r="C1801" s="132">
        <v>7170000</v>
      </c>
      <c r="D1801" s="132">
        <v>7110000</v>
      </c>
      <c r="E1801" s="133">
        <v>41101</v>
      </c>
      <c r="F1801" s="134" t="s">
        <v>2989</v>
      </c>
    </row>
    <row r="1802" spans="1:6">
      <c r="A1802" s="132">
        <v>7200000</v>
      </c>
      <c r="B1802" s="132">
        <v>7190000</v>
      </c>
      <c r="C1802" s="132">
        <v>7280000</v>
      </c>
      <c r="D1802" s="132">
        <v>7240000</v>
      </c>
      <c r="E1802" s="133">
        <v>41100</v>
      </c>
      <c r="F1802" s="134" t="s">
        <v>2990</v>
      </c>
    </row>
    <row r="1803" spans="1:6">
      <c r="A1803" s="132">
        <v>7040000</v>
      </c>
      <c r="B1803" s="132">
        <v>6990000</v>
      </c>
      <c r="C1803" s="132">
        <v>7120000</v>
      </c>
      <c r="D1803" s="132">
        <v>7100000</v>
      </c>
      <c r="E1803" s="133">
        <v>41099</v>
      </c>
      <c r="F1803" s="134" t="s">
        <v>2991</v>
      </c>
    </row>
    <row r="1804" spans="1:6">
      <c r="A1804" s="132">
        <v>7150000</v>
      </c>
      <c r="B1804" s="132">
        <v>7120000</v>
      </c>
      <c r="C1804" s="132">
        <v>7200000</v>
      </c>
      <c r="D1804" s="132">
        <v>7120000</v>
      </c>
      <c r="E1804" s="133">
        <v>41098</v>
      </c>
      <c r="F1804" s="134" t="s">
        <v>2992</v>
      </c>
    </row>
    <row r="1805" spans="1:6">
      <c r="A1805" s="132">
        <v>7300000</v>
      </c>
      <c r="B1805" s="132">
        <v>7230000</v>
      </c>
      <c r="C1805" s="132">
        <v>7310000</v>
      </c>
      <c r="D1805" s="132">
        <v>7290000</v>
      </c>
      <c r="E1805" s="133">
        <v>41097</v>
      </c>
      <c r="F1805" s="134" t="s">
        <v>2993</v>
      </c>
    </row>
    <row r="1806" spans="1:6">
      <c r="A1806" s="132">
        <v>7550000</v>
      </c>
      <c r="B1806" s="132">
        <v>7440000</v>
      </c>
      <c r="C1806" s="132">
        <v>7550000</v>
      </c>
      <c r="D1806" s="132">
        <v>7450000</v>
      </c>
      <c r="E1806" s="133">
        <v>41094</v>
      </c>
      <c r="F1806" s="134" t="s">
        <v>2994</v>
      </c>
    </row>
    <row r="1807" spans="1:6">
      <c r="A1807" s="132">
        <v>7285000</v>
      </c>
      <c r="B1807" s="132">
        <v>7285000</v>
      </c>
      <c r="C1807" s="132">
        <v>7550000</v>
      </c>
      <c r="D1807" s="132">
        <v>7530000</v>
      </c>
      <c r="E1807" s="133">
        <v>41093</v>
      </c>
      <c r="F1807" s="134" t="s">
        <v>2995</v>
      </c>
    </row>
    <row r="1808" spans="1:6">
      <c r="A1808" s="132">
        <v>7340000</v>
      </c>
      <c r="B1808" s="132">
        <v>7220000</v>
      </c>
      <c r="C1808" s="132">
        <v>7370000</v>
      </c>
      <c r="D1808" s="132">
        <v>7280000</v>
      </c>
      <c r="E1808" s="133">
        <v>41092</v>
      </c>
      <c r="F1808" s="134" t="s">
        <v>2996</v>
      </c>
    </row>
    <row r="1809" spans="1:6">
      <c r="A1809" s="132">
        <v>7620000</v>
      </c>
      <c r="B1809" s="132">
        <v>7390000</v>
      </c>
      <c r="C1809" s="132">
        <v>7630000</v>
      </c>
      <c r="D1809" s="132">
        <v>7410000</v>
      </c>
      <c r="E1809" s="133">
        <v>41091</v>
      </c>
      <c r="F1809" s="134" t="s">
        <v>2997</v>
      </c>
    </row>
    <row r="1810" spans="1:6">
      <c r="A1810" s="132">
        <v>7540000</v>
      </c>
      <c r="B1810" s="132">
        <v>7500000</v>
      </c>
      <c r="C1810" s="132">
        <v>7870000</v>
      </c>
      <c r="D1810" s="132">
        <v>7630000</v>
      </c>
      <c r="E1810" s="133">
        <v>41090</v>
      </c>
      <c r="F1810" s="134" t="s">
        <v>2998</v>
      </c>
    </row>
    <row r="1811" spans="1:6">
      <c r="A1811" s="132">
        <v>7700000</v>
      </c>
      <c r="B1811" s="132">
        <v>7700000</v>
      </c>
      <c r="C1811" s="132">
        <v>7700000</v>
      </c>
      <c r="D1811" s="132">
        <v>7700000</v>
      </c>
      <c r="E1811" s="133">
        <v>41089</v>
      </c>
      <c r="F1811" s="134" t="s">
        <v>2999</v>
      </c>
    </row>
    <row r="1812" spans="1:6">
      <c r="A1812" s="132">
        <v>7760000</v>
      </c>
      <c r="B1812" s="132">
        <v>7760000</v>
      </c>
      <c r="C1812" s="132">
        <v>7760000</v>
      </c>
      <c r="D1812" s="132">
        <v>7760000</v>
      </c>
      <c r="E1812" s="133">
        <v>41088</v>
      </c>
      <c r="F1812" s="134" t="s">
        <v>3000</v>
      </c>
    </row>
    <row r="1813" spans="1:6">
      <c r="A1813" s="132">
        <v>7290000</v>
      </c>
      <c r="B1813" s="132">
        <v>7290000</v>
      </c>
      <c r="C1813" s="132">
        <v>7290000</v>
      </c>
      <c r="D1813" s="132">
        <v>7290000</v>
      </c>
      <c r="E1813" s="133">
        <v>41087</v>
      </c>
      <c r="F1813" s="134" t="s">
        <v>3001</v>
      </c>
    </row>
    <row r="1814" spans="1:6">
      <c r="A1814" s="132">
        <v>7190000</v>
      </c>
      <c r="B1814" s="132">
        <v>7190000</v>
      </c>
      <c r="C1814" s="132">
        <v>7190000</v>
      </c>
      <c r="D1814" s="132">
        <v>7190000</v>
      </c>
      <c r="E1814" s="133">
        <v>41086</v>
      </c>
      <c r="F1814" s="134" t="s">
        <v>3002</v>
      </c>
    </row>
    <row r="1815" spans="1:6">
      <c r="A1815" s="132">
        <v>7030000</v>
      </c>
      <c r="B1815" s="132">
        <v>7030000</v>
      </c>
      <c r="C1815" s="132">
        <v>7030000</v>
      </c>
      <c r="D1815" s="132">
        <v>7030000</v>
      </c>
      <c r="E1815" s="133">
        <v>41085</v>
      </c>
      <c r="F1815" s="134" t="s">
        <v>3003</v>
      </c>
    </row>
    <row r="1816" spans="1:6">
      <c r="A1816" s="132">
        <v>7050000</v>
      </c>
      <c r="B1816" s="132">
        <v>7050000</v>
      </c>
      <c r="C1816" s="132">
        <v>7050000</v>
      </c>
      <c r="D1816" s="132">
        <v>7050000</v>
      </c>
      <c r="E1816" s="133">
        <v>41084</v>
      </c>
      <c r="F1816" s="134" t="s">
        <v>3004</v>
      </c>
    </row>
    <row r="1817" spans="1:6">
      <c r="A1817" s="132">
        <v>6940000</v>
      </c>
      <c r="B1817" s="132">
        <v>6940000</v>
      </c>
      <c r="C1817" s="132">
        <v>6940000</v>
      </c>
      <c r="D1817" s="132">
        <v>6940000</v>
      </c>
      <c r="E1817" s="133">
        <v>41083</v>
      </c>
      <c r="F1817" s="134" t="s">
        <v>3005</v>
      </c>
    </row>
    <row r="1818" spans="1:6">
      <c r="A1818" s="132">
        <v>6885000</v>
      </c>
      <c r="B1818" s="132">
        <v>6885000</v>
      </c>
      <c r="C1818" s="132">
        <v>6885000</v>
      </c>
      <c r="D1818" s="132">
        <v>6885000</v>
      </c>
      <c r="E1818" s="133">
        <v>41081</v>
      </c>
      <c r="F1818" s="134" t="s">
        <v>3006</v>
      </c>
    </row>
    <row r="1819" spans="1:6">
      <c r="A1819" s="132">
        <v>6915000</v>
      </c>
      <c r="B1819" s="132">
        <v>6915000</v>
      </c>
      <c r="C1819" s="132">
        <v>6915000</v>
      </c>
      <c r="D1819" s="132">
        <v>6915000</v>
      </c>
      <c r="E1819" s="133">
        <v>41080</v>
      </c>
      <c r="F1819" s="134" t="s">
        <v>3007</v>
      </c>
    </row>
    <row r="1820" spans="1:6">
      <c r="A1820" s="132">
        <v>6885000</v>
      </c>
      <c r="B1820" s="132">
        <v>6885000</v>
      </c>
      <c r="C1820" s="132">
        <v>6885000</v>
      </c>
      <c r="D1820" s="132">
        <v>6885000</v>
      </c>
      <c r="E1820" s="133">
        <v>41079</v>
      </c>
      <c r="F1820" s="134" t="s">
        <v>3008</v>
      </c>
    </row>
    <row r="1821" spans="1:6">
      <c r="A1821" s="132">
        <v>6855000</v>
      </c>
      <c r="B1821" s="132">
        <v>6855000</v>
      </c>
      <c r="C1821" s="132">
        <v>6855000</v>
      </c>
      <c r="D1821" s="132">
        <v>6855000</v>
      </c>
      <c r="E1821" s="133">
        <v>41077</v>
      </c>
      <c r="F1821" s="134" t="s">
        <v>3009</v>
      </c>
    </row>
    <row r="1822" spans="1:6">
      <c r="A1822" s="132">
        <v>6810000</v>
      </c>
      <c r="B1822" s="132">
        <v>6810000</v>
      </c>
      <c r="C1822" s="132">
        <v>6810000</v>
      </c>
      <c r="D1822" s="132">
        <v>6810000</v>
      </c>
      <c r="E1822" s="133">
        <v>41076</v>
      </c>
      <c r="F1822" s="134" t="s">
        <v>3010</v>
      </c>
    </row>
    <row r="1823" spans="1:6">
      <c r="A1823" s="132">
        <v>6765000</v>
      </c>
      <c r="B1823" s="132">
        <v>6765000</v>
      </c>
      <c r="C1823" s="132">
        <v>6765000</v>
      </c>
      <c r="D1823" s="132">
        <v>6765000</v>
      </c>
      <c r="E1823" s="133">
        <v>41074</v>
      </c>
      <c r="F1823" s="134" t="s">
        <v>3011</v>
      </c>
    </row>
    <row r="1824" spans="1:6">
      <c r="A1824" s="132">
        <v>6710000</v>
      </c>
      <c r="B1824" s="132">
        <v>6710000</v>
      </c>
      <c r="C1824" s="132">
        <v>6710000</v>
      </c>
      <c r="D1824" s="132">
        <v>6710000</v>
      </c>
      <c r="E1824" s="133">
        <v>41073</v>
      </c>
      <c r="F1824" s="134" t="s">
        <v>3012</v>
      </c>
    </row>
    <row r="1825" spans="1:6">
      <c r="A1825" s="132">
        <v>6765000</v>
      </c>
      <c r="B1825" s="132">
        <v>6765000</v>
      </c>
      <c r="C1825" s="132">
        <v>6765000</v>
      </c>
      <c r="D1825" s="132">
        <v>6765000</v>
      </c>
      <c r="E1825" s="133">
        <v>41072</v>
      </c>
      <c r="F1825" s="134" t="s">
        <v>3013</v>
      </c>
    </row>
    <row r="1826" spans="1:6">
      <c r="A1826" s="132">
        <v>6850000</v>
      </c>
      <c r="B1826" s="132">
        <v>6850000</v>
      </c>
      <c r="C1826" s="132">
        <v>6850000</v>
      </c>
      <c r="D1826" s="132">
        <v>6850000</v>
      </c>
      <c r="E1826" s="133">
        <v>41071</v>
      </c>
      <c r="F1826" s="134" t="s">
        <v>3014</v>
      </c>
    </row>
    <row r="1827" spans="1:6">
      <c r="A1827" s="132">
        <v>6870000</v>
      </c>
      <c r="B1827" s="132">
        <v>6870000</v>
      </c>
      <c r="C1827" s="132">
        <v>6870000</v>
      </c>
      <c r="D1827" s="132">
        <v>6870000</v>
      </c>
      <c r="E1827" s="133">
        <v>41070</v>
      </c>
      <c r="F1827" s="134" t="s">
        <v>3015</v>
      </c>
    </row>
    <row r="1828" spans="1:6">
      <c r="A1828" s="132">
        <v>6810000</v>
      </c>
      <c r="B1828" s="132">
        <v>6810000</v>
      </c>
      <c r="C1828" s="132">
        <v>6810000</v>
      </c>
      <c r="D1828" s="132">
        <v>6810000</v>
      </c>
      <c r="E1828" s="133">
        <v>41069</v>
      </c>
      <c r="F1828" s="134" t="s">
        <v>3016</v>
      </c>
    </row>
    <row r="1829" spans="1:6">
      <c r="A1829" s="132">
        <v>6800000</v>
      </c>
      <c r="B1829" s="132">
        <v>6800000</v>
      </c>
      <c r="C1829" s="132">
        <v>6800000</v>
      </c>
      <c r="D1829" s="132">
        <v>6800000</v>
      </c>
      <c r="E1829" s="133">
        <v>41067</v>
      </c>
      <c r="F1829" s="134" t="s">
        <v>3017</v>
      </c>
    </row>
    <row r="1830" spans="1:6">
      <c r="A1830" s="132">
        <v>6730000</v>
      </c>
      <c r="B1830" s="132">
        <v>6730000</v>
      </c>
      <c r="C1830" s="132">
        <v>6730000</v>
      </c>
      <c r="D1830" s="132">
        <v>6730000</v>
      </c>
      <c r="E1830" s="133">
        <v>41066</v>
      </c>
      <c r="F1830" s="134" t="s">
        <v>3018</v>
      </c>
    </row>
    <row r="1831" spans="1:6">
      <c r="A1831" s="132">
        <v>6690000</v>
      </c>
      <c r="B1831" s="132">
        <v>6690000</v>
      </c>
      <c r="C1831" s="132">
        <v>6690000</v>
      </c>
      <c r="D1831" s="132">
        <v>6690000</v>
      </c>
      <c r="E1831" s="133">
        <v>41065</v>
      </c>
      <c r="F1831" s="134" t="s">
        <v>3019</v>
      </c>
    </row>
    <row r="1832" spans="1:6">
      <c r="A1832" s="132">
        <v>6820000</v>
      </c>
      <c r="B1832" s="132">
        <v>6820000</v>
      </c>
      <c r="C1832" s="132">
        <v>6820000</v>
      </c>
      <c r="D1832" s="132">
        <v>6820000</v>
      </c>
      <c r="E1832" s="133">
        <v>41062</v>
      </c>
      <c r="F1832" s="134" t="s">
        <v>3020</v>
      </c>
    </row>
    <row r="1833" spans="1:6">
      <c r="A1833" s="132">
        <v>6600000</v>
      </c>
      <c r="B1833" s="132">
        <v>6600000</v>
      </c>
      <c r="C1833" s="132">
        <v>6600000</v>
      </c>
      <c r="D1833" s="132">
        <v>6600000</v>
      </c>
      <c r="E1833" s="133">
        <v>41060</v>
      </c>
      <c r="F1833" s="134" t="s">
        <v>3021</v>
      </c>
    </row>
    <row r="1834" spans="1:6">
      <c r="A1834" s="132">
        <v>6580000</v>
      </c>
      <c r="B1834" s="132">
        <v>6580000</v>
      </c>
      <c r="C1834" s="132">
        <v>6580000</v>
      </c>
      <c r="D1834" s="132">
        <v>6580000</v>
      </c>
      <c r="E1834" s="133">
        <v>41059</v>
      </c>
      <c r="F1834" s="134" t="s">
        <v>3022</v>
      </c>
    </row>
    <row r="1835" spans="1:6">
      <c r="A1835" s="132">
        <v>6640000</v>
      </c>
      <c r="B1835" s="132">
        <v>6640000</v>
      </c>
      <c r="C1835" s="132">
        <v>6640000</v>
      </c>
      <c r="D1835" s="132">
        <v>6640000</v>
      </c>
      <c r="E1835" s="133">
        <v>41058</v>
      </c>
      <c r="F1835" s="134" t="s">
        <v>3023</v>
      </c>
    </row>
    <row r="1836" spans="1:6">
      <c r="A1836" s="132">
        <v>6580000</v>
      </c>
      <c r="B1836" s="132">
        <v>6580000</v>
      </c>
      <c r="C1836" s="132">
        <v>6580000</v>
      </c>
      <c r="D1836" s="132">
        <v>6580000</v>
      </c>
      <c r="E1836" s="133">
        <v>41057</v>
      </c>
      <c r="F1836" s="134" t="s">
        <v>3024</v>
      </c>
    </row>
    <row r="1837" spans="1:6">
      <c r="A1837" s="132">
        <v>6500000</v>
      </c>
      <c r="B1837" s="132">
        <v>6500000</v>
      </c>
      <c r="C1837" s="132">
        <v>6500000</v>
      </c>
      <c r="D1837" s="132">
        <v>6500000</v>
      </c>
      <c r="E1837" s="133">
        <v>41056</v>
      </c>
      <c r="F1837" s="134" t="s">
        <v>3025</v>
      </c>
    </row>
    <row r="1838" spans="1:6">
      <c r="A1838" s="132">
        <v>6660000</v>
      </c>
      <c r="B1838" s="132">
        <v>6660000</v>
      </c>
      <c r="C1838" s="132">
        <v>6660000</v>
      </c>
      <c r="D1838" s="132">
        <v>6660000</v>
      </c>
      <c r="E1838" s="133">
        <v>41055</v>
      </c>
      <c r="F1838" s="134" t="s">
        <v>3026</v>
      </c>
    </row>
    <row r="1839" spans="1:6">
      <c r="A1839" s="132">
        <v>6650000</v>
      </c>
      <c r="B1839" s="132">
        <v>6650000</v>
      </c>
      <c r="C1839" s="132">
        <v>6650000</v>
      </c>
      <c r="D1839" s="132">
        <v>6650000</v>
      </c>
      <c r="E1839" s="133">
        <v>41053</v>
      </c>
      <c r="F1839" s="134" t="s">
        <v>3027</v>
      </c>
    </row>
    <row r="1840" spans="1:6">
      <c r="A1840" s="132">
        <v>6500000</v>
      </c>
      <c r="B1840" s="132">
        <v>6500000</v>
      </c>
      <c r="C1840" s="132">
        <v>6500000</v>
      </c>
      <c r="D1840" s="132">
        <v>6500000</v>
      </c>
      <c r="E1840" s="133">
        <v>41049</v>
      </c>
      <c r="F1840" s="134" t="s">
        <v>3028</v>
      </c>
    </row>
    <row r="1841" spans="1:6">
      <c r="A1841" s="132">
        <v>6330000</v>
      </c>
      <c r="B1841" s="132">
        <v>6330000</v>
      </c>
      <c r="C1841" s="132">
        <v>6330000</v>
      </c>
      <c r="D1841" s="132">
        <v>6330000</v>
      </c>
      <c r="E1841" s="133">
        <v>41052</v>
      </c>
      <c r="F1841" s="134" t="s">
        <v>3029</v>
      </c>
    </row>
    <row r="1842" spans="1:6">
      <c r="A1842" s="132">
        <v>6500000</v>
      </c>
      <c r="B1842" s="132">
        <v>6500000</v>
      </c>
      <c r="C1842" s="132">
        <v>6500000</v>
      </c>
      <c r="D1842" s="132">
        <v>6500000</v>
      </c>
      <c r="E1842" s="133">
        <v>41048</v>
      </c>
      <c r="F1842" s="134" t="s">
        <v>3030</v>
      </c>
    </row>
    <row r="1843" spans="1:6">
      <c r="A1843" s="132">
        <v>6350000</v>
      </c>
      <c r="B1843" s="132">
        <v>6350000</v>
      </c>
      <c r="C1843" s="132">
        <v>6350000</v>
      </c>
      <c r="D1843" s="132">
        <v>6350000</v>
      </c>
      <c r="E1843" s="133">
        <v>41051</v>
      </c>
      <c r="F1843" s="134" t="s">
        <v>3031</v>
      </c>
    </row>
    <row r="1844" spans="1:6">
      <c r="A1844" s="132">
        <v>6480000</v>
      </c>
      <c r="B1844" s="132">
        <v>6480000</v>
      </c>
      <c r="C1844" s="132">
        <v>6480000</v>
      </c>
      <c r="D1844" s="132">
        <v>6480000</v>
      </c>
      <c r="E1844" s="133">
        <v>41050</v>
      </c>
      <c r="F1844" s="134" t="s">
        <v>3032</v>
      </c>
    </row>
    <row r="1845" spans="1:6">
      <c r="A1845" s="132">
        <v>6420000</v>
      </c>
      <c r="B1845" s="132">
        <v>6420000</v>
      </c>
      <c r="C1845" s="132">
        <v>6420000</v>
      </c>
      <c r="D1845" s="132">
        <v>6420000</v>
      </c>
      <c r="E1845" s="133">
        <v>41046</v>
      </c>
      <c r="F1845" s="134" t="s">
        <v>3033</v>
      </c>
    </row>
    <row r="1846" spans="1:6">
      <c r="A1846" s="132">
        <v>6280000</v>
      </c>
      <c r="B1846" s="132">
        <v>6280000</v>
      </c>
      <c r="C1846" s="132">
        <v>6280000</v>
      </c>
      <c r="D1846" s="132">
        <v>6280000</v>
      </c>
      <c r="E1846" s="133">
        <v>41045</v>
      </c>
      <c r="F1846" s="134" t="s">
        <v>3034</v>
      </c>
    </row>
    <row r="1847" spans="1:6">
      <c r="A1847" s="132">
        <v>6400000</v>
      </c>
      <c r="B1847" s="132">
        <v>6400000</v>
      </c>
      <c r="C1847" s="132">
        <v>6400000</v>
      </c>
      <c r="D1847" s="132">
        <v>6400000</v>
      </c>
      <c r="E1847" s="133">
        <v>41044</v>
      </c>
      <c r="F1847" s="134" t="s">
        <v>3035</v>
      </c>
    </row>
    <row r="1848" spans="1:6">
      <c r="A1848" s="132">
        <v>6280000</v>
      </c>
      <c r="B1848" s="132">
        <v>6280000</v>
      </c>
      <c r="C1848" s="132">
        <v>6280000</v>
      </c>
      <c r="D1848" s="132">
        <v>6280000</v>
      </c>
      <c r="E1848" s="133">
        <v>41043</v>
      </c>
      <c r="F1848" s="134" t="s">
        <v>3036</v>
      </c>
    </row>
    <row r="1849" spans="1:6">
      <c r="A1849" s="132">
        <v>6080000</v>
      </c>
      <c r="B1849" s="132">
        <v>6080000</v>
      </c>
      <c r="C1849" s="132">
        <v>6080000</v>
      </c>
      <c r="D1849" s="132">
        <v>6080000</v>
      </c>
      <c r="E1849" s="133">
        <v>41042</v>
      </c>
      <c r="F1849" s="134" t="s">
        <v>3037</v>
      </c>
    </row>
    <row r="1850" spans="1:6">
      <c r="A1850" s="132">
        <v>6000000</v>
      </c>
      <c r="B1850" s="132">
        <v>6000000</v>
      </c>
      <c r="C1850" s="132">
        <v>6000000</v>
      </c>
      <c r="D1850" s="132">
        <v>6000000</v>
      </c>
      <c r="E1850" s="133">
        <v>41041</v>
      </c>
      <c r="F1850" s="134" t="s">
        <v>3038</v>
      </c>
    </row>
    <row r="1851" spans="1:6">
      <c r="A1851" s="132">
        <v>6110000</v>
      </c>
      <c r="B1851" s="132">
        <v>6110000</v>
      </c>
      <c r="C1851" s="132">
        <v>6110000</v>
      </c>
      <c r="D1851" s="132">
        <v>6110000</v>
      </c>
      <c r="E1851" s="133">
        <v>41039</v>
      </c>
      <c r="F1851" s="134" t="s">
        <v>3039</v>
      </c>
    </row>
    <row r="1852" spans="1:6">
      <c r="A1852" s="132">
        <v>6300000</v>
      </c>
      <c r="B1852" s="132">
        <v>6300000</v>
      </c>
      <c r="C1852" s="132">
        <v>6300000</v>
      </c>
      <c r="D1852" s="132">
        <v>6300000</v>
      </c>
      <c r="E1852" s="133">
        <v>41038</v>
      </c>
      <c r="F1852" s="134" t="s">
        <v>3040</v>
      </c>
    </row>
    <row r="1853" spans="1:6">
      <c r="A1853" s="132">
        <v>6460000</v>
      </c>
      <c r="B1853" s="132">
        <v>6460000</v>
      </c>
      <c r="C1853" s="132">
        <v>6460000</v>
      </c>
      <c r="D1853" s="132">
        <v>6460000</v>
      </c>
      <c r="E1853" s="133">
        <v>41037</v>
      </c>
      <c r="F1853" s="134" t="s">
        <v>3041</v>
      </c>
    </row>
    <row r="1854" spans="1:6">
      <c r="A1854" s="132">
        <v>6480000</v>
      </c>
      <c r="B1854" s="132">
        <v>6480000</v>
      </c>
      <c r="C1854" s="132">
        <v>6480000</v>
      </c>
      <c r="D1854" s="132">
        <v>6480000</v>
      </c>
      <c r="E1854" s="133">
        <v>41036</v>
      </c>
      <c r="F1854" s="134" t="s">
        <v>3042</v>
      </c>
    </row>
    <row r="1855" spans="1:6">
      <c r="A1855" s="132">
        <v>6480000</v>
      </c>
      <c r="B1855" s="132">
        <v>6480000</v>
      </c>
      <c r="C1855" s="132">
        <v>6480000</v>
      </c>
      <c r="D1855" s="132">
        <v>6480000</v>
      </c>
      <c r="E1855" s="133">
        <v>41035</v>
      </c>
      <c r="F1855" s="134" t="s">
        <v>3043</v>
      </c>
    </row>
    <row r="1856" spans="1:6">
      <c r="A1856" s="132">
        <v>6570000</v>
      </c>
      <c r="B1856" s="132">
        <v>6570000</v>
      </c>
      <c r="C1856" s="132">
        <v>6570000</v>
      </c>
      <c r="D1856" s="132">
        <v>6570000</v>
      </c>
      <c r="E1856" s="133">
        <v>41034</v>
      </c>
      <c r="F1856" s="134" t="s">
        <v>3044</v>
      </c>
    </row>
    <row r="1857" spans="1:6">
      <c r="A1857" s="132">
        <v>6685000</v>
      </c>
      <c r="B1857" s="132">
        <v>6685000</v>
      </c>
      <c r="C1857" s="132">
        <v>6685000</v>
      </c>
      <c r="D1857" s="132">
        <v>6685000</v>
      </c>
      <c r="E1857" s="133">
        <v>41032</v>
      </c>
      <c r="F1857" s="134" t="s">
        <v>3045</v>
      </c>
    </row>
    <row r="1858" spans="1:6">
      <c r="A1858" s="132">
        <v>6700000</v>
      </c>
      <c r="B1858" s="132">
        <v>6700000</v>
      </c>
      <c r="C1858" s="132">
        <v>6700000</v>
      </c>
      <c r="D1858" s="132">
        <v>6700000</v>
      </c>
      <c r="E1858" s="133">
        <v>41031</v>
      </c>
      <c r="F1858" s="134" t="s">
        <v>3046</v>
      </c>
    </row>
    <row r="1859" spans="1:6">
      <c r="A1859" s="132">
        <v>6700000</v>
      </c>
      <c r="B1859" s="132">
        <v>6700000</v>
      </c>
      <c r="C1859" s="132">
        <v>6700000</v>
      </c>
      <c r="D1859" s="132">
        <v>6700000</v>
      </c>
      <c r="E1859" s="133">
        <v>41030</v>
      </c>
      <c r="F1859" s="134" t="s">
        <v>3047</v>
      </c>
    </row>
    <row r="1860" spans="1:6">
      <c r="A1860" s="132">
        <v>6730000</v>
      </c>
      <c r="B1860" s="132">
        <v>6730000</v>
      </c>
      <c r="C1860" s="132">
        <v>6730000</v>
      </c>
      <c r="D1860" s="132">
        <v>6730000</v>
      </c>
      <c r="E1860" s="133">
        <v>41029</v>
      </c>
      <c r="F1860" s="134" t="s">
        <v>3048</v>
      </c>
    </row>
    <row r="1861" spans="1:6">
      <c r="A1861" s="132">
        <v>6810000</v>
      </c>
      <c r="B1861" s="132">
        <v>6810000</v>
      </c>
      <c r="C1861" s="132">
        <v>6810000</v>
      </c>
      <c r="D1861" s="132">
        <v>6810000</v>
      </c>
      <c r="E1861" s="133">
        <v>41028</v>
      </c>
      <c r="F1861" s="134" t="s">
        <v>3049</v>
      </c>
    </row>
    <row r="1862" spans="1:6">
      <c r="A1862" s="132">
        <v>6580000</v>
      </c>
      <c r="B1862" s="132">
        <v>6580000</v>
      </c>
      <c r="C1862" s="132">
        <v>6580000</v>
      </c>
      <c r="D1862" s="132">
        <v>6580000</v>
      </c>
      <c r="E1862" s="133">
        <v>41027</v>
      </c>
      <c r="F1862" s="134" t="s">
        <v>3050</v>
      </c>
    </row>
    <row r="1863" spans="1:6">
      <c r="A1863" s="132">
        <v>6820000</v>
      </c>
      <c r="B1863" s="132">
        <v>6820000</v>
      </c>
      <c r="C1863" s="132">
        <v>6820000</v>
      </c>
      <c r="D1863" s="132">
        <v>6820000</v>
      </c>
      <c r="E1863" s="133">
        <v>41025</v>
      </c>
      <c r="F1863" s="134" t="s">
        <v>3051</v>
      </c>
    </row>
    <row r="1864" spans="1:6">
      <c r="A1864" s="132">
        <v>6810000</v>
      </c>
      <c r="B1864" s="132">
        <v>6810000</v>
      </c>
      <c r="C1864" s="132">
        <v>6810000</v>
      </c>
      <c r="D1864" s="132">
        <v>6810000</v>
      </c>
      <c r="E1864" s="133">
        <v>41023</v>
      </c>
      <c r="F1864" s="134" t="s">
        <v>3052</v>
      </c>
    </row>
    <row r="1865" spans="1:6">
      <c r="A1865" s="132">
        <v>6890000</v>
      </c>
      <c r="B1865" s="132">
        <v>6890000</v>
      </c>
      <c r="C1865" s="132">
        <v>6890000</v>
      </c>
      <c r="D1865" s="132">
        <v>6890000</v>
      </c>
      <c r="E1865" s="133">
        <v>41022</v>
      </c>
      <c r="F1865" s="134" t="s">
        <v>3053</v>
      </c>
    </row>
    <row r="1866" spans="1:6">
      <c r="A1866" s="132">
        <v>6980000</v>
      </c>
      <c r="B1866" s="132">
        <v>6980000</v>
      </c>
      <c r="C1866" s="132">
        <v>6980000</v>
      </c>
      <c r="D1866" s="132">
        <v>6980000</v>
      </c>
      <c r="E1866" s="133">
        <v>41021</v>
      </c>
      <c r="F1866" s="134" t="s">
        <v>3054</v>
      </c>
    </row>
    <row r="1867" spans="1:6">
      <c r="A1867" s="132">
        <v>7000000</v>
      </c>
      <c r="B1867" s="132">
        <v>7000000</v>
      </c>
      <c r="C1867" s="132">
        <v>7000000</v>
      </c>
      <c r="D1867" s="132">
        <v>7000000</v>
      </c>
      <c r="E1867" s="133">
        <v>41020</v>
      </c>
      <c r="F1867" s="134" t="s">
        <v>3055</v>
      </c>
    </row>
    <row r="1868" spans="1:6">
      <c r="A1868" s="132">
        <v>7020000</v>
      </c>
      <c r="B1868" s="132">
        <v>7020000</v>
      </c>
      <c r="C1868" s="132">
        <v>7020000</v>
      </c>
      <c r="D1868" s="132">
        <v>7020000</v>
      </c>
      <c r="E1868" s="133">
        <v>41018</v>
      </c>
      <c r="F1868" s="134" t="s">
        <v>3056</v>
      </c>
    </row>
    <row r="1869" spans="1:6">
      <c r="A1869" s="132">
        <v>7070000</v>
      </c>
      <c r="B1869" s="132">
        <v>7070000</v>
      </c>
      <c r="C1869" s="132">
        <v>7070000</v>
      </c>
      <c r="D1869" s="132">
        <v>7070000</v>
      </c>
      <c r="E1869" s="133">
        <v>41017</v>
      </c>
      <c r="F1869" s="134" t="s">
        <v>3057</v>
      </c>
    </row>
    <row r="1870" spans="1:6">
      <c r="A1870" s="132">
        <v>7010000</v>
      </c>
      <c r="B1870" s="132">
        <v>7010000</v>
      </c>
      <c r="C1870" s="132">
        <v>7010000</v>
      </c>
      <c r="D1870" s="132">
        <v>7010000</v>
      </c>
      <c r="E1870" s="133">
        <v>41016</v>
      </c>
      <c r="F1870" s="134" t="s">
        <v>3058</v>
      </c>
    </row>
    <row r="1871" spans="1:6">
      <c r="A1871" s="132">
        <v>6830000</v>
      </c>
      <c r="B1871" s="132">
        <v>6830000</v>
      </c>
      <c r="C1871" s="132">
        <v>6830000</v>
      </c>
      <c r="D1871" s="132">
        <v>6830000</v>
      </c>
      <c r="E1871" s="133">
        <v>41015</v>
      </c>
      <c r="F1871" s="134" t="s">
        <v>3059</v>
      </c>
    </row>
    <row r="1872" spans="1:6">
      <c r="A1872" s="132">
        <v>6650000</v>
      </c>
      <c r="B1872" s="132">
        <v>6650000</v>
      </c>
      <c r="C1872" s="132">
        <v>6650000</v>
      </c>
      <c r="D1872" s="132">
        <v>6650000</v>
      </c>
      <c r="E1872" s="133">
        <v>41014</v>
      </c>
      <c r="F1872" s="134" t="s">
        <v>3060</v>
      </c>
    </row>
    <row r="1873" spans="1:6">
      <c r="A1873" s="132">
        <v>7260000</v>
      </c>
      <c r="B1873" s="132">
        <v>7260000</v>
      </c>
      <c r="C1873" s="132">
        <v>7260000</v>
      </c>
      <c r="D1873" s="132">
        <v>7260000</v>
      </c>
      <c r="E1873" s="133">
        <v>41013</v>
      </c>
      <c r="F1873" s="134" t="s">
        <v>3061</v>
      </c>
    </row>
    <row r="1874" spans="1:6">
      <c r="A1874" s="132">
        <v>7320000</v>
      </c>
      <c r="B1874" s="132">
        <v>7320000</v>
      </c>
      <c r="C1874" s="132">
        <v>7320000</v>
      </c>
      <c r="D1874" s="132">
        <v>7320000</v>
      </c>
      <c r="E1874" s="133">
        <v>41011</v>
      </c>
      <c r="F1874" s="134" t="s">
        <v>3062</v>
      </c>
    </row>
    <row r="1875" spans="1:6">
      <c r="A1875" s="132">
        <v>7450000</v>
      </c>
      <c r="B1875" s="132">
        <v>7450000</v>
      </c>
      <c r="C1875" s="132">
        <v>7450000</v>
      </c>
      <c r="D1875" s="132">
        <v>7450000</v>
      </c>
      <c r="E1875" s="133">
        <v>41010</v>
      </c>
      <c r="F1875" s="134" t="s">
        <v>3063</v>
      </c>
    </row>
    <row r="1876" spans="1:6">
      <c r="A1876" s="132">
        <v>7210000</v>
      </c>
      <c r="B1876" s="132">
        <v>7210000</v>
      </c>
      <c r="C1876" s="132">
        <v>7210000</v>
      </c>
      <c r="D1876" s="132">
        <v>7210000</v>
      </c>
      <c r="E1876" s="133">
        <v>41009</v>
      </c>
      <c r="F1876" s="134" t="s">
        <v>3064</v>
      </c>
    </row>
    <row r="1877" spans="1:6">
      <c r="A1877" s="132">
        <v>7290000</v>
      </c>
      <c r="B1877" s="132">
        <v>7290000</v>
      </c>
      <c r="C1877" s="132">
        <v>7290000</v>
      </c>
      <c r="D1877" s="132">
        <v>7290000</v>
      </c>
      <c r="E1877" s="133">
        <v>41008</v>
      </c>
      <c r="F1877" s="134" t="s">
        <v>3065</v>
      </c>
    </row>
    <row r="1878" spans="1:6">
      <c r="A1878" s="132">
        <v>7450000</v>
      </c>
      <c r="B1878" s="132">
        <v>7450000</v>
      </c>
      <c r="C1878" s="132">
        <v>7450000</v>
      </c>
      <c r="D1878" s="132">
        <v>7450000</v>
      </c>
      <c r="E1878" s="133">
        <v>41007</v>
      </c>
      <c r="F1878" s="134" t="s">
        <v>3066</v>
      </c>
    </row>
    <row r="1879" spans="1:6">
      <c r="A1879" s="132">
        <v>7470000</v>
      </c>
      <c r="B1879" s="132">
        <v>7470000</v>
      </c>
      <c r="C1879" s="132">
        <v>7470000</v>
      </c>
      <c r="D1879" s="132">
        <v>7470000</v>
      </c>
      <c r="E1879" s="133">
        <v>41006</v>
      </c>
      <c r="F1879" s="134" t="s">
        <v>3067</v>
      </c>
    </row>
    <row r="1880" spans="1:6">
      <c r="A1880" s="132">
        <v>7430000</v>
      </c>
      <c r="B1880" s="132">
        <v>7430000</v>
      </c>
      <c r="C1880" s="132">
        <v>7430000</v>
      </c>
      <c r="D1880" s="132">
        <v>7430000</v>
      </c>
      <c r="E1880" s="133">
        <v>41004</v>
      </c>
      <c r="F1880" s="134" t="s">
        <v>3068</v>
      </c>
    </row>
    <row r="1881" spans="1:6">
      <c r="A1881" s="132">
        <v>7440000</v>
      </c>
      <c r="B1881" s="132">
        <v>7440000</v>
      </c>
      <c r="C1881" s="132">
        <v>7440000</v>
      </c>
      <c r="D1881" s="132">
        <v>7440000</v>
      </c>
      <c r="E1881" s="133">
        <v>41003</v>
      </c>
      <c r="F1881" s="134" t="s">
        <v>3069</v>
      </c>
    </row>
    <row r="1882" spans="1:6">
      <c r="A1882" s="132">
        <v>7630000</v>
      </c>
      <c r="B1882" s="132">
        <v>7630000</v>
      </c>
      <c r="C1882" s="132">
        <v>7630000</v>
      </c>
      <c r="D1882" s="132">
        <v>7630000</v>
      </c>
      <c r="E1882" s="133">
        <v>41002</v>
      </c>
      <c r="F1882" s="134" t="s">
        <v>3070</v>
      </c>
    </row>
    <row r="1883" spans="1:6">
      <c r="A1883" s="132">
        <v>7740000</v>
      </c>
      <c r="B1883" s="132">
        <v>7740000</v>
      </c>
      <c r="C1883" s="132">
        <v>7740000</v>
      </c>
      <c r="D1883" s="132">
        <v>7740000</v>
      </c>
      <c r="E1883" s="133">
        <v>41001</v>
      </c>
      <c r="F1883" s="134" t="s">
        <v>3071</v>
      </c>
    </row>
    <row r="1884" spans="1:6">
      <c r="A1884" s="132">
        <v>7790000</v>
      </c>
      <c r="B1884" s="132">
        <v>7790000</v>
      </c>
      <c r="C1884" s="132">
        <v>7790000</v>
      </c>
      <c r="D1884" s="132">
        <v>7790000</v>
      </c>
      <c r="E1884" s="133">
        <v>40997</v>
      </c>
      <c r="F1884" s="134" t="s">
        <v>3072</v>
      </c>
    </row>
    <row r="1885" spans="1:6">
      <c r="A1885" s="132">
        <v>7810000</v>
      </c>
      <c r="B1885" s="132">
        <v>7810000</v>
      </c>
      <c r="C1885" s="132">
        <v>7810000</v>
      </c>
      <c r="D1885" s="132">
        <v>7810000</v>
      </c>
      <c r="E1885" s="133">
        <v>40996</v>
      </c>
      <c r="F1885" s="134" t="s">
        <v>3073</v>
      </c>
    </row>
    <row r="1886" spans="1:6">
      <c r="A1886" s="132">
        <v>7800000</v>
      </c>
      <c r="B1886" s="132">
        <v>7800000</v>
      </c>
      <c r="C1886" s="132">
        <v>7800000</v>
      </c>
      <c r="D1886" s="132">
        <v>7800000</v>
      </c>
      <c r="E1886" s="133">
        <v>40995</v>
      </c>
      <c r="F1886" s="134" t="s">
        <v>3074</v>
      </c>
    </row>
    <row r="1887" spans="1:6">
      <c r="A1887" s="132">
        <v>7670000</v>
      </c>
      <c r="B1887" s="132">
        <v>7670000</v>
      </c>
      <c r="C1887" s="132">
        <v>7670000</v>
      </c>
      <c r="D1887" s="132">
        <v>7670000</v>
      </c>
      <c r="E1887" s="133">
        <v>40994</v>
      </c>
      <c r="F1887" s="134" t="s">
        <v>3075</v>
      </c>
    </row>
    <row r="1888" spans="1:6">
      <c r="A1888" s="132">
        <v>7640000</v>
      </c>
      <c r="B1888" s="132">
        <v>7640000</v>
      </c>
      <c r="C1888" s="132">
        <v>7640000</v>
      </c>
      <c r="D1888" s="132">
        <v>7640000</v>
      </c>
      <c r="E1888" s="133">
        <v>40993</v>
      </c>
      <c r="F1888" s="134" t="s">
        <v>3076</v>
      </c>
    </row>
    <row r="1889" spans="1:6">
      <c r="A1889" s="132">
        <v>7680000</v>
      </c>
      <c r="B1889" s="132">
        <v>7680000</v>
      </c>
      <c r="C1889" s="132">
        <v>7680000</v>
      </c>
      <c r="D1889" s="132">
        <v>7680000</v>
      </c>
      <c r="E1889" s="133">
        <v>40992</v>
      </c>
      <c r="F1889" s="134" t="s">
        <v>3077</v>
      </c>
    </row>
    <row r="1890" spans="1:6">
      <c r="A1890" s="132">
        <v>7650000</v>
      </c>
      <c r="B1890" s="132">
        <v>7650000</v>
      </c>
      <c r="C1890" s="132">
        <v>7650000</v>
      </c>
      <c r="D1890" s="132">
        <v>7650000</v>
      </c>
      <c r="E1890" s="133">
        <v>40986</v>
      </c>
      <c r="F1890" s="134" t="s">
        <v>3078</v>
      </c>
    </row>
    <row r="1891" spans="1:6">
      <c r="A1891" s="132">
        <v>7760000</v>
      </c>
      <c r="B1891" s="132">
        <v>7760000</v>
      </c>
      <c r="C1891" s="132">
        <v>7760000</v>
      </c>
      <c r="D1891" s="132">
        <v>7760000</v>
      </c>
      <c r="E1891" s="133">
        <v>40985</v>
      </c>
      <c r="F1891" s="134" t="s">
        <v>3079</v>
      </c>
    </row>
    <row r="1892" spans="1:6">
      <c r="A1892" s="132">
        <v>7400000</v>
      </c>
      <c r="B1892" s="132">
        <v>7400000</v>
      </c>
      <c r="C1892" s="132">
        <v>7400000</v>
      </c>
      <c r="D1892" s="132">
        <v>7400000</v>
      </c>
      <c r="E1892" s="133">
        <v>40983</v>
      </c>
      <c r="F1892" s="134" t="s">
        <v>3080</v>
      </c>
    </row>
    <row r="1893" spans="1:6">
      <c r="A1893" s="132">
        <v>7450000</v>
      </c>
      <c r="B1893" s="132">
        <v>7450000</v>
      </c>
      <c r="C1893" s="132">
        <v>7450000</v>
      </c>
      <c r="D1893" s="132">
        <v>7450000</v>
      </c>
      <c r="E1893" s="133">
        <v>40982</v>
      </c>
      <c r="F1893" s="134" t="s">
        <v>3081</v>
      </c>
    </row>
    <row r="1894" spans="1:6">
      <c r="A1894" s="132">
        <v>7650000</v>
      </c>
      <c r="B1894" s="132">
        <v>7650000</v>
      </c>
      <c r="C1894" s="132">
        <v>7650000</v>
      </c>
      <c r="D1894" s="132">
        <v>7650000</v>
      </c>
      <c r="E1894" s="133">
        <v>40981</v>
      </c>
      <c r="F1894" s="134" t="s">
        <v>3082</v>
      </c>
    </row>
    <row r="1895" spans="1:6">
      <c r="A1895" s="132">
        <v>7750000</v>
      </c>
      <c r="B1895" s="132">
        <v>7750000</v>
      </c>
      <c r="C1895" s="132">
        <v>7750000</v>
      </c>
      <c r="D1895" s="132">
        <v>7750000</v>
      </c>
      <c r="E1895" s="133">
        <v>40980</v>
      </c>
      <c r="F1895" s="134" t="s">
        <v>3083</v>
      </c>
    </row>
    <row r="1896" spans="1:6">
      <c r="A1896" s="132">
        <v>7620000</v>
      </c>
      <c r="B1896" s="132">
        <v>7620000</v>
      </c>
      <c r="C1896" s="132">
        <v>7620000</v>
      </c>
      <c r="D1896" s="132">
        <v>7620000</v>
      </c>
      <c r="E1896" s="133">
        <v>40979</v>
      </c>
      <c r="F1896" s="134" t="s">
        <v>3084</v>
      </c>
    </row>
    <row r="1897" spans="1:6">
      <c r="A1897" s="132">
        <v>7750000</v>
      </c>
      <c r="B1897" s="132">
        <v>7750000</v>
      </c>
      <c r="C1897" s="132">
        <v>7750000</v>
      </c>
      <c r="D1897" s="132">
        <v>7750000</v>
      </c>
      <c r="E1897" s="133">
        <v>40978</v>
      </c>
      <c r="F1897" s="134" t="s">
        <v>3085</v>
      </c>
    </row>
    <row r="1898" spans="1:6">
      <c r="A1898" s="132">
        <v>7900000</v>
      </c>
      <c r="B1898" s="132">
        <v>7900000</v>
      </c>
      <c r="C1898" s="132">
        <v>7900000</v>
      </c>
      <c r="D1898" s="132">
        <v>7900000</v>
      </c>
      <c r="E1898" s="133">
        <v>40976</v>
      </c>
      <c r="F1898" s="134" t="s">
        <v>3086</v>
      </c>
    </row>
    <row r="1899" spans="1:6">
      <c r="A1899" s="132">
        <v>7850000</v>
      </c>
      <c r="B1899" s="132">
        <v>7850000</v>
      </c>
      <c r="C1899" s="132">
        <v>7850000</v>
      </c>
      <c r="D1899" s="132">
        <v>7850000</v>
      </c>
      <c r="E1899" s="133">
        <v>40975</v>
      </c>
      <c r="F1899" s="134" t="s">
        <v>3087</v>
      </c>
    </row>
    <row r="1900" spans="1:6">
      <c r="A1900" s="132">
        <v>7900000</v>
      </c>
      <c r="B1900" s="132">
        <v>7900000</v>
      </c>
      <c r="C1900" s="132">
        <v>7900000</v>
      </c>
      <c r="D1900" s="132">
        <v>7900000</v>
      </c>
      <c r="E1900" s="133">
        <v>40974</v>
      </c>
      <c r="F1900" s="134" t="s">
        <v>3088</v>
      </c>
    </row>
    <row r="1901" spans="1:6">
      <c r="A1901" s="132">
        <v>7980000</v>
      </c>
      <c r="B1901" s="132">
        <v>7980000</v>
      </c>
      <c r="C1901" s="132">
        <v>7980000</v>
      </c>
      <c r="D1901" s="132">
        <v>7980000</v>
      </c>
      <c r="E1901" s="133">
        <v>40973</v>
      </c>
      <c r="F1901" s="134" t="s">
        <v>3089</v>
      </c>
    </row>
    <row r="1902" spans="1:6">
      <c r="A1902" s="132">
        <v>8010000</v>
      </c>
      <c r="B1902" s="132">
        <v>8010000</v>
      </c>
      <c r="C1902" s="132">
        <v>8010000</v>
      </c>
      <c r="D1902" s="132">
        <v>8010000</v>
      </c>
      <c r="E1902" s="133">
        <v>40972</v>
      </c>
      <c r="F1902" s="134" t="s">
        <v>3090</v>
      </c>
    </row>
    <row r="1903" spans="1:6">
      <c r="A1903" s="132">
        <v>8100000</v>
      </c>
      <c r="B1903" s="132">
        <v>8100000</v>
      </c>
      <c r="C1903" s="132">
        <v>8100000</v>
      </c>
      <c r="D1903" s="132">
        <v>8100000</v>
      </c>
      <c r="E1903" s="133">
        <v>40971</v>
      </c>
      <c r="F1903" s="134" t="s">
        <v>3091</v>
      </c>
    </row>
    <row r="1904" spans="1:6">
      <c r="A1904" s="132">
        <v>8120000</v>
      </c>
      <c r="B1904" s="132">
        <v>8120000</v>
      </c>
      <c r="C1904" s="132">
        <v>8120000</v>
      </c>
      <c r="D1904" s="132">
        <v>8120000</v>
      </c>
      <c r="E1904" s="133">
        <v>40969</v>
      </c>
      <c r="F1904" s="134" t="s">
        <v>3092</v>
      </c>
    </row>
    <row r="1905" spans="1:6">
      <c r="A1905" s="132">
        <v>8100000</v>
      </c>
      <c r="B1905" s="132">
        <v>8100000</v>
      </c>
      <c r="C1905" s="132">
        <v>8100000</v>
      </c>
      <c r="D1905" s="132">
        <v>8100000</v>
      </c>
      <c r="E1905" s="133">
        <v>40968</v>
      </c>
      <c r="F1905" s="134" t="s">
        <v>3093</v>
      </c>
    </row>
    <row r="1906" spans="1:6">
      <c r="A1906" s="132">
        <v>8000000</v>
      </c>
      <c r="B1906" s="132">
        <v>8000000</v>
      </c>
      <c r="C1906" s="132">
        <v>8000000</v>
      </c>
      <c r="D1906" s="132">
        <v>8000000</v>
      </c>
      <c r="E1906" s="133">
        <v>40967</v>
      </c>
      <c r="F1906" s="134" t="s">
        <v>3094</v>
      </c>
    </row>
    <row r="1907" spans="1:6">
      <c r="A1907" s="132">
        <v>7750000</v>
      </c>
      <c r="B1907" s="132">
        <v>7750000</v>
      </c>
      <c r="C1907" s="132">
        <v>7750000</v>
      </c>
      <c r="D1907" s="132">
        <v>7750000</v>
      </c>
      <c r="E1907" s="133">
        <v>40966</v>
      </c>
      <c r="F1907" s="134" t="s">
        <v>3095</v>
      </c>
    </row>
    <row r="1908" spans="1:6">
      <c r="A1908" s="132">
        <v>8100000</v>
      </c>
      <c r="B1908" s="132">
        <v>8100000</v>
      </c>
      <c r="C1908" s="132">
        <v>8100000</v>
      </c>
      <c r="D1908" s="132">
        <v>8100000</v>
      </c>
      <c r="E1908" s="133">
        <v>40965</v>
      </c>
      <c r="F1908" s="134" t="s">
        <v>3096</v>
      </c>
    </row>
    <row r="1909" spans="1:6">
      <c r="A1909" s="132">
        <v>8250000</v>
      </c>
      <c r="B1909" s="132">
        <v>8250000</v>
      </c>
      <c r="C1909" s="132">
        <v>8250000</v>
      </c>
      <c r="D1909" s="132">
        <v>8250000</v>
      </c>
      <c r="E1909" s="133">
        <v>40964</v>
      </c>
      <c r="F1909" s="134" t="s">
        <v>3097</v>
      </c>
    </row>
    <row r="1910" spans="1:6">
      <c r="A1910" s="132">
        <v>8120000</v>
      </c>
      <c r="B1910" s="132">
        <v>8120000</v>
      </c>
      <c r="C1910" s="132">
        <v>8120000</v>
      </c>
      <c r="D1910" s="132">
        <v>8120000</v>
      </c>
      <c r="E1910" s="133">
        <v>40962</v>
      </c>
      <c r="F1910" s="134" t="s">
        <v>3098</v>
      </c>
    </row>
    <row r="1911" spans="1:6">
      <c r="A1911" s="132">
        <v>8080000</v>
      </c>
      <c r="B1911" s="132">
        <v>8080000</v>
      </c>
      <c r="C1911" s="132">
        <v>8080000</v>
      </c>
      <c r="D1911" s="132">
        <v>8080000</v>
      </c>
      <c r="E1911" s="133">
        <v>40961</v>
      </c>
      <c r="F1911" s="134" t="s">
        <v>3099</v>
      </c>
    </row>
    <row r="1912" spans="1:6">
      <c r="A1912" s="132">
        <v>8160000</v>
      </c>
      <c r="B1912" s="132">
        <v>8160000</v>
      </c>
      <c r="C1912" s="132">
        <v>8160000</v>
      </c>
      <c r="D1912" s="132">
        <v>8160000</v>
      </c>
      <c r="E1912" s="133">
        <v>40960</v>
      </c>
      <c r="F1912" s="134" t="s">
        <v>3100</v>
      </c>
    </row>
    <row r="1913" spans="1:6">
      <c r="A1913" s="132">
        <v>8160000</v>
      </c>
      <c r="B1913" s="132">
        <v>8160000</v>
      </c>
      <c r="C1913" s="132">
        <v>8160000</v>
      </c>
      <c r="D1913" s="132">
        <v>8160000</v>
      </c>
      <c r="E1913" s="133">
        <v>40959</v>
      </c>
      <c r="F1913" s="134" t="s">
        <v>3101</v>
      </c>
    </row>
    <row r="1914" spans="1:6">
      <c r="A1914" s="132">
        <v>8120000</v>
      </c>
      <c r="B1914" s="132">
        <v>8120000</v>
      </c>
      <c r="C1914" s="132">
        <v>8120000</v>
      </c>
      <c r="D1914" s="132">
        <v>8120000</v>
      </c>
      <c r="E1914" s="133">
        <v>40958</v>
      </c>
      <c r="F1914" s="134" t="s">
        <v>3102</v>
      </c>
    </row>
    <row r="1915" spans="1:6">
      <c r="A1915" s="132">
        <v>8140000</v>
      </c>
      <c r="B1915" s="132">
        <v>8140000</v>
      </c>
      <c r="C1915" s="132">
        <v>8140000</v>
      </c>
      <c r="D1915" s="132">
        <v>8140000</v>
      </c>
      <c r="E1915" s="133">
        <v>40957</v>
      </c>
      <c r="F1915" s="134" t="s">
        <v>3103</v>
      </c>
    </row>
    <row r="1916" spans="1:6">
      <c r="A1916" s="132">
        <v>8140000</v>
      </c>
      <c r="B1916" s="132">
        <v>8140000</v>
      </c>
      <c r="C1916" s="132">
        <v>8140000</v>
      </c>
      <c r="D1916" s="132">
        <v>8140000</v>
      </c>
      <c r="E1916" s="133">
        <v>40955</v>
      </c>
      <c r="F1916" s="134" t="s">
        <v>3104</v>
      </c>
    </row>
    <row r="1917" spans="1:6">
      <c r="A1917" s="132">
        <v>8240000</v>
      </c>
      <c r="B1917" s="132">
        <v>8240000</v>
      </c>
      <c r="C1917" s="132">
        <v>8240000</v>
      </c>
      <c r="D1917" s="132">
        <v>8240000</v>
      </c>
      <c r="E1917" s="133">
        <v>40954</v>
      </c>
      <c r="F1917" s="134" t="s">
        <v>3105</v>
      </c>
    </row>
    <row r="1918" spans="1:6">
      <c r="A1918" s="132">
        <v>8100000</v>
      </c>
      <c r="B1918" s="132">
        <v>8100000</v>
      </c>
      <c r="C1918" s="132">
        <v>8100000</v>
      </c>
      <c r="D1918" s="132">
        <v>8100000</v>
      </c>
      <c r="E1918" s="133">
        <v>40953</v>
      </c>
      <c r="F1918" s="134" t="s">
        <v>3106</v>
      </c>
    </row>
    <row r="1919" spans="1:6">
      <c r="A1919" s="132">
        <v>8150000</v>
      </c>
      <c r="B1919" s="132">
        <v>8150000</v>
      </c>
      <c r="C1919" s="132">
        <v>8150000</v>
      </c>
      <c r="D1919" s="132">
        <v>8150000</v>
      </c>
      <c r="E1919" s="133">
        <v>40952</v>
      </c>
      <c r="F1919" s="134" t="s">
        <v>3107</v>
      </c>
    </row>
    <row r="1920" spans="1:6">
      <c r="A1920" s="132">
        <v>8230000</v>
      </c>
      <c r="B1920" s="132">
        <v>8230000</v>
      </c>
      <c r="C1920" s="132">
        <v>8230000</v>
      </c>
      <c r="D1920" s="132">
        <v>8230000</v>
      </c>
      <c r="E1920" s="133">
        <v>40951</v>
      </c>
      <c r="F1920" s="134" t="s">
        <v>3108</v>
      </c>
    </row>
    <row r="1921" spans="1:6">
      <c r="A1921" s="132">
        <v>8280000</v>
      </c>
      <c r="B1921" s="132">
        <v>8280000</v>
      </c>
      <c r="C1921" s="132">
        <v>8280000</v>
      </c>
      <c r="D1921" s="132">
        <v>8280000</v>
      </c>
      <c r="E1921" s="133">
        <v>40948</v>
      </c>
      <c r="F1921" s="134" t="s">
        <v>3109</v>
      </c>
    </row>
    <row r="1922" spans="1:6">
      <c r="A1922" s="132">
        <v>8350000</v>
      </c>
      <c r="B1922" s="132">
        <v>8350000</v>
      </c>
      <c r="C1922" s="132">
        <v>8350000</v>
      </c>
      <c r="D1922" s="132">
        <v>8350000</v>
      </c>
      <c r="E1922" s="133">
        <v>40947</v>
      </c>
      <c r="F1922" s="134" t="s">
        <v>3110</v>
      </c>
    </row>
    <row r="1923" spans="1:6">
      <c r="A1923" s="132">
        <v>8190000</v>
      </c>
      <c r="B1923" s="132">
        <v>8190000</v>
      </c>
      <c r="C1923" s="132">
        <v>8190000</v>
      </c>
      <c r="D1923" s="132">
        <v>8190000</v>
      </c>
      <c r="E1923" s="133">
        <v>40946</v>
      </c>
      <c r="F1923" s="134" t="s">
        <v>3111</v>
      </c>
    </row>
    <row r="1924" spans="1:6">
      <c r="A1924" s="132">
        <v>8150000</v>
      </c>
      <c r="B1924" s="132">
        <v>8150000</v>
      </c>
      <c r="C1924" s="132">
        <v>8150000</v>
      </c>
      <c r="D1924" s="132">
        <v>8150000</v>
      </c>
      <c r="E1924" s="133">
        <v>40945</v>
      </c>
      <c r="F1924" s="134" t="s">
        <v>3112</v>
      </c>
    </row>
    <row r="1925" spans="1:6">
      <c r="A1925" s="132">
        <v>8320000</v>
      </c>
      <c r="B1925" s="132">
        <v>8320000</v>
      </c>
      <c r="C1925" s="132">
        <v>8320000</v>
      </c>
      <c r="D1925" s="132">
        <v>8320000</v>
      </c>
      <c r="E1925" s="133">
        <v>40944</v>
      </c>
      <c r="F1925" s="134" t="s">
        <v>3113</v>
      </c>
    </row>
    <row r="1926" spans="1:6">
      <c r="A1926" s="132">
        <v>8050000</v>
      </c>
      <c r="B1926" s="132">
        <v>8050000</v>
      </c>
      <c r="C1926" s="132">
        <v>8050000</v>
      </c>
      <c r="D1926" s="132">
        <v>8050000</v>
      </c>
      <c r="E1926" s="133">
        <v>40943</v>
      </c>
      <c r="F1926" s="134" t="s">
        <v>3114</v>
      </c>
    </row>
    <row r="1927" spans="1:6">
      <c r="A1927" s="132">
        <v>7550000</v>
      </c>
      <c r="B1927" s="132">
        <v>7550000</v>
      </c>
      <c r="C1927" s="132">
        <v>7550000</v>
      </c>
      <c r="D1927" s="132">
        <v>7550000</v>
      </c>
      <c r="E1927" s="133">
        <v>40941</v>
      </c>
      <c r="F1927" s="134" t="s">
        <v>3115</v>
      </c>
    </row>
    <row r="1928" spans="1:6">
      <c r="A1928" s="132">
        <v>7690000</v>
      </c>
      <c r="B1928" s="132">
        <v>7690000</v>
      </c>
      <c r="C1928" s="132">
        <v>7690000</v>
      </c>
      <c r="D1928" s="132">
        <v>7690000</v>
      </c>
      <c r="E1928" s="133">
        <v>40940</v>
      </c>
      <c r="F1928" s="134" t="s">
        <v>3116</v>
      </c>
    </row>
    <row r="1929" spans="1:6">
      <c r="A1929" s="132">
        <v>7850000</v>
      </c>
      <c r="B1929" s="132">
        <v>7850000</v>
      </c>
      <c r="C1929" s="132">
        <v>7850000</v>
      </c>
      <c r="D1929" s="132">
        <v>7850000</v>
      </c>
      <c r="E1929" s="133">
        <v>40939</v>
      </c>
      <c r="F1929" s="134" t="s">
        <v>3117</v>
      </c>
    </row>
    <row r="1930" spans="1:6">
      <c r="A1930" s="132">
        <v>8400000</v>
      </c>
      <c r="B1930" s="132">
        <v>8400000</v>
      </c>
      <c r="C1930" s="132">
        <v>8400000</v>
      </c>
      <c r="D1930" s="132">
        <v>8400000</v>
      </c>
      <c r="E1930" s="133">
        <v>40938</v>
      </c>
      <c r="F1930" s="134" t="s">
        <v>3118</v>
      </c>
    </row>
    <row r="1931" spans="1:6">
      <c r="A1931" s="132">
        <v>8400000</v>
      </c>
      <c r="B1931" s="132">
        <v>8400000</v>
      </c>
      <c r="C1931" s="132">
        <v>8400000</v>
      </c>
      <c r="D1931" s="132">
        <v>8400000</v>
      </c>
      <c r="E1931" s="133">
        <v>40937</v>
      </c>
      <c r="F1931" s="134" t="s">
        <v>3119</v>
      </c>
    </row>
    <row r="1932" spans="1:6">
      <c r="A1932" s="132">
        <v>7950000</v>
      </c>
      <c r="B1932" s="132">
        <v>7950000</v>
      </c>
      <c r="C1932" s="132">
        <v>7950000</v>
      </c>
      <c r="D1932" s="132">
        <v>7950000</v>
      </c>
      <c r="E1932" s="133">
        <v>40936</v>
      </c>
      <c r="F1932" s="134" t="s">
        <v>3120</v>
      </c>
    </row>
    <row r="1933" spans="1:6">
      <c r="A1933" s="132">
        <v>7800000</v>
      </c>
      <c r="B1933" s="132">
        <v>7800000</v>
      </c>
      <c r="C1933" s="132">
        <v>7800000</v>
      </c>
      <c r="D1933" s="132">
        <v>7800000</v>
      </c>
      <c r="E1933" s="133">
        <v>40934</v>
      </c>
      <c r="F1933" s="134" t="s">
        <v>3121</v>
      </c>
    </row>
    <row r="1934" spans="1:6">
      <c r="A1934" s="132">
        <v>8000000</v>
      </c>
      <c r="B1934" s="132">
        <v>8000000</v>
      </c>
      <c r="C1934" s="132">
        <v>8000000</v>
      </c>
      <c r="D1934" s="132">
        <v>8000000</v>
      </c>
      <c r="E1934" s="133">
        <v>40933</v>
      </c>
      <c r="F1934" s="134" t="s">
        <v>3122</v>
      </c>
    </row>
    <row r="1935" spans="1:6">
      <c r="A1935" s="132">
        <v>10100000</v>
      </c>
      <c r="B1935" s="132">
        <v>10100000</v>
      </c>
      <c r="C1935" s="132">
        <v>10100000</v>
      </c>
      <c r="D1935" s="132">
        <v>10100000</v>
      </c>
      <c r="E1935" s="133">
        <v>40931</v>
      </c>
      <c r="F1935" s="134" t="s">
        <v>3123</v>
      </c>
    </row>
    <row r="1936" spans="1:6">
      <c r="A1936" s="132">
        <v>9150000</v>
      </c>
      <c r="B1936" s="132">
        <v>9150000</v>
      </c>
      <c r="C1936" s="132">
        <v>9150000</v>
      </c>
      <c r="D1936" s="132">
        <v>9150000</v>
      </c>
      <c r="E1936" s="133">
        <v>40929</v>
      </c>
      <c r="F1936" s="134" t="s">
        <v>3124</v>
      </c>
    </row>
    <row r="1937" spans="1:6">
      <c r="A1937" s="132">
        <v>7810000</v>
      </c>
      <c r="B1937" s="132">
        <v>7810000</v>
      </c>
      <c r="C1937" s="132">
        <v>7810000</v>
      </c>
      <c r="D1937" s="132">
        <v>7810000</v>
      </c>
      <c r="E1937" s="133">
        <v>40927</v>
      </c>
      <c r="F1937" s="134" t="s">
        <v>3125</v>
      </c>
    </row>
    <row r="1938" spans="1:6">
      <c r="A1938" s="132">
        <v>7720000</v>
      </c>
      <c r="B1938" s="132">
        <v>7720000</v>
      </c>
      <c r="C1938" s="132">
        <v>7720000</v>
      </c>
      <c r="D1938" s="132">
        <v>7720000</v>
      </c>
      <c r="E1938" s="133">
        <v>40926</v>
      </c>
      <c r="F1938" s="134" t="s">
        <v>3126</v>
      </c>
    </row>
    <row r="1939" spans="1:6">
      <c r="A1939" s="132">
        <v>7530000</v>
      </c>
      <c r="B1939" s="132">
        <v>7530000</v>
      </c>
      <c r="C1939" s="132">
        <v>7530000</v>
      </c>
      <c r="D1939" s="132">
        <v>7530000</v>
      </c>
      <c r="E1939" s="133">
        <v>40925</v>
      </c>
      <c r="F1939" s="134" t="s">
        <v>3127</v>
      </c>
    </row>
    <row r="1940" spans="1:6">
      <c r="A1940" s="132">
        <v>6950000</v>
      </c>
      <c r="B1940" s="132">
        <v>6950000</v>
      </c>
      <c r="C1940" s="132">
        <v>6950000</v>
      </c>
      <c r="D1940" s="132">
        <v>6950000</v>
      </c>
      <c r="E1940" s="133">
        <v>40924</v>
      </c>
      <c r="F1940" s="134" t="s">
        <v>3128</v>
      </c>
    </row>
    <row r="1941" spans="1:6">
      <c r="A1941" s="132">
        <v>6700000</v>
      </c>
      <c r="B1941" s="132">
        <v>6700000</v>
      </c>
      <c r="C1941" s="132">
        <v>6700000</v>
      </c>
      <c r="D1941" s="132">
        <v>6700000</v>
      </c>
      <c r="E1941" s="133">
        <v>40923</v>
      </c>
      <c r="F1941" s="134" t="s">
        <v>3129</v>
      </c>
    </row>
    <row r="1942" spans="1:6">
      <c r="A1942" s="132">
        <v>6670000</v>
      </c>
      <c r="B1942" s="132">
        <v>6670000</v>
      </c>
      <c r="C1942" s="132">
        <v>6670000</v>
      </c>
      <c r="D1942" s="132">
        <v>6670000</v>
      </c>
      <c r="E1942" s="133">
        <v>40920</v>
      </c>
      <c r="F1942" s="134" t="s">
        <v>3130</v>
      </c>
    </row>
    <row r="1943" spans="1:6">
      <c r="A1943" s="132">
        <v>6690000</v>
      </c>
      <c r="B1943" s="132">
        <v>6690000</v>
      </c>
      <c r="C1943" s="132">
        <v>6690000</v>
      </c>
      <c r="D1943" s="132">
        <v>6690000</v>
      </c>
      <c r="E1943" s="133">
        <v>40919</v>
      </c>
      <c r="F1943" s="134" t="s">
        <v>3131</v>
      </c>
    </row>
    <row r="1944" spans="1:6">
      <c r="A1944" s="132">
        <v>6600000</v>
      </c>
      <c r="B1944" s="132">
        <v>6600000</v>
      </c>
      <c r="C1944" s="132">
        <v>6600000</v>
      </c>
      <c r="D1944" s="132">
        <v>6600000</v>
      </c>
      <c r="E1944" s="133">
        <v>40918</v>
      </c>
      <c r="F1944" s="134" t="s">
        <v>3132</v>
      </c>
    </row>
    <row r="1945" spans="1:6">
      <c r="A1945" s="132">
        <v>6350000</v>
      </c>
      <c r="B1945" s="132">
        <v>6350000</v>
      </c>
      <c r="C1945" s="132">
        <v>6350000</v>
      </c>
      <c r="D1945" s="132">
        <v>6350000</v>
      </c>
      <c r="E1945" s="133">
        <v>40917</v>
      </c>
      <c r="F1945" s="134" t="s">
        <v>3133</v>
      </c>
    </row>
    <row r="1946" spans="1:6">
      <c r="A1946" s="132">
        <v>6210000</v>
      </c>
      <c r="B1946" s="132">
        <v>6210000</v>
      </c>
      <c r="C1946" s="132">
        <v>6210000</v>
      </c>
      <c r="D1946" s="132">
        <v>6210000</v>
      </c>
      <c r="E1946" s="133">
        <v>40916</v>
      </c>
      <c r="F1946" s="134" t="s">
        <v>3134</v>
      </c>
    </row>
    <row r="1947" spans="1:6">
      <c r="A1947" s="132">
        <v>6170000</v>
      </c>
      <c r="B1947" s="132">
        <v>6170000</v>
      </c>
      <c r="C1947" s="132">
        <v>6170000</v>
      </c>
      <c r="D1947" s="132">
        <v>6170000</v>
      </c>
      <c r="E1947" s="133">
        <v>40915</v>
      </c>
      <c r="F1947" s="134" t="s">
        <v>3135</v>
      </c>
    </row>
    <row r="1948" spans="1:6">
      <c r="A1948" s="132">
        <v>6170000</v>
      </c>
      <c r="B1948" s="132">
        <v>6170000</v>
      </c>
      <c r="C1948" s="132">
        <v>6170000</v>
      </c>
      <c r="D1948" s="132">
        <v>6170000</v>
      </c>
      <c r="E1948" s="133">
        <v>40913</v>
      </c>
      <c r="F1948" s="134" t="s">
        <v>3136</v>
      </c>
    </row>
    <row r="1949" spans="1:6">
      <c r="A1949" s="132">
        <v>6130000</v>
      </c>
      <c r="B1949" s="132">
        <v>6130000</v>
      </c>
      <c r="C1949" s="132">
        <v>6130000</v>
      </c>
      <c r="D1949" s="132">
        <v>6130000</v>
      </c>
      <c r="E1949" s="133">
        <v>40912</v>
      </c>
      <c r="F1949" s="134" t="s">
        <v>3137</v>
      </c>
    </row>
    <row r="1950" spans="1:6">
      <c r="A1950" s="132">
        <v>6140000</v>
      </c>
      <c r="B1950" s="132">
        <v>6140000</v>
      </c>
      <c r="C1950" s="132">
        <v>6140000</v>
      </c>
      <c r="D1950" s="132">
        <v>6140000</v>
      </c>
      <c r="E1950" s="133">
        <v>40911</v>
      </c>
      <c r="F1950" s="134" t="s">
        <v>3138</v>
      </c>
    </row>
    <row r="1951" spans="1:6">
      <c r="A1951" s="132">
        <v>6210000</v>
      </c>
      <c r="B1951" s="132">
        <v>6210000</v>
      </c>
      <c r="C1951" s="132">
        <v>6210000</v>
      </c>
      <c r="D1951" s="132">
        <v>6210000</v>
      </c>
      <c r="E1951" s="133">
        <v>40910</v>
      </c>
      <c r="F1951" s="134" t="s">
        <v>3139</v>
      </c>
    </row>
    <row r="1952" spans="1:6">
      <c r="A1952" s="132">
        <v>6130000</v>
      </c>
      <c r="B1952" s="132">
        <v>6130000</v>
      </c>
      <c r="C1952" s="132">
        <v>6130000</v>
      </c>
      <c r="D1952" s="132">
        <v>6130000</v>
      </c>
      <c r="E1952" s="133">
        <v>40909</v>
      </c>
      <c r="F1952" s="134" t="s">
        <v>3140</v>
      </c>
    </row>
    <row r="1953" spans="1:6">
      <c r="A1953" s="132">
        <v>6130000</v>
      </c>
      <c r="B1953" s="132">
        <v>6130000</v>
      </c>
      <c r="C1953" s="132">
        <v>6130000</v>
      </c>
      <c r="D1953" s="132">
        <v>6130000</v>
      </c>
      <c r="E1953" s="133">
        <v>40908</v>
      </c>
      <c r="F1953" s="134" t="s">
        <v>3141</v>
      </c>
    </row>
    <row r="1954" spans="1:6">
      <c r="A1954" s="132">
        <v>6020000</v>
      </c>
      <c r="B1954" s="132">
        <v>6020000</v>
      </c>
      <c r="C1954" s="132">
        <v>6020000</v>
      </c>
      <c r="D1954" s="132">
        <v>6020000</v>
      </c>
      <c r="E1954" s="133">
        <v>40906</v>
      </c>
      <c r="F1954" s="134" t="s">
        <v>3142</v>
      </c>
    </row>
    <row r="1955" spans="1:6">
      <c r="A1955" s="132">
        <v>6060000</v>
      </c>
      <c r="B1955" s="132">
        <v>6060000</v>
      </c>
      <c r="C1955" s="132">
        <v>6060000</v>
      </c>
      <c r="D1955" s="132">
        <v>6060000</v>
      </c>
      <c r="E1955" s="133">
        <v>40905</v>
      </c>
      <c r="F1955" s="134" t="s">
        <v>3143</v>
      </c>
    </row>
    <row r="1956" spans="1:6">
      <c r="A1956" s="132">
        <v>6080000</v>
      </c>
      <c r="B1956" s="132">
        <v>6080000</v>
      </c>
      <c r="C1956" s="132">
        <v>6080000</v>
      </c>
      <c r="D1956" s="132">
        <v>6080000</v>
      </c>
      <c r="E1956" s="133">
        <v>40904</v>
      </c>
      <c r="F1956" s="134" t="s">
        <v>3144</v>
      </c>
    </row>
    <row r="1957" spans="1:6">
      <c r="A1957" s="132">
        <v>6150000</v>
      </c>
      <c r="B1957" s="132">
        <v>6150000</v>
      </c>
      <c r="C1957" s="132">
        <v>6150000</v>
      </c>
      <c r="D1957" s="132">
        <v>6150000</v>
      </c>
      <c r="E1957" s="133">
        <v>40903</v>
      </c>
      <c r="F1957" s="134" t="s">
        <v>3145</v>
      </c>
    </row>
    <row r="1958" spans="1:6">
      <c r="A1958" s="132">
        <v>6120000</v>
      </c>
      <c r="B1958" s="132">
        <v>6120000</v>
      </c>
      <c r="C1958" s="132">
        <v>6120000</v>
      </c>
      <c r="D1958" s="132">
        <v>6120000</v>
      </c>
      <c r="E1958" s="133">
        <v>40902</v>
      </c>
      <c r="F1958" s="134" t="s">
        <v>3146</v>
      </c>
    </row>
    <row r="1959" spans="1:6">
      <c r="A1959" s="132">
        <v>6050000</v>
      </c>
      <c r="B1959" s="132">
        <v>6050000</v>
      </c>
      <c r="C1959" s="132">
        <v>6050000</v>
      </c>
      <c r="D1959" s="132">
        <v>6050000</v>
      </c>
      <c r="E1959" s="133">
        <v>40901</v>
      </c>
      <c r="F1959" s="134" t="s">
        <v>3147</v>
      </c>
    </row>
    <row r="1960" spans="1:6">
      <c r="A1960" s="132">
        <v>6020000</v>
      </c>
      <c r="B1960" s="132">
        <v>6020000</v>
      </c>
      <c r="C1960" s="132">
        <v>6020000</v>
      </c>
      <c r="D1960" s="132">
        <v>6020000</v>
      </c>
      <c r="E1960" s="133">
        <v>40899</v>
      </c>
      <c r="F1960" s="134" t="s">
        <v>3148</v>
      </c>
    </row>
    <row r="1961" spans="1:6">
      <c r="A1961" s="132">
        <v>6150000</v>
      </c>
      <c r="B1961" s="132">
        <v>6150000</v>
      </c>
      <c r="C1961" s="132">
        <v>6150000</v>
      </c>
      <c r="D1961" s="132">
        <v>6150000</v>
      </c>
      <c r="E1961" s="133">
        <v>40898</v>
      </c>
      <c r="F1961" s="134" t="s">
        <v>3149</v>
      </c>
    </row>
    <row r="1962" spans="1:6">
      <c r="A1962" s="132">
        <v>6220000</v>
      </c>
      <c r="B1962" s="132">
        <v>6220000</v>
      </c>
      <c r="C1962" s="132">
        <v>6220000</v>
      </c>
      <c r="D1962" s="132">
        <v>6220000</v>
      </c>
      <c r="E1962" s="133">
        <v>40897</v>
      </c>
      <c r="F1962" s="134" t="s">
        <v>3150</v>
      </c>
    </row>
    <row r="1963" spans="1:6">
      <c r="A1963" s="132">
        <v>6100000</v>
      </c>
      <c r="B1963" s="132">
        <v>6100000</v>
      </c>
      <c r="C1963" s="132">
        <v>6100000</v>
      </c>
      <c r="D1963" s="132">
        <v>6100000</v>
      </c>
      <c r="E1963" s="133">
        <v>40896</v>
      </c>
      <c r="F1963" s="134" t="s">
        <v>3151</v>
      </c>
    </row>
    <row r="1964" spans="1:6">
      <c r="A1964" s="132">
        <v>6120000</v>
      </c>
      <c r="B1964" s="132">
        <v>6120000</v>
      </c>
      <c r="C1964" s="132">
        <v>6120000</v>
      </c>
      <c r="D1964" s="132">
        <v>6120000</v>
      </c>
      <c r="E1964" s="133">
        <v>40895</v>
      </c>
      <c r="F1964" s="134" t="s">
        <v>3152</v>
      </c>
    </row>
    <row r="1965" spans="1:6">
      <c r="A1965" s="132">
        <v>5960000</v>
      </c>
      <c r="B1965" s="132">
        <v>5960000</v>
      </c>
      <c r="C1965" s="132">
        <v>5960000</v>
      </c>
      <c r="D1965" s="132">
        <v>5960000</v>
      </c>
      <c r="E1965" s="133">
        <v>40894</v>
      </c>
      <c r="F1965" s="134" t="s">
        <v>3153</v>
      </c>
    </row>
    <row r="1966" spans="1:6">
      <c r="A1966" s="132">
        <v>5850000</v>
      </c>
      <c r="B1966" s="132">
        <v>5850000</v>
      </c>
      <c r="C1966" s="132">
        <v>5850000</v>
      </c>
      <c r="D1966" s="132">
        <v>5850000</v>
      </c>
      <c r="E1966" s="133">
        <v>40892</v>
      </c>
      <c r="F1966" s="134" t="s">
        <v>3154</v>
      </c>
    </row>
    <row r="1967" spans="1:6">
      <c r="A1967" s="132">
        <v>5930000</v>
      </c>
      <c r="B1967" s="132">
        <v>5930000</v>
      </c>
      <c r="C1967" s="132">
        <v>5930000</v>
      </c>
      <c r="D1967" s="132">
        <v>5930000</v>
      </c>
      <c r="E1967" s="133">
        <v>40891</v>
      </c>
      <c r="F1967" s="134" t="s">
        <v>3155</v>
      </c>
    </row>
    <row r="1968" spans="1:6">
      <c r="A1968" s="132">
        <v>5870000</v>
      </c>
      <c r="B1968" s="132">
        <v>5870000</v>
      </c>
      <c r="C1968" s="132">
        <v>5870000</v>
      </c>
      <c r="D1968" s="132">
        <v>5870000</v>
      </c>
      <c r="E1968" s="133">
        <v>40890</v>
      </c>
      <c r="F1968" s="134" t="s">
        <v>3156</v>
      </c>
    </row>
    <row r="1969" spans="1:6">
      <c r="A1969" s="132">
        <v>5800000</v>
      </c>
      <c r="B1969" s="132">
        <v>5800000</v>
      </c>
      <c r="C1969" s="132">
        <v>5800000</v>
      </c>
      <c r="D1969" s="132">
        <v>5800000</v>
      </c>
      <c r="E1969" s="133">
        <v>40889</v>
      </c>
      <c r="F1969" s="134" t="s">
        <v>3157</v>
      </c>
    </row>
    <row r="1970" spans="1:6">
      <c r="A1970" s="132">
        <v>5890000</v>
      </c>
      <c r="B1970" s="132">
        <v>5890000</v>
      </c>
      <c r="C1970" s="132">
        <v>5890000</v>
      </c>
      <c r="D1970" s="132">
        <v>5890000</v>
      </c>
      <c r="E1970" s="133">
        <v>40888</v>
      </c>
      <c r="F1970" s="134" t="s">
        <v>3158</v>
      </c>
    </row>
    <row r="1971" spans="1:6">
      <c r="A1971" s="132">
        <v>5900000</v>
      </c>
      <c r="B1971" s="132">
        <v>5900000</v>
      </c>
      <c r="C1971" s="132">
        <v>5900000</v>
      </c>
      <c r="D1971" s="132">
        <v>5900000</v>
      </c>
      <c r="E1971" s="133">
        <v>40887</v>
      </c>
      <c r="F1971" s="134" t="s">
        <v>3159</v>
      </c>
    </row>
    <row r="1972" spans="1:6">
      <c r="A1972" s="132">
        <v>6000000</v>
      </c>
      <c r="B1972" s="132">
        <v>6000000</v>
      </c>
      <c r="C1972" s="132">
        <v>6000000</v>
      </c>
      <c r="D1972" s="132">
        <v>6000000</v>
      </c>
      <c r="E1972" s="133">
        <v>40885</v>
      </c>
      <c r="F1972" s="134" t="s">
        <v>3160</v>
      </c>
    </row>
    <row r="1973" spans="1:6">
      <c r="A1973" s="132">
        <v>6090000</v>
      </c>
      <c r="B1973" s="132">
        <v>6090000</v>
      </c>
      <c r="C1973" s="132">
        <v>6090000</v>
      </c>
      <c r="D1973" s="132">
        <v>6090000</v>
      </c>
      <c r="E1973" s="133">
        <v>40884</v>
      </c>
      <c r="F1973" s="134" t="s">
        <v>3161</v>
      </c>
    </row>
    <row r="1974" spans="1:6">
      <c r="A1974" s="132">
        <v>6200000</v>
      </c>
      <c r="B1974" s="132">
        <v>6200000</v>
      </c>
      <c r="C1974" s="132">
        <v>6200000</v>
      </c>
      <c r="D1974" s="132">
        <v>6200000</v>
      </c>
      <c r="E1974" s="133">
        <v>40881</v>
      </c>
      <c r="F1974" s="134" t="s">
        <v>3162</v>
      </c>
    </row>
    <row r="1975" spans="1:6">
      <c r="A1975" s="132">
        <v>6250000</v>
      </c>
      <c r="B1975" s="132">
        <v>6250000</v>
      </c>
      <c r="C1975" s="132">
        <v>6250000</v>
      </c>
      <c r="D1975" s="132">
        <v>6250000</v>
      </c>
      <c r="E1975" s="133">
        <v>40880</v>
      </c>
      <c r="F1975" s="134" t="s">
        <v>3163</v>
      </c>
    </row>
    <row r="1976" spans="1:6">
      <c r="A1976" s="132">
        <v>6000000</v>
      </c>
      <c r="B1976" s="132">
        <v>6000000</v>
      </c>
      <c r="C1976" s="132">
        <v>6000000</v>
      </c>
      <c r="D1976" s="132">
        <v>6000000</v>
      </c>
      <c r="E1976" s="133">
        <v>40878</v>
      </c>
      <c r="F1976" s="134" t="s">
        <v>3164</v>
      </c>
    </row>
    <row r="1977" spans="1:6">
      <c r="A1977" s="132">
        <v>5900000</v>
      </c>
      <c r="B1977" s="132">
        <v>5900000</v>
      </c>
      <c r="C1977" s="132">
        <v>5900000</v>
      </c>
      <c r="D1977" s="132">
        <v>5900000</v>
      </c>
      <c r="E1977" s="133">
        <v>40877</v>
      </c>
      <c r="F1977" s="134" t="s">
        <v>3165</v>
      </c>
    </row>
    <row r="1978" spans="1:6">
      <c r="A1978" s="132">
        <v>6050000</v>
      </c>
      <c r="B1978" s="132">
        <v>6050000</v>
      </c>
      <c r="C1978" s="132">
        <v>6050000</v>
      </c>
      <c r="D1978" s="132">
        <v>6050000</v>
      </c>
      <c r="E1978" s="133">
        <v>40876</v>
      </c>
      <c r="F1978" s="134" t="s">
        <v>3166</v>
      </c>
    </row>
    <row r="1979" spans="1:6">
      <c r="A1979" s="132">
        <v>6270000</v>
      </c>
      <c r="B1979" s="132">
        <v>6270000</v>
      </c>
      <c r="C1979" s="132">
        <v>6270000</v>
      </c>
      <c r="D1979" s="132">
        <v>6270000</v>
      </c>
      <c r="E1979" s="133">
        <v>40875</v>
      </c>
      <c r="F1979" s="134" t="s">
        <v>3167</v>
      </c>
    </row>
    <row r="1980" spans="1:6">
      <c r="A1980" s="132">
        <v>6250000</v>
      </c>
      <c r="B1980" s="132">
        <v>6250000</v>
      </c>
      <c r="C1980" s="132">
        <v>6250000</v>
      </c>
      <c r="D1980" s="132">
        <v>6250000</v>
      </c>
      <c r="E1980" s="133">
        <v>40874</v>
      </c>
      <c r="F1980" s="134" t="s">
        <v>3168</v>
      </c>
    </row>
    <row r="1981" spans="1:6">
      <c r="A1981" s="132">
        <v>6200000</v>
      </c>
      <c r="B1981" s="132">
        <v>6200000</v>
      </c>
      <c r="C1981" s="132">
        <v>6200000</v>
      </c>
      <c r="D1981" s="132">
        <v>6200000</v>
      </c>
      <c r="E1981" s="133">
        <v>40873</v>
      </c>
      <c r="F1981" s="134" t="s">
        <v>3169</v>
      </c>
    </row>
    <row r="1982" spans="1:6">
      <c r="A1982" s="132">
        <v>6150000</v>
      </c>
      <c r="B1982" s="132">
        <v>6150000</v>
      </c>
      <c r="C1982" s="132">
        <v>6150000</v>
      </c>
      <c r="D1982" s="132">
        <v>6150000</v>
      </c>
      <c r="E1982" s="133">
        <v>40871</v>
      </c>
      <c r="F1982" s="134" t="s">
        <v>3170</v>
      </c>
    </row>
    <row r="1983" spans="1:6">
      <c r="A1983" s="132">
        <v>6100000</v>
      </c>
      <c r="B1983" s="132">
        <v>6100000</v>
      </c>
      <c r="C1983" s="132">
        <v>6100000</v>
      </c>
      <c r="D1983" s="132">
        <v>6100000</v>
      </c>
      <c r="E1983" s="133">
        <v>40870</v>
      </c>
      <c r="F1983" s="134" t="s">
        <v>3171</v>
      </c>
    </row>
    <row r="1984" spans="1:6">
      <c r="A1984" s="132">
        <v>6000000</v>
      </c>
      <c r="B1984" s="132">
        <v>6000000</v>
      </c>
      <c r="C1984" s="132">
        <v>6000000</v>
      </c>
      <c r="D1984" s="132">
        <v>6000000</v>
      </c>
      <c r="E1984" s="133">
        <v>40869</v>
      </c>
      <c r="F1984" s="134" t="s">
        <v>3172</v>
      </c>
    </row>
    <row r="1985" spans="1:6">
      <c r="A1985" s="132">
        <v>6050000</v>
      </c>
      <c r="B1985" s="132">
        <v>6050000</v>
      </c>
      <c r="C1985" s="132">
        <v>6050000</v>
      </c>
      <c r="D1985" s="132">
        <v>6050000</v>
      </c>
      <c r="E1985" s="133">
        <v>40868</v>
      </c>
      <c r="F1985" s="134" t="s">
        <v>3173</v>
      </c>
    </row>
    <row r="1986" spans="1:6">
      <c r="A1986" s="132">
        <v>6120000</v>
      </c>
      <c r="B1986" s="132">
        <v>6120000</v>
      </c>
      <c r="C1986" s="132">
        <v>6120000</v>
      </c>
      <c r="D1986" s="132">
        <v>6120000</v>
      </c>
      <c r="E1986" s="133">
        <v>40867</v>
      </c>
      <c r="F1986" s="134" t="s">
        <v>3174</v>
      </c>
    </row>
    <row r="1987" spans="1:6">
      <c r="A1987" s="132">
        <v>6160000</v>
      </c>
      <c r="B1987" s="132">
        <v>6160000</v>
      </c>
      <c r="C1987" s="132">
        <v>6160000</v>
      </c>
      <c r="D1987" s="132">
        <v>6160000</v>
      </c>
      <c r="E1987" s="133">
        <v>40866</v>
      </c>
      <c r="F1987" s="134" t="s">
        <v>3175</v>
      </c>
    </row>
    <row r="1988" spans="1:6">
      <c r="A1988" s="132">
        <v>6180000</v>
      </c>
      <c r="B1988" s="132">
        <v>6180000</v>
      </c>
      <c r="C1988" s="132">
        <v>6180000</v>
      </c>
      <c r="D1988" s="132">
        <v>6180000</v>
      </c>
      <c r="E1988" s="133">
        <v>40864</v>
      </c>
      <c r="F1988" s="134" t="s">
        <v>3176</v>
      </c>
    </row>
    <row r="1989" spans="1:6">
      <c r="A1989" s="132">
        <v>6170000</v>
      </c>
      <c r="B1989" s="132">
        <v>6170000</v>
      </c>
      <c r="C1989" s="132">
        <v>6170000</v>
      </c>
      <c r="D1989" s="132">
        <v>6170000</v>
      </c>
      <c r="E1989" s="133">
        <v>40863</v>
      </c>
      <c r="F1989" s="134" t="s">
        <v>3177</v>
      </c>
    </row>
    <row r="1990" spans="1:6">
      <c r="A1990" s="132">
        <v>6180000</v>
      </c>
      <c r="B1990" s="132">
        <v>6180000</v>
      </c>
      <c r="C1990" s="132">
        <v>6180000</v>
      </c>
      <c r="D1990" s="132">
        <v>6180000</v>
      </c>
      <c r="E1990" s="133">
        <v>40861</v>
      </c>
      <c r="F1990" s="134" t="s">
        <v>3178</v>
      </c>
    </row>
    <row r="1991" spans="1:6">
      <c r="A1991" s="132">
        <v>6170000</v>
      </c>
      <c r="B1991" s="132">
        <v>6170000</v>
      </c>
      <c r="C1991" s="132">
        <v>6170000</v>
      </c>
      <c r="D1991" s="132">
        <v>6170000</v>
      </c>
      <c r="E1991" s="133">
        <v>40860</v>
      </c>
      <c r="F1991" s="134" t="s">
        <v>3179</v>
      </c>
    </row>
    <row r="1992" spans="1:6">
      <c r="A1992" s="132">
        <v>6100000</v>
      </c>
      <c r="B1992" s="132">
        <v>6100000</v>
      </c>
      <c r="C1992" s="132">
        <v>6100000</v>
      </c>
      <c r="D1992" s="132">
        <v>6100000</v>
      </c>
      <c r="E1992" s="133">
        <v>40859</v>
      </c>
      <c r="F1992" s="134" t="s">
        <v>3180</v>
      </c>
    </row>
    <row r="1993" spans="1:6">
      <c r="A1993" s="132">
        <v>6100000</v>
      </c>
      <c r="B1993" s="132">
        <v>6100000</v>
      </c>
      <c r="C1993" s="132">
        <v>6100000</v>
      </c>
      <c r="D1993" s="132">
        <v>6100000</v>
      </c>
      <c r="E1993" s="133">
        <v>40857</v>
      </c>
      <c r="F1993" s="134" t="s">
        <v>3181</v>
      </c>
    </row>
    <row r="1994" spans="1:6">
      <c r="A1994" s="132">
        <v>6060000</v>
      </c>
      <c r="B1994" s="132">
        <v>6060000</v>
      </c>
      <c r="C1994" s="132">
        <v>6060000</v>
      </c>
      <c r="D1994" s="132">
        <v>6060000</v>
      </c>
      <c r="E1994" s="133">
        <v>40856</v>
      </c>
      <c r="F1994" s="134" t="s">
        <v>3182</v>
      </c>
    </row>
    <row r="1995" spans="1:6">
      <c r="A1995" s="132">
        <v>5920000</v>
      </c>
      <c r="B1995" s="132">
        <v>5920000</v>
      </c>
      <c r="C1995" s="132">
        <v>5920000</v>
      </c>
      <c r="D1995" s="132">
        <v>5920000</v>
      </c>
      <c r="E1995" s="133">
        <v>40855</v>
      </c>
      <c r="F1995" s="134" t="s">
        <v>3183</v>
      </c>
    </row>
    <row r="1996" spans="1:6">
      <c r="A1996" s="132">
        <v>5910000</v>
      </c>
      <c r="B1996" s="132">
        <v>5910000</v>
      </c>
      <c r="C1996" s="132">
        <v>5910000</v>
      </c>
      <c r="D1996" s="132">
        <v>5910000</v>
      </c>
      <c r="E1996" s="133">
        <v>40853</v>
      </c>
      <c r="F1996" s="134" t="s">
        <v>3184</v>
      </c>
    </row>
    <row r="1997" spans="1:6">
      <c r="A1997" s="132">
        <v>5930000</v>
      </c>
      <c r="B1997" s="132">
        <v>5930000</v>
      </c>
      <c r="C1997" s="132">
        <v>5930000</v>
      </c>
      <c r="D1997" s="132">
        <v>5930000</v>
      </c>
      <c r="E1997" s="133">
        <v>40852</v>
      </c>
      <c r="F1997" s="134" t="s">
        <v>3185</v>
      </c>
    </row>
    <row r="1998" spans="1:6">
      <c r="A1998" s="132">
        <v>5920000</v>
      </c>
      <c r="B1998" s="132">
        <v>5920000</v>
      </c>
      <c r="C1998" s="132">
        <v>5920000</v>
      </c>
      <c r="D1998" s="132">
        <v>5920000</v>
      </c>
      <c r="E1998" s="133">
        <v>40850</v>
      </c>
      <c r="F1998" s="134" t="s">
        <v>3186</v>
      </c>
    </row>
    <row r="1999" spans="1:6">
      <c r="A1999" s="132">
        <v>5900000</v>
      </c>
      <c r="B1999" s="132">
        <v>5900000</v>
      </c>
      <c r="C1999" s="132">
        <v>5900000</v>
      </c>
      <c r="D1999" s="132">
        <v>5900000</v>
      </c>
      <c r="E1999" s="133">
        <v>40849</v>
      </c>
      <c r="F1999" s="134" t="s">
        <v>3187</v>
      </c>
    </row>
    <row r="2000" spans="1:6">
      <c r="A2000" s="132">
        <v>5930000</v>
      </c>
      <c r="B2000" s="132">
        <v>5930000</v>
      </c>
      <c r="C2000" s="132">
        <v>5930000</v>
      </c>
      <c r="D2000" s="132">
        <v>5930000</v>
      </c>
      <c r="E2000" s="133">
        <v>40848</v>
      </c>
      <c r="F2000" s="134" t="s">
        <v>3188</v>
      </c>
    </row>
    <row r="2001" spans="1:6">
      <c r="A2001" s="132">
        <v>5950000</v>
      </c>
      <c r="B2001" s="132">
        <v>5950000</v>
      </c>
      <c r="C2001" s="132">
        <v>5950000</v>
      </c>
      <c r="D2001" s="132">
        <v>5950000</v>
      </c>
      <c r="E2001" s="133">
        <v>40847</v>
      </c>
      <c r="F2001" s="134" t="s">
        <v>3189</v>
      </c>
    </row>
    <row r="2002" spans="1:6">
      <c r="A2002" s="132">
        <v>5880000</v>
      </c>
      <c r="B2002" s="132">
        <v>5880000</v>
      </c>
      <c r="C2002" s="132">
        <v>5880000</v>
      </c>
      <c r="D2002" s="132">
        <v>5880000</v>
      </c>
      <c r="E2002" s="133">
        <v>40846</v>
      </c>
      <c r="F2002" s="134" t="s">
        <v>3190</v>
      </c>
    </row>
    <row r="2003" spans="1:6">
      <c r="A2003" s="132">
        <v>5770000</v>
      </c>
      <c r="B2003" s="132">
        <v>5770000</v>
      </c>
      <c r="C2003" s="132">
        <v>5770000</v>
      </c>
      <c r="D2003" s="132">
        <v>5770000</v>
      </c>
      <c r="E2003" s="133">
        <v>40845</v>
      </c>
      <c r="F2003" s="134" t="s">
        <v>3191</v>
      </c>
    </row>
    <row r="2004" spans="1:6">
      <c r="A2004" s="132">
        <v>5770000</v>
      </c>
      <c r="B2004" s="132">
        <v>5770000</v>
      </c>
      <c r="C2004" s="132">
        <v>5770000</v>
      </c>
      <c r="D2004" s="132">
        <v>5770000</v>
      </c>
      <c r="E2004" s="133">
        <v>40843</v>
      </c>
      <c r="F2004" s="134" t="s">
        <v>3192</v>
      </c>
    </row>
    <row r="2005" spans="1:6">
      <c r="A2005" s="132">
        <v>5670000</v>
      </c>
      <c r="B2005" s="132">
        <v>5670000</v>
      </c>
      <c r="C2005" s="132">
        <v>5670000</v>
      </c>
      <c r="D2005" s="132">
        <v>5670000</v>
      </c>
      <c r="E2005" s="133">
        <v>40842</v>
      </c>
      <c r="F2005" s="134" t="s">
        <v>3193</v>
      </c>
    </row>
    <row r="2006" spans="1:6">
      <c r="A2006" s="132">
        <v>5680000</v>
      </c>
      <c r="B2006" s="132">
        <v>5680000</v>
      </c>
      <c r="C2006" s="132">
        <v>5680000</v>
      </c>
      <c r="D2006" s="132">
        <v>5680000</v>
      </c>
      <c r="E2006" s="133">
        <v>40841</v>
      </c>
      <c r="F2006" s="134" t="s">
        <v>3194</v>
      </c>
    </row>
    <row r="2007" spans="1:6">
      <c r="A2007" s="132">
        <v>5700000</v>
      </c>
      <c r="B2007" s="132">
        <v>5700000</v>
      </c>
      <c r="C2007" s="132">
        <v>5700000</v>
      </c>
      <c r="D2007" s="132">
        <v>5700000</v>
      </c>
      <c r="E2007" s="133">
        <v>40840</v>
      </c>
      <c r="F2007" s="134" t="s">
        <v>3195</v>
      </c>
    </row>
    <row r="2008" spans="1:6">
      <c r="A2008" s="132">
        <v>5640000</v>
      </c>
      <c r="B2008" s="132">
        <v>5640000</v>
      </c>
      <c r="C2008" s="132">
        <v>5640000</v>
      </c>
      <c r="D2008" s="132">
        <v>5640000</v>
      </c>
      <c r="E2008" s="133">
        <v>40839</v>
      </c>
      <c r="F2008" s="134" t="s">
        <v>3196</v>
      </c>
    </row>
    <row r="2009" spans="1:6">
      <c r="A2009" s="132">
        <v>5610000</v>
      </c>
      <c r="B2009" s="132">
        <v>5610000</v>
      </c>
      <c r="C2009" s="132">
        <v>5610000</v>
      </c>
      <c r="D2009" s="132">
        <v>5610000</v>
      </c>
      <c r="E2009" s="133">
        <v>40838</v>
      </c>
      <c r="F2009" s="134" t="s">
        <v>3197</v>
      </c>
    </row>
    <row r="2010" spans="1:6">
      <c r="A2010" s="132">
        <v>5650000</v>
      </c>
      <c r="B2010" s="132">
        <v>5650000</v>
      </c>
      <c r="C2010" s="132">
        <v>5650000</v>
      </c>
      <c r="D2010" s="132">
        <v>5650000</v>
      </c>
      <c r="E2010" s="133">
        <v>40836</v>
      </c>
      <c r="F2010" s="134" t="s">
        <v>3198</v>
      </c>
    </row>
    <row r="2011" spans="1:6">
      <c r="A2011" s="132">
        <v>5700000</v>
      </c>
      <c r="B2011" s="132">
        <v>5700000</v>
      </c>
      <c r="C2011" s="132">
        <v>5700000</v>
      </c>
      <c r="D2011" s="132">
        <v>5700000</v>
      </c>
      <c r="E2011" s="133">
        <v>40835</v>
      </c>
      <c r="F2011" s="134" t="s">
        <v>3199</v>
      </c>
    </row>
    <row r="2012" spans="1:6">
      <c r="A2012" s="132">
        <v>5700000</v>
      </c>
      <c r="B2012" s="132">
        <v>5700000</v>
      </c>
      <c r="C2012" s="132">
        <v>5700000</v>
      </c>
      <c r="D2012" s="132">
        <v>5700000</v>
      </c>
      <c r="E2012" s="133">
        <v>40834</v>
      </c>
      <c r="F2012" s="134" t="s">
        <v>3200</v>
      </c>
    </row>
    <row r="2013" spans="1:6">
      <c r="A2013" s="132">
        <v>5630000</v>
      </c>
      <c r="B2013" s="132">
        <v>5630000</v>
      </c>
      <c r="C2013" s="132">
        <v>5630000</v>
      </c>
      <c r="D2013" s="132">
        <v>5630000</v>
      </c>
      <c r="E2013" s="133">
        <v>40833</v>
      </c>
      <c r="F2013" s="134" t="s">
        <v>3201</v>
      </c>
    </row>
    <row r="2014" spans="1:6">
      <c r="A2014" s="132">
        <v>5650000</v>
      </c>
      <c r="B2014" s="132">
        <v>5650000</v>
      </c>
      <c r="C2014" s="132">
        <v>5650000</v>
      </c>
      <c r="D2014" s="132">
        <v>5650000</v>
      </c>
      <c r="E2014" s="133">
        <v>40832</v>
      </c>
      <c r="F2014" s="134" t="s">
        <v>3202</v>
      </c>
    </row>
    <row r="2015" spans="1:6">
      <c r="A2015" s="132">
        <v>5620000</v>
      </c>
      <c r="B2015" s="132">
        <v>5620000</v>
      </c>
      <c r="C2015" s="132">
        <v>5620000</v>
      </c>
      <c r="D2015" s="132">
        <v>5620000</v>
      </c>
      <c r="E2015" s="133">
        <v>40831</v>
      </c>
      <c r="F2015" s="134" t="s">
        <v>3203</v>
      </c>
    </row>
    <row r="2016" spans="1:6">
      <c r="A2016" s="132">
        <v>5680000</v>
      </c>
      <c r="B2016" s="132">
        <v>5680000</v>
      </c>
      <c r="C2016" s="132">
        <v>5680000</v>
      </c>
      <c r="D2016" s="132">
        <v>5680000</v>
      </c>
      <c r="E2016" s="133">
        <v>40829</v>
      </c>
      <c r="F2016" s="134" t="s">
        <v>3204</v>
      </c>
    </row>
    <row r="2017" spans="1:6">
      <c r="A2017" s="132">
        <v>5650000</v>
      </c>
      <c r="B2017" s="132">
        <v>5650000</v>
      </c>
      <c r="C2017" s="132">
        <v>5650000</v>
      </c>
      <c r="D2017" s="132">
        <v>5650000</v>
      </c>
      <c r="E2017" s="133">
        <v>40828</v>
      </c>
      <c r="F2017" s="134" t="s">
        <v>3205</v>
      </c>
    </row>
    <row r="2018" spans="1:6">
      <c r="A2018" s="132">
        <v>5700000</v>
      </c>
      <c r="B2018" s="132">
        <v>5700000</v>
      </c>
      <c r="C2018" s="132">
        <v>5700000</v>
      </c>
      <c r="D2018" s="132">
        <v>5700000</v>
      </c>
      <c r="E2018" s="133">
        <v>40827</v>
      </c>
      <c r="F2018" s="134" t="s">
        <v>3206</v>
      </c>
    </row>
    <row r="2019" spans="1:6">
      <c r="A2019" s="132">
        <v>5650000</v>
      </c>
      <c r="B2019" s="132">
        <v>5650000</v>
      </c>
      <c r="C2019" s="132">
        <v>5650000</v>
      </c>
      <c r="D2019" s="132">
        <v>5650000</v>
      </c>
      <c r="E2019" s="133">
        <v>40826</v>
      </c>
      <c r="F2019" s="134" t="s">
        <v>3207</v>
      </c>
    </row>
    <row r="2020" spans="1:6">
      <c r="A2020" s="132">
        <v>5700000</v>
      </c>
      <c r="B2020" s="132">
        <v>5700000</v>
      </c>
      <c r="C2020" s="132">
        <v>5700000</v>
      </c>
      <c r="D2020" s="132">
        <v>5700000</v>
      </c>
      <c r="E2020" s="133">
        <v>40825</v>
      </c>
      <c r="F2020" s="134" t="s">
        <v>3208</v>
      </c>
    </row>
    <row r="2021" spans="1:6">
      <c r="A2021" s="132">
        <v>5760000</v>
      </c>
      <c r="B2021" s="132">
        <v>5760000</v>
      </c>
      <c r="C2021" s="132">
        <v>5760000</v>
      </c>
      <c r="D2021" s="132">
        <v>5760000</v>
      </c>
      <c r="E2021" s="133">
        <v>40824</v>
      </c>
      <c r="F2021" s="134" t="s">
        <v>3209</v>
      </c>
    </row>
    <row r="2022" spans="1:6">
      <c r="A2022" s="132">
        <v>5700000</v>
      </c>
      <c r="B2022" s="132">
        <v>5700000</v>
      </c>
      <c r="C2022" s="132">
        <v>5700000</v>
      </c>
      <c r="D2022" s="132">
        <v>5700000</v>
      </c>
      <c r="E2022" s="133">
        <v>40822</v>
      </c>
      <c r="F2022" s="134" t="s">
        <v>3210</v>
      </c>
    </row>
    <row r="2023" spans="1:6">
      <c r="A2023" s="132">
        <v>5750000</v>
      </c>
      <c r="B2023" s="132">
        <v>5750000</v>
      </c>
      <c r="C2023" s="132">
        <v>5750000</v>
      </c>
      <c r="D2023" s="132">
        <v>5750000</v>
      </c>
      <c r="E2023" s="133">
        <v>40821</v>
      </c>
      <c r="F2023" s="134" t="s">
        <v>3211</v>
      </c>
    </row>
    <row r="2024" spans="1:6">
      <c r="A2024" s="132">
        <v>5550000</v>
      </c>
      <c r="B2024" s="132">
        <v>5550000</v>
      </c>
      <c r="C2024" s="132">
        <v>5550000</v>
      </c>
      <c r="D2024" s="132">
        <v>5550000</v>
      </c>
      <c r="E2024" s="133">
        <v>40820</v>
      </c>
      <c r="F2024" s="134" t="s">
        <v>3212</v>
      </c>
    </row>
    <row r="2025" spans="1:6">
      <c r="A2025" s="132">
        <v>5500000</v>
      </c>
      <c r="B2025" s="132">
        <v>5500000</v>
      </c>
      <c r="C2025" s="132">
        <v>5500000</v>
      </c>
      <c r="D2025" s="132">
        <v>5500000</v>
      </c>
      <c r="E2025" s="133">
        <v>40819</v>
      </c>
      <c r="F2025" s="134" t="s">
        <v>3213</v>
      </c>
    </row>
    <row r="2026" spans="1:6">
      <c r="A2026" s="132">
        <v>5900000</v>
      </c>
      <c r="B2026" s="132">
        <v>5900000</v>
      </c>
      <c r="C2026" s="132">
        <v>5900000</v>
      </c>
      <c r="D2026" s="132">
        <v>5900000</v>
      </c>
      <c r="E2026" s="133">
        <v>40818</v>
      </c>
      <c r="F2026" s="134" t="s">
        <v>3214</v>
      </c>
    </row>
    <row r="2027" spans="1:6">
      <c r="A2027" s="132">
        <v>5870000</v>
      </c>
      <c r="B2027" s="132">
        <v>5870000</v>
      </c>
      <c r="C2027" s="132">
        <v>5870000</v>
      </c>
      <c r="D2027" s="132">
        <v>5870000</v>
      </c>
      <c r="E2027" s="133">
        <v>40817</v>
      </c>
      <c r="F2027" s="134" t="s">
        <v>3215</v>
      </c>
    </row>
    <row r="2028" spans="1:6">
      <c r="A2028" s="132">
        <v>5870000</v>
      </c>
      <c r="B2028" s="132">
        <v>5870000</v>
      </c>
      <c r="C2028" s="132">
        <v>5870000</v>
      </c>
      <c r="D2028" s="132">
        <v>5870000</v>
      </c>
      <c r="E2028" s="133">
        <v>40815</v>
      </c>
      <c r="F2028" s="134" t="s">
        <v>3216</v>
      </c>
    </row>
    <row r="2029" spans="1:6">
      <c r="A2029" s="132">
        <v>5900000</v>
      </c>
      <c r="B2029" s="132">
        <v>5900000</v>
      </c>
      <c r="C2029" s="132">
        <v>5900000</v>
      </c>
      <c r="D2029" s="132">
        <v>5900000</v>
      </c>
      <c r="E2029" s="133">
        <v>40814</v>
      </c>
      <c r="F2029" s="134" t="s">
        <v>3217</v>
      </c>
    </row>
    <row r="2030" spans="1:6">
      <c r="A2030" s="132">
        <v>5650000</v>
      </c>
      <c r="B2030" s="132">
        <v>5650000</v>
      </c>
      <c r="C2030" s="132">
        <v>5650000</v>
      </c>
      <c r="D2030" s="132">
        <v>5650000</v>
      </c>
      <c r="E2030" s="133">
        <v>40813</v>
      </c>
      <c r="F2030" s="134" t="s">
        <v>3218</v>
      </c>
    </row>
    <row r="2031" spans="1:6">
      <c r="A2031" s="132">
        <v>5700000</v>
      </c>
      <c r="B2031" s="132">
        <v>5700000</v>
      </c>
      <c r="C2031" s="132">
        <v>5700000</v>
      </c>
      <c r="D2031" s="132">
        <v>5700000</v>
      </c>
      <c r="E2031" s="133">
        <v>40812</v>
      </c>
      <c r="F2031" s="134" t="s">
        <v>3219</v>
      </c>
    </row>
    <row r="2032" spans="1:6">
      <c r="A2032" s="132">
        <v>6100000</v>
      </c>
      <c r="B2032" s="132">
        <v>6100000</v>
      </c>
      <c r="C2032" s="132">
        <v>6100000</v>
      </c>
      <c r="D2032" s="132">
        <v>6100000</v>
      </c>
      <c r="E2032" s="133">
        <v>40811</v>
      </c>
      <c r="F2032" s="134" t="s">
        <v>3220</v>
      </c>
    </row>
    <row r="2033" spans="1:6">
      <c r="A2033" s="132">
        <v>6150000</v>
      </c>
      <c r="B2033" s="132">
        <v>6150000</v>
      </c>
      <c r="C2033" s="132">
        <v>6150000</v>
      </c>
      <c r="D2033" s="132">
        <v>6150000</v>
      </c>
      <c r="E2033" s="133">
        <v>40808</v>
      </c>
      <c r="F2033" s="134" t="s">
        <v>3221</v>
      </c>
    </row>
    <row r="2034" spans="1:6">
      <c r="A2034" s="132">
        <v>6100000</v>
      </c>
      <c r="B2034" s="132">
        <v>6100000</v>
      </c>
      <c r="C2034" s="132">
        <v>6100000</v>
      </c>
      <c r="D2034" s="132">
        <v>6100000</v>
      </c>
      <c r="E2034" s="133">
        <v>40807</v>
      </c>
      <c r="F2034" s="134" t="s">
        <v>3222</v>
      </c>
    </row>
    <row r="2035" spans="1:6">
      <c r="A2035" s="132">
        <v>6130000</v>
      </c>
      <c r="B2035" s="132">
        <v>6130000</v>
      </c>
      <c r="C2035" s="132">
        <v>6130000</v>
      </c>
      <c r="D2035" s="132">
        <v>6130000</v>
      </c>
      <c r="E2035" s="133">
        <v>40806</v>
      </c>
      <c r="F2035" s="134" t="s">
        <v>3223</v>
      </c>
    </row>
    <row r="2036" spans="1:6">
      <c r="A2036" s="132">
        <v>6100000</v>
      </c>
      <c r="B2036" s="132">
        <v>6100000</v>
      </c>
      <c r="C2036" s="132">
        <v>6100000</v>
      </c>
      <c r="D2036" s="132">
        <v>6100000</v>
      </c>
      <c r="E2036" s="133">
        <v>40805</v>
      </c>
      <c r="F2036" s="134" t="s">
        <v>3224</v>
      </c>
    </row>
    <row r="2037" spans="1:6">
      <c r="A2037" s="132">
        <v>6100000</v>
      </c>
      <c r="B2037" s="132">
        <v>6100000</v>
      </c>
      <c r="C2037" s="132">
        <v>6100000</v>
      </c>
      <c r="D2037" s="132">
        <v>6100000</v>
      </c>
      <c r="E2037" s="133">
        <v>40804</v>
      </c>
      <c r="F2037" s="134" t="s">
        <v>3225</v>
      </c>
    </row>
    <row r="2038" spans="1:6">
      <c r="A2038" s="132">
        <v>6050000</v>
      </c>
      <c r="B2038" s="132">
        <v>6050000</v>
      </c>
      <c r="C2038" s="132">
        <v>6050000</v>
      </c>
      <c r="D2038" s="132">
        <v>6050000</v>
      </c>
      <c r="E2038" s="133">
        <v>40803</v>
      </c>
      <c r="F2038" s="134" t="s">
        <v>3226</v>
      </c>
    </row>
    <row r="2039" spans="1:6">
      <c r="A2039" s="132">
        <v>6000000</v>
      </c>
      <c r="B2039" s="132">
        <v>6000000</v>
      </c>
      <c r="C2039" s="132">
        <v>6000000</v>
      </c>
      <c r="D2039" s="132">
        <v>6000000</v>
      </c>
      <c r="E2039" s="133">
        <v>40801</v>
      </c>
      <c r="F2039" s="134" t="s">
        <v>3227</v>
      </c>
    </row>
    <row r="2040" spans="1:6">
      <c r="A2040" s="132">
        <v>6100000</v>
      </c>
      <c r="B2040" s="132">
        <v>6100000</v>
      </c>
      <c r="C2040" s="132">
        <v>6100000</v>
      </c>
      <c r="D2040" s="132">
        <v>6100000</v>
      </c>
      <c r="E2040" s="133">
        <v>40800</v>
      </c>
      <c r="F2040" s="134" t="s">
        <v>3228</v>
      </c>
    </row>
    <row r="2041" spans="1:6">
      <c r="A2041" s="132">
        <v>6400000</v>
      </c>
      <c r="B2041" s="132">
        <v>6400000</v>
      </c>
      <c r="C2041" s="132">
        <v>6400000</v>
      </c>
      <c r="D2041" s="132">
        <v>6400000</v>
      </c>
      <c r="E2041" s="133">
        <v>40799</v>
      </c>
      <c r="F2041" s="134" t="s">
        <v>3229</v>
      </c>
    </row>
    <row r="2042" spans="1:6">
      <c r="A2042" s="132">
        <v>6150000</v>
      </c>
      <c r="B2042" s="132">
        <v>6150000</v>
      </c>
      <c r="C2042" s="132">
        <v>6150000</v>
      </c>
      <c r="D2042" s="132">
        <v>6150000</v>
      </c>
      <c r="E2042" s="133">
        <v>40798</v>
      </c>
      <c r="F2042" s="134" t="s">
        <v>3230</v>
      </c>
    </row>
    <row r="2043" spans="1:6">
      <c r="A2043" s="132">
        <v>6050000</v>
      </c>
      <c r="B2043" s="132">
        <v>6050000</v>
      </c>
      <c r="C2043" s="132">
        <v>6050000</v>
      </c>
      <c r="D2043" s="132">
        <v>6050000</v>
      </c>
      <c r="E2043" s="133">
        <v>40797</v>
      </c>
      <c r="F2043" s="134" t="s">
        <v>3231</v>
      </c>
    </row>
    <row r="2044" spans="1:6">
      <c r="A2044" s="132">
        <v>5960000</v>
      </c>
      <c r="B2044" s="132">
        <v>5960000</v>
      </c>
      <c r="C2044" s="132">
        <v>5960000</v>
      </c>
      <c r="D2044" s="132">
        <v>5960000</v>
      </c>
      <c r="E2044" s="133">
        <v>40796</v>
      </c>
      <c r="F2044" s="134" t="s">
        <v>3232</v>
      </c>
    </row>
    <row r="2045" spans="1:6">
      <c r="A2045" s="132">
        <v>5900000</v>
      </c>
      <c r="B2045" s="132">
        <v>5900000</v>
      </c>
      <c r="C2045" s="132">
        <v>5900000</v>
      </c>
      <c r="D2045" s="132">
        <v>5900000</v>
      </c>
      <c r="E2045" s="133">
        <v>40794</v>
      </c>
      <c r="F2045" s="134" t="s">
        <v>3233</v>
      </c>
    </row>
    <row r="2046" spans="1:6">
      <c r="A2046" s="132">
        <v>5960000</v>
      </c>
      <c r="B2046" s="132">
        <v>5960000</v>
      </c>
      <c r="C2046" s="132">
        <v>5960000</v>
      </c>
      <c r="D2046" s="132">
        <v>5960000</v>
      </c>
      <c r="E2046" s="133">
        <v>40793</v>
      </c>
      <c r="F2046" s="134" t="s">
        <v>3234</v>
      </c>
    </row>
    <row r="2047" spans="1:6">
      <c r="A2047" s="132">
        <v>5750000</v>
      </c>
      <c r="B2047" s="132">
        <v>5750000</v>
      </c>
      <c r="C2047" s="132">
        <v>5750000</v>
      </c>
      <c r="D2047" s="132">
        <v>5750000</v>
      </c>
      <c r="E2047" s="133">
        <v>40792</v>
      </c>
      <c r="F2047" s="134" t="s">
        <v>3235</v>
      </c>
    </row>
    <row r="2048" spans="1:6">
      <c r="A2048" s="132">
        <v>5630000</v>
      </c>
      <c r="B2048" s="132">
        <v>5630000</v>
      </c>
      <c r="C2048" s="132">
        <v>5630000</v>
      </c>
      <c r="D2048" s="132">
        <v>5630000</v>
      </c>
      <c r="E2048" s="133">
        <v>40791</v>
      </c>
      <c r="F2048" s="134" t="s">
        <v>3236</v>
      </c>
    </row>
    <row r="2049" spans="1:6">
      <c r="A2049" s="132">
        <v>5650000</v>
      </c>
      <c r="B2049" s="132">
        <v>5650000</v>
      </c>
      <c r="C2049" s="132">
        <v>5650000</v>
      </c>
      <c r="D2049" s="132">
        <v>5650000</v>
      </c>
      <c r="E2049" s="133">
        <v>40790</v>
      </c>
      <c r="F2049" s="134" t="s">
        <v>3237</v>
      </c>
    </row>
    <row r="2050" spans="1:6">
      <c r="A2050" s="132">
        <v>5520000</v>
      </c>
      <c r="B2050" s="132">
        <v>5520000</v>
      </c>
      <c r="C2050" s="132">
        <v>5520000</v>
      </c>
      <c r="D2050" s="132">
        <v>5520000</v>
      </c>
      <c r="E2050" s="133">
        <v>40789</v>
      </c>
      <c r="F2050" s="134" t="s">
        <v>3238</v>
      </c>
    </row>
    <row r="2051" spans="1:6">
      <c r="A2051" s="132">
        <v>5560000</v>
      </c>
      <c r="B2051" s="132">
        <v>5560000</v>
      </c>
      <c r="C2051" s="132">
        <v>5560000</v>
      </c>
      <c r="D2051" s="132">
        <v>5560000</v>
      </c>
      <c r="E2051" s="133">
        <v>40785</v>
      </c>
      <c r="F2051" s="134" t="s">
        <v>3239</v>
      </c>
    </row>
    <row r="2052" spans="1:6">
      <c r="A2052" s="132">
        <v>5540000</v>
      </c>
      <c r="B2052" s="132">
        <v>5540000</v>
      </c>
      <c r="C2052" s="132">
        <v>5540000</v>
      </c>
      <c r="D2052" s="132">
        <v>5540000</v>
      </c>
      <c r="E2052" s="133">
        <v>40784</v>
      </c>
      <c r="F2052" s="134" t="s">
        <v>3240</v>
      </c>
    </row>
    <row r="2053" spans="1:6">
      <c r="A2053" s="132">
        <v>5600000</v>
      </c>
      <c r="B2053" s="132">
        <v>5600000</v>
      </c>
      <c r="C2053" s="132">
        <v>5600000</v>
      </c>
      <c r="D2053" s="132">
        <v>5600000</v>
      </c>
      <c r="E2053" s="133">
        <v>40783</v>
      </c>
      <c r="F2053" s="134" t="s">
        <v>3241</v>
      </c>
    </row>
    <row r="2054" spans="1:6">
      <c r="A2054" s="132">
        <v>5220000</v>
      </c>
      <c r="B2054" s="132">
        <v>5220000</v>
      </c>
      <c r="C2054" s="132">
        <v>5220000</v>
      </c>
      <c r="D2054" s="132">
        <v>5220000</v>
      </c>
      <c r="E2054" s="133">
        <v>40782</v>
      </c>
      <c r="F2054" s="134" t="s">
        <v>3242</v>
      </c>
    </row>
    <row r="2055" spans="1:6">
      <c r="A2055" s="132">
        <v>5570000</v>
      </c>
      <c r="B2055" s="132">
        <v>5570000</v>
      </c>
      <c r="C2055" s="132">
        <v>5570000</v>
      </c>
      <c r="D2055" s="132">
        <v>5570000</v>
      </c>
      <c r="E2055" s="133">
        <v>40780</v>
      </c>
      <c r="F2055" s="134" t="s">
        <v>3243</v>
      </c>
    </row>
    <row r="2056" spans="1:6">
      <c r="A2056" s="132">
        <v>5580000</v>
      </c>
      <c r="B2056" s="132">
        <v>5580000</v>
      </c>
      <c r="C2056" s="132">
        <v>5580000</v>
      </c>
      <c r="D2056" s="132">
        <v>5580000</v>
      </c>
      <c r="E2056" s="133">
        <v>40779</v>
      </c>
      <c r="F2056" s="134" t="s">
        <v>3244</v>
      </c>
    </row>
    <row r="2057" spans="1:6">
      <c r="A2057" s="132">
        <v>5330000</v>
      </c>
      <c r="B2057" s="132">
        <v>5330000</v>
      </c>
      <c r="C2057" s="132">
        <v>5330000</v>
      </c>
      <c r="D2057" s="132">
        <v>5330000</v>
      </c>
      <c r="E2057" s="133">
        <v>40778</v>
      </c>
      <c r="F2057" s="134" t="s">
        <v>3245</v>
      </c>
    </row>
    <row r="2058" spans="1:6">
      <c r="A2058" s="132">
        <v>5170000</v>
      </c>
      <c r="B2058" s="132">
        <v>5170000</v>
      </c>
      <c r="C2058" s="132">
        <v>5170000</v>
      </c>
      <c r="D2058" s="132">
        <v>5170000</v>
      </c>
      <c r="E2058" s="133">
        <v>40776</v>
      </c>
      <c r="F2058" s="134" t="s">
        <v>3246</v>
      </c>
    </row>
    <row r="2059" spans="1:6">
      <c r="A2059" s="132">
        <v>4940000</v>
      </c>
      <c r="B2059" s="132">
        <v>4940000</v>
      </c>
      <c r="C2059" s="132">
        <v>4940000</v>
      </c>
      <c r="D2059" s="132">
        <v>4940000</v>
      </c>
      <c r="E2059" s="133">
        <v>40775</v>
      </c>
      <c r="F2059" s="134" t="s">
        <v>3247</v>
      </c>
    </row>
    <row r="2060" spans="1:6">
      <c r="A2060" s="132">
        <v>4900000</v>
      </c>
      <c r="B2060" s="132">
        <v>4900000</v>
      </c>
      <c r="C2060" s="132">
        <v>4900000</v>
      </c>
      <c r="D2060" s="132">
        <v>4900000</v>
      </c>
      <c r="E2060" s="133">
        <v>40773</v>
      </c>
      <c r="F2060" s="134" t="s">
        <v>3248</v>
      </c>
    </row>
    <row r="2061" spans="1:6">
      <c r="A2061" s="132">
        <v>4840000</v>
      </c>
      <c r="B2061" s="132">
        <v>4840000</v>
      </c>
      <c r="C2061" s="132">
        <v>4840000</v>
      </c>
      <c r="D2061" s="132">
        <v>4840000</v>
      </c>
      <c r="E2061" s="133">
        <v>40772</v>
      </c>
      <c r="F2061" s="134" t="s">
        <v>3249</v>
      </c>
    </row>
    <row r="2062" spans="1:6">
      <c r="A2062" s="132">
        <v>4720000</v>
      </c>
      <c r="B2062" s="132">
        <v>4720000</v>
      </c>
      <c r="C2062" s="132">
        <v>4720000</v>
      </c>
      <c r="D2062" s="132">
        <v>4720000</v>
      </c>
      <c r="E2062" s="133">
        <v>40771</v>
      </c>
      <c r="F2062" s="134" t="s">
        <v>3250</v>
      </c>
    </row>
    <row r="2063" spans="1:6">
      <c r="A2063" s="132">
        <v>4750000</v>
      </c>
      <c r="B2063" s="132">
        <v>4750000</v>
      </c>
      <c r="C2063" s="132">
        <v>4750000</v>
      </c>
      <c r="D2063" s="132">
        <v>4750000</v>
      </c>
      <c r="E2063" s="133">
        <v>40770</v>
      </c>
      <c r="F2063" s="134" t="s">
        <v>3251</v>
      </c>
    </row>
    <row r="2064" spans="1:6">
      <c r="A2064" s="132">
        <v>4800000</v>
      </c>
      <c r="B2064" s="132">
        <v>4800000</v>
      </c>
      <c r="C2064" s="132">
        <v>4800000</v>
      </c>
      <c r="D2064" s="132">
        <v>4800000</v>
      </c>
      <c r="E2064" s="133">
        <v>40769</v>
      </c>
      <c r="F2064" s="134" t="s">
        <v>3252</v>
      </c>
    </row>
    <row r="2065" spans="1:6">
      <c r="A2065" s="132">
        <v>4850000</v>
      </c>
      <c r="B2065" s="132">
        <v>4850000</v>
      </c>
      <c r="C2065" s="132">
        <v>4850000</v>
      </c>
      <c r="D2065" s="132">
        <v>4850000</v>
      </c>
      <c r="E2065" s="133">
        <v>40768</v>
      </c>
      <c r="F2065" s="134" t="s">
        <v>3253</v>
      </c>
    </row>
    <row r="2066" spans="1:6">
      <c r="A2066" s="132">
        <v>4800000</v>
      </c>
      <c r="B2066" s="132">
        <v>4800000</v>
      </c>
      <c r="C2066" s="132">
        <v>4800000</v>
      </c>
      <c r="D2066" s="132">
        <v>4800000</v>
      </c>
      <c r="E2066" s="133">
        <v>40766</v>
      </c>
      <c r="F2066" s="134" t="s">
        <v>3254</v>
      </c>
    </row>
    <row r="2067" spans="1:6">
      <c r="A2067" s="132">
        <v>4800000</v>
      </c>
      <c r="B2067" s="132">
        <v>4800000</v>
      </c>
      <c r="C2067" s="132">
        <v>4800000</v>
      </c>
      <c r="D2067" s="132">
        <v>4800000</v>
      </c>
      <c r="E2067" s="133">
        <v>40765</v>
      </c>
      <c r="F2067" s="134" t="s">
        <v>3255</v>
      </c>
    </row>
    <row r="2068" spans="1:6">
      <c r="A2068" s="132">
        <v>4600000</v>
      </c>
      <c r="B2068" s="132">
        <v>4600000</v>
      </c>
      <c r="C2068" s="132">
        <v>4600000</v>
      </c>
      <c r="D2068" s="132">
        <v>4600000</v>
      </c>
      <c r="E2068" s="133">
        <v>40764</v>
      </c>
      <c r="F2068" s="134" t="s">
        <v>3256</v>
      </c>
    </row>
    <row r="2069" spans="1:6">
      <c r="A2069" s="132">
        <v>4440000</v>
      </c>
      <c r="B2069" s="132">
        <v>4440000</v>
      </c>
      <c r="C2069" s="132">
        <v>4440000</v>
      </c>
      <c r="D2069" s="132">
        <v>4440000</v>
      </c>
      <c r="E2069" s="133">
        <v>40763</v>
      </c>
      <c r="F2069" s="134" t="s">
        <v>3257</v>
      </c>
    </row>
    <row r="2070" spans="1:6">
      <c r="A2070" s="132">
        <v>4410000</v>
      </c>
      <c r="B2070" s="132">
        <v>4410000</v>
      </c>
      <c r="C2070" s="132">
        <v>4410000</v>
      </c>
      <c r="D2070" s="132">
        <v>4410000</v>
      </c>
      <c r="E2070" s="133">
        <v>40762</v>
      </c>
      <c r="F2070" s="134" t="s">
        <v>3258</v>
      </c>
    </row>
    <row r="2071" spans="1:6">
      <c r="A2071" s="132">
        <v>4420000</v>
      </c>
      <c r="B2071" s="132">
        <v>4420000</v>
      </c>
      <c r="C2071" s="132">
        <v>4420000</v>
      </c>
      <c r="D2071" s="132">
        <v>4420000</v>
      </c>
      <c r="E2071" s="133">
        <v>40761</v>
      </c>
      <c r="F2071" s="134" t="s">
        <v>3259</v>
      </c>
    </row>
    <row r="2072" spans="1:6">
      <c r="A2072" s="132">
        <v>4470000</v>
      </c>
      <c r="B2072" s="132">
        <v>4470000</v>
      </c>
      <c r="C2072" s="132">
        <v>4470000</v>
      </c>
      <c r="D2072" s="132">
        <v>4470000</v>
      </c>
      <c r="E2072" s="133">
        <v>40759</v>
      </c>
      <c r="F2072" s="134" t="s">
        <v>3260</v>
      </c>
    </row>
    <row r="2073" spans="1:6">
      <c r="A2073" s="132">
        <v>4300000</v>
      </c>
      <c r="B2073" s="132">
        <v>4300000</v>
      </c>
      <c r="C2073" s="132">
        <v>4300000</v>
      </c>
      <c r="D2073" s="132">
        <v>4300000</v>
      </c>
      <c r="E2073" s="133">
        <v>40758</v>
      </c>
      <c r="F2073" s="134" t="s">
        <v>3261</v>
      </c>
    </row>
    <row r="2074" spans="1:6">
      <c r="A2074" s="132">
        <v>4300000</v>
      </c>
      <c r="B2074" s="132">
        <v>4300000</v>
      </c>
      <c r="C2074" s="132">
        <v>4300000</v>
      </c>
      <c r="D2074" s="132">
        <v>4300000</v>
      </c>
      <c r="E2074" s="133">
        <v>40757</v>
      </c>
      <c r="F2074" s="134" t="s">
        <v>3262</v>
      </c>
    </row>
    <row r="2075" spans="1:6">
      <c r="A2075" s="132">
        <v>4310000</v>
      </c>
      <c r="B2075" s="132">
        <v>4310000</v>
      </c>
      <c r="C2075" s="132">
        <v>4310000</v>
      </c>
      <c r="D2075" s="132">
        <v>4310000</v>
      </c>
      <c r="E2075" s="133">
        <v>40756</v>
      </c>
      <c r="F2075" s="134" t="s">
        <v>3263</v>
      </c>
    </row>
    <row r="2076" spans="1:6">
      <c r="A2076" s="132">
        <v>4320000</v>
      </c>
      <c r="B2076" s="132">
        <v>4320000</v>
      </c>
      <c r="C2076" s="132">
        <v>4320000</v>
      </c>
      <c r="D2076" s="132">
        <v>4320000</v>
      </c>
      <c r="E2076" s="133">
        <v>40755</v>
      </c>
      <c r="F2076" s="134" t="s">
        <v>3264</v>
      </c>
    </row>
    <row r="2077" spans="1:6">
      <c r="A2077" s="132">
        <v>4300000</v>
      </c>
      <c r="B2077" s="132">
        <v>4300000</v>
      </c>
      <c r="C2077" s="132">
        <v>4300000</v>
      </c>
      <c r="D2077" s="132">
        <v>4300000</v>
      </c>
      <c r="E2077" s="133">
        <v>40754</v>
      </c>
      <c r="F2077" s="134" t="s">
        <v>3265</v>
      </c>
    </row>
    <row r="2078" spans="1:6">
      <c r="A2078" s="132">
        <v>4330000</v>
      </c>
      <c r="B2078" s="132">
        <v>4330000</v>
      </c>
      <c r="C2078" s="132">
        <v>4330000</v>
      </c>
      <c r="D2078" s="132">
        <v>4330000</v>
      </c>
      <c r="E2078" s="133">
        <v>40752</v>
      </c>
      <c r="F2078" s="134" t="s">
        <v>3266</v>
      </c>
    </row>
    <row r="2079" spans="1:6">
      <c r="A2079" s="132">
        <v>4300000</v>
      </c>
      <c r="B2079" s="132">
        <v>4300000</v>
      </c>
      <c r="C2079" s="132">
        <v>4300000</v>
      </c>
      <c r="D2079" s="132">
        <v>4300000</v>
      </c>
      <c r="E2079" s="133">
        <v>40751</v>
      </c>
      <c r="F2079" s="134" t="s">
        <v>3267</v>
      </c>
    </row>
    <row r="2080" spans="1:6">
      <c r="A2080" s="132">
        <v>4320000</v>
      </c>
      <c r="B2080" s="132">
        <v>4320000</v>
      </c>
      <c r="C2080" s="132">
        <v>4320000</v>
      </c>
      <c r="D2080" s="132">
        <v>4320000</v>
      </c>
      <c r="E2080" s="133">
        <v>40750</v>
      </c>
      <c r="F2080" s="134" t="s">
        <v>3268</v>
      </c>
    </row>
    <row r="2081" spans="1:6">
      <c r="A2081" s="132">
        <v>4280000</v>
      </c>
      <c r="B2081" s="132">
        <v>4280000</v>
      </c>
      <c r="C2081" s="132">
        <v>4280000</v>
      </c>
      <c r="D2081" s="132">
        <v>4280000</v>
      </c>
      <c r="E2081" s="133">
        <v>40749</v>
      </c>
      <c r="F2081" s="134" t="s">
        <v>3269</v>
      </c>
    </row>
    <row r="2082" spans="1:6">
      <c r="A2082" s="132">
        <v>4320000</v>
      </c>
      <c r="B2082" s="132">
        <v>4320000</v>
      </c>
      <c r="C2082" s="132">
        <v>4320000</v>
      </c>
      <c r="D2082" s="132">
        <v>4320000</v>
      </c>
      <c r="E2082" s="133">
        <v>40748</v>
      </c>
      <c r="F2082" s="134" t="s">
        <v>3270</v>
      </c>
    </row>
    <row r="2083" spans="1:6">
      <c r="A2083" s="132">
        <v>4340000</v>
      </c>
      <c r="B2083" s="132">
        <v>4340000</v>
      </c>
      <c r="C2083" s="132">
        <v>4340000</v>
      </c>
      <c r="D2083" s="132">
        <v>4340000</v>
      </c>
      <c r="E2083" s="133">
        <v>40747</v>
      </c>
      <c r="F2083" s="134" t="s">
        <v>3271</v>
      </c>
    </row>
    <row r="2084" spans="1:6">
      <c r="A2084" s="132">
        <v>4360000</v>
      </c>
      <c r="B2084" s="132">
        <v>4360000</v>
      </c>
      <c r="C2084" s="132">
        <v>4360000</v>
      </c>
      <c r="D2084" s="132">
        <v>4360000</v>
      </c>
      <c r="E2084" s="133">
        <v>40745</v>
      </c>
      <c r="F2084" s="134" t="s">
        <v>3272</v>
      </c>
    </row>
    <row r="2085" spans="1:6">
      <c r="A2085" s="132">
        <v>4370000</v>
      </c>
      <c r="B2085" s="132">
        <v>4370000</v>
      </c>
      <c r="C2085" s="132">
        <v>4370000</v>
      </c>
      <c r="D2085" s="132">
        <v>4370000</v>
      </c>
      <c r="E2085" s="133">
        <v>40744</v>
      </c>
      <c r="F2085" s="134" t="s">
        <v>3273</v>
      </c>
    </row>
    <row r="2086" spans="1:6">
      <c r="A2086" s="132">
        <v>4290000</v>
      </c>
      <c r="B2086" s="132">
        <v>4290000</v>
      </c>
      <c r="C2086" s="132">
        <v>4290000</v>
      </c>
      <c r="D2086" s="132">
        <v>4290000</v>
      </c>
      <c r="E2086" s="133">
        <v>40743</v>
      </c>
      <c r="F2086" s="134" t="s">
        <v>3274</v>
      </c>
    </row>
    <row r="2087" spans="1:6">
      <c r="A2087" s="132">
        <v>4280000</v>
      </c>
      <c r="B2087" s="132">
        <v>4280000</v>
      </c>
      <c r="C2087" s="132">
        <v>4280000</v>
      </c>
      <c r="D2087" s="132">
        <v>4280000</v>
      </c>
      <c r="E2087" s="133">
        <v>40742</v>
      </c>
      <c r="F2087" s="134" t="s">
        <v>3275</v>
      </c>
    </row>
    <row r="2088" spans="1:6">
      <c r="A2088" s="132">
        <v>4270000</v>
      </c>
      <c r="B2088" s="132">
        <v>4270000</v>
      </c>
      <c r="C2088" s="132">
        <v>4270000</v>
      </c>
      <c r="D2088" s="132">
        <v>4270000</v>
      </c>
      <c r="E2088" s="133">
        <v>40740</v>
      </c>
      <c r="F2088" s="134" t="s">
        <v>3276</v>
      </c>
    </row>
    <row r="2089" spans="1:6">
      <c r="A2089" s="132">
        <v>4260000</v>
      </c>
      <c r="B2089" s="132">
        <v>4260000</v>
      </c>
      <c r="C2089" s="132">
        <v>4260000</v>
      </c>
      <c r="D2089" s="132">
        <v>4260000</v>
      </c>
      <c r="E2089" s="133">
        <v>40738</v>
      </c>
      <c r="F2089" s="134" t="s">
        <v>3277</v>
      </c>
    </row>
    <row r="2090" spans="1:6">
      <c r="A2090" s="132">
        <v>4260000</v>
      </c>
      <c r="B2090" s="132">
        <v>4260000</v>
      </c>
      <c r="C2090" s="132">
        <v>4260000</v>
      </c>
      <c r="D2090" s="132">
        <v>4260000</v>
      </c>
      <c r="E2090" s="133">
        <v>40737</v>
      </c>
      <c r="F2090" s="134" t="s">
        <v>3278</v>
      </c>
    </row>
    <row r="2091" spans="1:6">
      <c r="A2091" s="132">
        <v>4270000</v>
      </c>
      <c r="B2091" s="132">
        <v>4270000</v>
      </c>
      <c r="C2091" s="132">
        <v>4270000</v>
      </c>
      <c r="D2091" s="132">
        <v>4270000</v>
      </c>
      <c r="E2091" s="133">
        <v>40736</v>
      </c>
      <c r="F2091" s="134" t="s">
        <v>3279</v>
      </c>
    </row>
    <row r="2092" spans="1:6">
      <c r="A2092" s="132">
        <v>4290000</v>
      </c>
      <c r="B2092" s="132">
        <v>4290000</v>
      </c>
      <c r="C2092" s="132">
        <v>4290000</v>
      </c>
      <c r="D2092" s="132">
        <v>4290000</v>
      </c>
      <c r="E2092" s="133">
        <v>40735</v>
      </c>
      <c r="F2092" s="134" t="s">
        <v>3280</v>
      </c>
    </row>
    <row r="2093" spans="1:6">
      <c r="A2093" s="132">
        <v>4300000</v>
      </c>
      <c r="B2093" s="132">
        <v>4300000</v>
      </c>
      <c r="C2093" s="132">
        <v>4300000</v>
      </c>
      <c r="D2093" s="132">
        <v>4300000</v>
      </c>
      <c r="E2093" s="133">
        <v>40734</v>
      </c>
      <c r="F2093" s="134" t="s">
        <v>3281</v>
      </c>
    </row>
    <row r="2094" spans="1:6">
      <c r="A2094" s="132">
        <v>4310000</v>
      </c>
      <c r="B2094" s="132">
        <v>4310000</v>
      </c>
      <c r="C2094" s="132">
        <v>4310000</v>
      </c>
      <c r="D2094" s="132">
        <v>4310000</v>
      </c>
      <c r="E2094" s="133">
        <v>40733</v>
      </c>
      <c r="F2094" s="134" t="s">
        <v>3282</v>
      </c>
    </row>
    <row r="2095" spans="1:6">
      <c r="A2095" s="132">
        <v>4330000</v>
      </c>
      <c r="B2095" s="132">
        <v>4330000</v>
      </c>
      <c r="C2095" s="132">
        <v>4330000</v>
      </c>
      <c r="D2095" s="132">
        <v>4330000</v>
      </c>
      <c r="E2095" s="133">
        <v>40731</v>
      </c>
      <c r="F2095" s="134" t="s">
        <v>3283</v>
      </c>
    </row>
    <row r="2096" spans="1:6">
      <c r="A2096" s="132">
        <v>4320000</v>
      </c>
      <c r="B2096" s="132">
        <v>4320000</v>
      </c>
      <c r="C2096" s="132">
        <v>4320000</v>
      </c>
      <c r="D2096" s="132">
        <v>4320000</v>
      </c>
      <c r="E2096" s="133">
        <v>40730</v>
      </c>
      <c r="F2096" s="134" t="s">
        <v>3284</v>
      </c>
    </row>
    <row r="2097" spans="1:6">
      <c r="A2097" s="132">
        <v>4320000</v>
      </c>
      <c r="B2097" s="132">
        <v>4320000</v>
      </c>
      <c r="C2097" s="132">
        <v>4320000</v>
      </c>
      <c r="D2097" s="132">
        <v>4320000</v>
      </c>
      <c r="E2097" s="133">
        <v>40729</v>
      </c>
      <c r="F2097" s="134" t="s">
        <v>3285</v>
      </c>
    </row>
    <row r="2098" spans="1:6">
      <c r="A2098" s="132">
        <v>4310000</v>
      </c>
      <c r="B2098" s="132">
        <v>4310000</v>
      </c>
      <c r="C2098" s="132">
        <v>4310000</v>
      </c>
      <c r="D2098" s="132">
        <v>4310000</v>
      </c>
      <c r="E2098" s="133">
        <v>40728</v>
      </c>
      <c r="F2098" s="134" t="s">
        <v>3286</v>
      </c>
    </row>
    <row r="2099" spans="1:6">
      <c r="A2099" s="132">
        <v>4310000</v>
      </c>
      <c r="B2099" s="132">
        <v>4310000</v>
      </c>
      <c r="C2099" s="132">
        <v>4310000</v>
      </c>
      <c r="D2099" s="132">
        <v>4310000</v>
      </c>
      <c r="E2099" s="133">
        <v>40727</v>
      </c>
      <c r="F2099" s="134" t="s">
        <v>3287</v>
      </c>
    </row>
    <row r="2100" spans="1:6">
      <c r="A2100" s="132">
        <v>4340000</v>
      </c>
      <c r="B2100" s="132">
        <v>4340000</v>
      </c>
      <c r="C2100" s="132">
        <v>4340000</v>
      </c>
      <c r="D2100" s="132">
        <v>4340000</v>
      </c>
      <c r="E2100" s="133">
        <v>40726</v>
      </c>
      <c r="F2100" s="134" t="s">
        <v>3288</v>
      </c>
    </row>
    <row r="2101" spans="1:6">
      <c r="A2101" s="132">
        <v>4280000</v>
      </c>
      <c r="B2101" s="132">
        <v>4280000</v>
      </c>
      <c r="C2101" s="132">
        <v>4280000</v>
      </c>
      <c r="D2101" s="132">
        <v>4280000</v>
      </c>
      <c r="E2101" s="133">
        <v>40723</v>
      </c>
      <c r="F2101" s="134" t="s">
        <v>3289</v>
      </c>
    </row>
    <row r="2102" spans="1:6">
      <c r="A2102" s="132">
        <v>4280000</v>
      </c>
      <c r="B2102" s="132">
        <v>4280000</v>
      </c>
      <c r="C2102" s="132">
        <v>4280000</v>
      </c>
      <c r="D2102" s="132">
        <v>4280000</v>
      </c>
      <c r="E2102" s="133">
        <v>40722</v>
      </c>
      <c r="F2102" s="134" t="s">
        <v>3290</v>
      </c>
    </row>
    <row r="2103" spans="1:6">
      <c r="A2103" s="132">
        <v>4280000</v>
      </c>
      <c r="B2103" s="132">
        <v>4280000</v>
      </c>
      <c r="C2103" s="132">
        <v>4280000</v>
      </c>
      <c r="D2103" s="132">
        <v>4280000</v>
      </c>
      <c r="E2103" s="133">
        <v>40721</v>
      </c>
      <c r="F2103" s="134" t="s">
        <v>3291</v>
      </c>
    </row>
    <row r="2104" spans="1:6">
      <c r="A2104" s="132">
        <v>4350000</v>
      </c>
      <c r="B2104" s="132">
        <v>4350000</v>
      </c>
      <c r="C2104" s="132">
        <v>4350000</v>
      </c>
      <c r="D2104" s="132">
        <v>4350000</v>
      </c>
      <c r="E2104" s="133">
        <v>40720</v>
      </c>
      <c r="F2104" s="134" t="s">
        <v>3292</v>
      </c>
    </row>
    <row r="2105" spans="1:6">
      <c r="A2105" s="132">
        <v>4440000</v>
      </c>
      <c r="B2105" s="132">
        <v>4440000</v>
      </c>
      <c r="C2105" s="132">
        <v>4440000</v>
      </c>
      <c r="D2105" s="132">
        <v>4440000</v>
      </c>
      <c r="E2105" s="133">
        <v>40717</v>
      </c>
      <c r="F2105" s="134" t="s">
        <v>3293</v>
      </c>
    </row>
    <row r="2106" spans="1:6">
      <c r="A2106" s="132">
        <v>4420000</v>
      </c>
      <c r="B2106" s="132">
        <v>4420000</v>
      </c>
      <c r="C2106" s="132">
        <v>4420000</v>
      </c>
      <c r="D2106" s="132">
        <v>4420000</v>
      </c>
      <c r="E2106" s="133">
        <v>40716</v>
      </c>
      <c r="F2106" s="134" t="s">
        <v>3294</v>
      </c>
    </row>
    <row r="2107" spans="1:6">
      <c r="A2107" s="132">
        <v>4470000</v>
      </c>
      <c r="B2107" s="132">
        <v>4470000</v>
      </c>
      <c r="C2107" s="132">
        <v>4470000</v>
      </c>
      <c r="D2107" s="132">
        <v>4470000</v>
      </c>
      <c r="E2107" s="133">
        <v>40715</v>
      </c>
      <c r="F2107" s="134" t="s">
        <v>3295</v>
      </c>
    </row>
    <row r="2108" spans="1:6">
      <c r="A2108" s="132">
        <v>4480000</v>
      </c>
      <c r="B2108" s="132">
        <v>4480000</v>
      </c>
      <c r="C2108" s="132">
        <v>4480000</v>
      </c>
      <c r="D2108" s="132">
        <v>4480000</v>
      </c>
      <c r="E2108" s="133">
        <v>40714</v>
      </c>
      <c r="F2108" s="134" t="s">
        <v>3296</v>
      </c>
    </row>
    <row r="2109" spans="1:6">
      <c r="A2109" s="132">
        <v>4520000</v>
      </c>
      <c r="B2109" s="132">
        <v>4520000</v>
      </c>
      <c r="C2109" s="132">
        <v>4520000</v>
      </c>
      <c r="D2109" s="132">
        <v>4520000</v>
      </c>
      <c r="E2109" s="133">
        <v>40713</v>
      </c>
      <c r="F2109" s="134" t="s">
        <v>3297</v>
      </c>
    </row>
    <row r="2110" spans="1:6">
      <c r="A2110" s="132">
        <v>4550000</v>
      </c>
      <c r="B2110" s="132">
        <v>4550000</v>
      </c>
      <c r="C2110" s="132">
        <v>4550000</v>
      </c>
      <c r="D2110" s="132">
        <v>4550000</v>
      </c>
      <c r="E2110" s="133">
        <v>40712</v>
      </c>
      <c r="F2110" s="134" t="s">
        <v>3298</v>
      </c>
    </row>
    <row r="2111" spans="1:6">
      <c r="A2111" s="132">
        <v>4570000</v>
      </c>
      <c r="B2111" s="132">
        <v>4570000</v>
      </c>
      <c r="C2111" s="132">
        <v>4570000</v>
      </c>
      <c r="D2111" s="132">
        <v>4570000</v>
      </c>
      <c r="E2111" s="133">
        <v>40709</v>
      </c>
      <c r="F2111" s="134" t="s">
        <v>3299</v>
      </c>
    </row>
    <row r="2112" spans="1:6">
      <c r="A2112" s="132">
        <v>4600000</v>
      </c>
      <c r="B2112" s="132">
        <v>4600000</v>
      </c>
      <c r="C2112" s="132">
        <v>4600000</v>
      </c>
      <c r="D2112" s="132">
        <v>4600000</v>
      </c>
      <c r="E2112" s="133">
        <v>40708</v>
      </c>
      <c r="F2112" s="134" t="s">
        <v>3300</v>
      </c>
    </row>
    <row r="2113" spans="1:6">
      <c r="A2113" s="132">
        <v>4560000</v>
      </c>
      <c r="B2113" s="132">
        <v>4560000</v>
      </c>
      <c r="C2113" s="132">
        <v>4560000</v>
      </c>
      <c r="D2113" s="132">
        <v>4560000</v>
      </c>
      <c r="E2113" s="133">
        <v>40707</v>
      </c>
      <c r="F2113" s="134" t="s">
        <v>3301</v>
      </c>
    </row>
    <row r="2114" spans="1:6">
      <c r="A2114" s="132">
        <v>4620000</v>
      </c>
      <c r="B2114" s="132">
        <v>4620000</v>
      </c>
      <c r="C2114" s="132">
        <v>4620000</v>
      </c>
      <c r="D2114" s="132">
        <v>4620000</v>
      </c>
      <c r="E2114" s="133">
        <v>40706</v>
      </c>
      <c r="F2114" s="134" t="s">
        <v>3302</v>
      </c>
    </row>
    <row r="2115" spans="1:6">
      <c r="A2115" s="132">
        <v>4600000</v>
      </c>
      <c r="B2115" s="132">
        <v>4600000</v>
      </c>
      <c r="C2115" s="132">
        <v>4600000</v>
      </c>
      <c r="D2115" s="132">
        <v>4600000</v>
      </c>
      <c r="E2115" s="133">
        <v>40705</v>
      </c>
      <c r="F2115" s="134" t="s">
        <v>3303</v>
      </c>
    </row>
    <row r="2116" spans="1:6">
      <c r="A2116" s="132">
        <v>4550000</v>
      </c>
      <c r="B2116" s="132">
        <v>4550000</v>
      </c>
      <c r="C2116" s="132">
        <v>4550000</v>
      </c>
      <c r="D2116" s="132">
        <v>4550000</v>
      </c>
      <c r="E2116" s="133">
        <v>40703</v>
      </c>
      <c r="F2116" s="134" t="s">
        <v>3304</v>
      </c>
    </row>
    <row r="2117" spans="1:6">
      <c r="A2117" s="132">
        <v>4470000</v>
      </c>
      <c r="B2117" s="132">
        <v>4470000</v>
      </c>
      <c r="C2117" s="132">
        <v>4470000</v>
      </c>
      <c r="D2117" s="132">
        <v>4470000</v>
      </c>
      <c r="E2117" s="133">
        <v>40702</v>
      </c>
      <c r="F2117" s="134" t="s">
        <v>3305</v>
      </c>
    </row>
    <row r="2118" spans="1:6">
      <c r="A2118" s="132">
        <v>4470000</v>
      </c>
      <c r="B2118" s="132">
        <v>4470000</v>
      </c>
      <c r="C2118" s="132">
        <v>4470000</v>
      </c>
      <c r="D2118" s="132">
        <v>4470000</v>
      </c>
      <c r="E2118" s="133">
        <v>40701</v>
      </c>
      <c r="F2118" s="134" t="s">
        <v>3306</v>
      </c>
    </row>
    <row r="2119" spans="1:6">
      <c r="A2119" s="132">
        <v>4420000</v>
      </c>
      <c r="B2119" s="132">
        <v>4420000</v>
      </c>
      <c r="C2119" s="132">
        <v>4420000</v>
      </c>
      <c r="D2119" s="132">
        <v>4420000</v>
      </c>
      <c r="E2119" s="133">
        <v>40700</v>
      </c>
      <c r="F2119" s="134" t="s">
        <v>3307</v>
      </c>
    </row>
    <row r="2120" spans="1:6">
      <c r="A2120" s="132">
        <v>4400000</v>
      </c>
      <c r="B2120" s="132">
        <v>4400000</v>
      </c>
      <c r="C2120" s="132">
        <v>4400000</v>
      </c>
      <c r="D2120" s="132">
        <v>4400000</v>
      </c>
      <c r="E2120" s="133">
        <v>40696</v>
      </c>
      <c r="F2120" s="134" t="s">
        <v>3308</v>
      </c>
    </row>
    <row r="2121" spans="1:6">
      <c r="A2121" s="132">
        <v>4400000</v>
      </c>
      <c r="B2121" s="132">
        <v>4400000</v>
      </c>
      <c r="C2121" s="132">
        <v>4400000</v>
      </c>
      <c r="D2121" s="132">
        <v>4400000</v>
      </c>
      <c r="E2121" s="133">
        <v>40695</v>
      </c>
      <c r="F2121" s="134" t="s">
        <v>3309</v>
      </c>
    </row>
    <row r="2122" spans="1:6">
      <c r="A2122" s="132">
        <v>4380000</v>
      </c>
      <c r="B2122" s="132">
        <v>4380000</v>
      </c>
      <c r="C2122" s="132">
        <v>4380000</v>
      </c>
      <c r="D2122" s="132">
        <v>4380000</v>
      </c>
      <c r="E2122" s="133">
        <v>40694</v>
      </c>
      <c r="F2122" s="134" t="s">
        <v>3310</v>
      </c>
    </row>
    <row r="2123" spans="1:6">
      <c r="A2123" s="132">
        <v>4400000</v>
      </c>
      <c r="B2123" s="132">
        <v>4400000</v>
      </c>
      <c r="C2123" s="132">
        <v>4400000</v>
      </c>
      <c r="D2123" s="132">
        <v>4400000</v>
      </c>
      <c r="E2123" s="133">
        <v>40693</v>
      </c>
      <c r="F2123" s="134" t="s">
        <v>3311</v>
      </c>
    </row>
    <row r="2124" spans="1:6">
      <c r="A2124" s="132">
        <v>4450000</v>
      </c>
      <c r="B2124" s="132">
        <v>4450000</v>
      </c>
      <c r="C2124" s="132">
        <v>4450000</v>
      </c>
      <c r="D2124" s="132">
        <v>4450000</v>
      </c>
      <c r="E2124" s="133">
        <v>40692</v>
      </c>
      <c r="F2124" s="134" t="s">
        <v>3312</v>
      </c>
    </row>
    <row r="2125" spans="1:6">
      <c r="A2125" s="132">
        <v>4480000</v>
      </c>
      <c r="B2125" s="132">
        <v>4480000</v>
      </c>
      <c r="C2125" s="132">
        <v>4480000</v>
      </c>
      <c r="D2125" s="132">
        <v>4480000</v>
      </c>
      <c r="E2125" s="133">
        <v>40691</v>
      </c>
      <c r="F2125" s="134" t="s">
        <v>3313</v>
      </c>
    </row>
    <row r="2126" spans="1:6">
      <c r="A2126" s="132">
        <v>4350000</v>
      </c>
      <c r="B2126" s="132">
        <v>4350000</v>
      </c>
      <c r="C2126" s="132">
        <v>4350000</v>
      </c>
      <c r="D2126" s="132">
        <v>4350000</v>
      </c>
      <c r="E2126" s="133">
        <v>40688</v>
      </c>
      <c r="F2126" s="134" t="s">
        <v>3314</v>
      </c>
    </row>
    <row r="2127" spans="1:6">
      <c r="A2127" s="132">
        <v>4210000</v>
      </c>
      <c r="B2127" s="132">
        <v>4210000</v>
      </c>
      <c r="C2127" s="132">
        <v>4210000</v>
      </c>
      <c r="D2127" s="132">
        <v>4210000</v>
      </c>
      <c r="E2127" s="133">
        <v>40684</v>
      </c>
      <c r="F2127" s="134" t="s">
        <v>3315</v>
      </c>
    </row>
    <row r="2128" spans="1:6">
      <c r="A2128" s="132">
        <v>4380000</v>
      </c>
      <c r="B2128" s="132">
        <v>4380000</v>
      </c>
      <c r="C2128" s="132">
        <v>4380000</v>
      </c>
      <c r="D2128" s="132">
        <v>4380000</v>
      </c>
      <c r="E2128" s="133">
        <v>40687</v>
      </c>
      <c r="F2128" s="134" t="s">
        <v>3316</v>
      </c>
    </row>
    <row r="2129" spans="1:6">
      <c r="A2129" s="132">
        <v>4370000</v>
      </c>
      <c r="B2129" s="132">
        <v>4370000</v>
      </c>
      <c r="C2129" s="132">
        <v>4370000</v>
      </c>
      <c r="D2129" s="132">
        <v>4370000</v>
      </c>
      <c r="E2129" s="133">
        <v>40686</v>
      </c>
      <c r="F2129" s="134" t="s">
        <v>3317</v>
      </c>
    </row>
    <row r="2130" spans="1:6">
      <c r="A2130" s="132">
        <v>4200000</v>
      </c>
      <c r="B2130" s="132">
        <v>4200000</v>
      </c>
      <c r="C2130" s="132">
        <v>4200000</v>
      </c>
      <c r="D2130" s="132">
        <v>4200000</v>
      </c>
      <c r="E2130" s="133">
        <v>40682</v>
      </c>
      <c r="F2130" s="134" t="s">
        <v>3318</v>
      </c>
    </row>
    <row r="2131" spans="1:6">
      <c r="A2131" s="132">
        <v>4230000</v>
      </c>
      <c r="B2131" s="132">
        <v>4230000</v>
      </c>
      <c r="C2131" s="132">
        <v>4230000</v>
      </c>
      <c r="D2131" s="132">
        <v>4230000</v>
      </c>
      <c r="E2131" s="133">
        <v>40685</v>
      </c>
      <c r="F2131" s="134" t="s">
        <v>3319</v>
      </c>
    </row>
    <row r="2132" spans="1:6">
      <c r="A2132" s="132">
        <v>4215000</v>
      </c>
      <c r="B2132" s="132">
        <v>4215000</v>
      </c>
      <c r="C2132" s="132">
        <v>4215000</v>
      </c>
      <c r="D2132" s="132">
        <v>4215000</v>
      </c>
      <c r="E2132" s="133">
        <v>40681</v>
      </c>
      <c r="F2132" s="134" t="s">
        <v>3320</v>
      </c>
    </row>
    <row r="2133" spans="1:6">
      <c r="A2133" s="132">
        <v>4200000</v>
      </c>
      <c r="B2133" s="132">
        <v>4200000</v>
      </c>
      <c r="C2133" s="132">
        <v>4200000</v>
      </c>
      <c r="D2133" s="132">
        <v>4200000</v>
      </c>
      <c r="E2133" s="133">
        <v>40680</v>
      </c>
      <c r="F2133" s="134" t="s">
        <v>3321</v>
      </c>
    </row>
    <row r="2134" spans="1:6">
      <c r="A2134" s="132">
        <v>4220000</v>
      </c>
      <c r="B2134" s="132">
        <v>4220000</v>
      </c>
      <c r="C2134" s="132">
        <v>4220000</v>
      </c>
      <c r="D2134" s="132">
        <v>4220000</v>
      </c>
      <c r="E2134" s="133">
        <v>40679</v>
      </c>
      <c r="F2134" s="134" t="s">
        <v>3322</v>
      </c>
    </row>
    <row r="2135" spans="1:6">
      <c r="A2135" s="132">
        <v>4220000</v>
      </c>
      <c r="B2135" s="132">
        <v>4220000</v>
      </c>
      <c r="C2135" s="132">
        <v>4220000</v>
      </c>
      <c r="D2135" s="132">
        <v>4220000</v>
      </c>
      <c r="E2135" s="133">
        <v>40678</v>
      </c>
      <c r="F2135" s="134" t="s">
        <v>3323</v>
      </c>
    </row>
    <row r="2136" spans="1:6">
      <c r="A2136" s="132">
        <v>4250000</v>
      </c>
      <c r="B2136" s="132">
        <v>4250000</v>
      </c>
      <c r="C2136" s="132">
        <v>4250000</v>
      </c>
      <c r="D2136" s="132">
        <v>4250000</v>
      </c>
      <c r="E2136" s="133">
        <v>40677</v>
      </c>
      <c r="F2136" s="134" t="s">
        <v>3324</v>
      </c>
    </row>
    <row r="2137" spans="1:6">
      <c r="A2137" s="132">
        <v>4270000</v>
      </c>
      <c r="B2137" s="132">
        <v>4270000</v>
      </c>
      <c r="C2137" s="132">
        <v>4270000</v>
      </c>
      <c r="D2137" s="132">
        <v>4270000</v>
      </c>
      <c r="E2137" s="133">
        <v>40675</v>
      </c>
      <c r="F2137" s="134" t="s">
        <v>3325</v>
      </c>
    </row>
    <row r="2138" spans="1:6">
      <c r="A2138" s="132">
        <v>4250000</v>
      </c>
      <c r="B2138" s="132">
        <v>4250000</v>
      </c>
      <c r="C2138" s="132">
        <v>4250000</v>
      </c>
      <c r="D2138" s="132">
        <v>4250000</v>
      </c>
      <c r="E2138" s="133">
        <v>40674</v>
      </c>
      <c r="F2138" s="134" t="s">
        <v>3326</v>
      </c>
    </row>
    <row r="2139" spans="1:6">
      <c r="A2139" s="132">
        <v>4210000</v>
      </c>
      <c r="B2139" s="132">
        <v>4210000</v>
      </c>
      <c r="C2139" s="132">
        <v>4210000</v>
      </c>
      <c r="D2139" s="132">
        <v>4210000</v>
      </c>
      <c r="E2139" s="133">
        <v>40673</v>
      </c>
      <c r="F2139" s="134" t="s">
        <v>3327</v>
      </c>
    </row>
    <row r="2140" spans="1:6">
      <c r="A2140" s="132">
        <v>4200000</v>
      </c>
      <c r="B2140" s="132">
        <v>4200000</v>
      </c>
      <c r="C2140" s="132">
        <v>4200000</v>
      </c>
      <c r="D2140" s="132">
        <v>4200000</v>
      </c>
      <c r="E2140" s="133">
        <v>40672</v>
      </c>
      <c r="F2140" s="134" t="s">
        <v>3328</v>
      </c>
    </row>
    <row r="2141" spans="1:6">
      <c r="A2141" s="132">
        <v>4200000</v>
      </c>
      <c r="B2141" s="132">
        <v>4200000</v>
      </c>
      <c r="C2141" s="132">
        <v>4200000</v>
      </c>
      <c r="D2141" s="132">
        <v>4200000</v>
      </c>
      <c r="E2141" s="133">
        <v>40671</v>
      </c>
      <c r="F2141" s="134" t="s">
        <v>3329</v>
      </c>
    </row>
    <row r="2142" spans="1:6">
      <c r="A2142" s="132">
        <v>4220000</v>
      </c>
      <c r="B2142" s="132">
        <v>4220000</v>
      </c>
      <c r="C2142" s="132">
        <v>4220000</v>
      </c>
      <c r="D2142" s="132">
        <v>4220000</v>
      </c>
      <c r="E2142" s="133">
        <v>40668</v>
      </c>
      <c r="F2142" s="134" t="s">
        <v>3330</v>
      </c>
    </row>
    <row r="2143" spans="1:6">
      <c r="A2143" s="132">
        <v>4230000</v>
      </c>
      <c r="B2143" s="132">
        <v>4230000</v>
      </c>
      <c r="C2143" s="132">
        <v>4230000</v>
      </c>
      <c r="D2143" s="132">
        <v>4230000</v>
      </c>
      <c r="E2143" s="133">
        <v>40667</v>
      </c>
      <c r="F2143" s="134" t="s">
        <v>3331</v>
      </c>
    </row>
    <row r="2144" spans="1:6">
      <c r="A2144" s="132">
        <v>4230000</v>
      </c>
      <c r="B2144" s="132">
        <v>4230000</v>
      </c>
      <c r="C2144" s="132">
        <v>4230000</v>
      </c>
      <c r="D2144" s="132">
        <v>4230000</v>
      </c>
      <c r="E2144" s="133">
        <v>40666</v>
      </c>
      <c r="F2144" s="134" t="s">
        <v>3332</v>
      </c>
    </row>
    <row r="2145" spans="1:6">
      <c r="A2145" s="132">
        <v>4250000</v>
      </c>
      <c r="B2145" s="132">
        <v>4250000</v>
      </c>
      <c r="C2145" s="132">
        <v>4250000</v>
      </c>
      <c r="D2145" s="132">
        <v>4250000</v>
      </c>
      <c r="E2145" s="133">
        <v>40665</v>
      </c>
      <c r="F2145" s="134" t="s">
        <v>3333</v>
      </c>
    </row>
    <row r="2146" spans="1:6">
      <c r="A2146" s="132">
        <v>4250000</v>
      </c>
      <c r="B2146" s="132">
        <v>4250000</v>
      </c>
      <c r="C2146" s="132">
        <v>4250000</v>
      </c>
      <c r="D2146" s="132">
        <v>4250000</v>
      </c>
      <c r="E2146" s="133">
        <v>40664</v>
      </c>
      <c r="F2146" s="134" t="s">
        <v>3334</v>
      </c>
    </row>
    <row r="2147" spans="1:6">
      <c r="A2147" s="132">
        <v>4230000</v>
      </c>
      <c r="B2147" s="132">
        <v>4230000</v>
      </c>
      <c r="C2147" s="132">
        <v>4230000</v>
      </c>
      <c r="D2147" s="132">
        <v>4230000</v>
      </c>
      <c r="E2147" s="133">
        <v>40663</v>
      </c>
      <c r="F2147" s="134" t="s">
        <v>3335</v>
      </c>
    </row>
    <row r="2148" spans="1:6">
      <c r="A2148" s="132">
        <v>4160000</v>
      </c>
      <c r="B2148" s="132">
        <v>4160000</v>
      </c>
      <c r="C2148" s="132">
        <v>4160000</v>
      </c>
      <c r="D2148" s="132">
        <v>4160000</v>
      </c>
      <c r="E2148" s="133">
        <v>40661</v>
      </c>
      <c r="F2148" s="134" t="s">
        <v>3336</v>
      </c>
    </row>
    <row r="2149" spans="1:6">
      <c r="A2149" s="132">
        <v>4180000</v>
      </c>
      <c r="B2149" s="132">
        <v>4180000</v>
      </c>
      <c r="C2149" s="132">
        <v>4180000</v>
      </c>
      <c r="D2149" s="132">
        <v>4180000</v>
      </c>
      <c r="E2149" s="133">
        <v>40660</v>
      </c>
      <c r="F2149" s="134" t="s">
        <v>3337</v>
      </c>
    </row>
    <row r="2150" spans="1:6">
      <c r="A2150" s="132">
        <v>4250000</v>
      </c>
      <c r="B2150" s="132">
        <v>4250000</v>
      </c>
      <c r="C2150" s="132">
        <v>4250000</v>
      </c>
      <c r="D2150" s="132">
        <v>4250000</v>
      </c>
      <c r="E2150" s="133">
        <v>40659</v>
      </c>
      <c r="F2150" s="134" t="s">
        <v>3338</v>
      </c>
    </row>
    <row r="2151" spans="1:6">
      <c r="A2151" s="132">
        <v>4350000</v>
      </c>
      <c r="B2151" s="132">
        <v>4350000</v>
      </c>
      <c r="C2151" s="132">
        <v>4350000</v>
      </c>
      <c r="D2151" s="132">
        <v>4350000</v>
      </c>
      <c r="E2151" s="133">
        <v>40658</v>
      </c>
      <c r="F2151" s="134" t="s">
        <v>3339</v>
      </c>
    </row>
    <row r="2152" spans="1:6">
      <c r="A2152" s="132">
        <v>4280000</v>
      </c>
      <c r="B2152" s="132">
        <v>4280000</v>
      </c>
      <c r="C2152" s="132">
        <v>4280000</v>
      </c>
      <c r="D2152" s="132">
        <v>4280000</v>
      </c>
      <c r="E2152" s="133">
        <v>40657</v>
      </c>
      <c r="F2152" s="134" t="s">
        <v>3340</v>
      </c>
    </row>
    <row r="2153" spans="1:6">
      <c r="A2153" s="132">
        <v>4200000</v>
      </c>
      <c r="B2153" s="132">
        <v>4200000</v>
      </c>
      <c r="C2153" s="132">
        <v>4200000</v>
      </c>
      <c r="D2153" s="132">
        <v>4200000</v>
      </c>
      <c r="E2153" s="133">
        <v>40656</v>
      </c>
      <c r="F2153" s="134" t="s">
        <v>3341</v>
      </c>
    </row>
    <row r="2154" spans="1:6">
      <c r="A2154" s="132">
        <v>4300000</v>
      </c>
      <c r="B2154" s="132">
        <v>4300000</v>
      </c>
      <c r="C2154" s="132">
        <v>4300000</v>
      </c>
      <c r="D2154" s="132">
        <v>4300000</v>
      </c>
      <c r="E2154" s="133">
        <v>40654</v>
      </c>
      <c r="F2154" s="134" t="s">
        <v>3342</v>
      </c>
    </row>
    <row r="2155" spans="1:6">
      <c r="A2155" s="132">
        <v>4450000</v>
      </c>
      <c r="B2155" s="132">
        <v>4450000</v>
      </c>
      <c r="C2155" s="132">
        <v>4450000</v>
      </c>
      <c r="D2155" s="132">
        <v>4450000</v>
      </c>
      <c r="E2155" s="133">
        <v>40653</v>
      </c>
      <c r="F2155" s="134" t="s">
        <v>3343</v>
      </c>
    </row>
    <row r="2156" spans="1:6">
      <c r="A2156" s="132">
        <v>4370000</v>
      </c>
      <c r="B2156" s="132">
        <v>4370000</v>
      </c>
      <c r="C2156" s="132">
        <v>4370000</v>
      </c>
      <c r="D2156" s="132">
        <v>4370000</v>
      </c>
      <c r="E2156" s="133">
        <v>40652</v>
      </c>
      <c r="F2156" s="134" t="s">
        <v>3344</v>
      </c>
    </row>
    <row r="2157" spans="1:6">
      <c r="A2157" s="132">
        <v>4300000</v>
      </c>
      <c r="B2157" s="132">
        <v>4300000</v>
      </c>
      <c r="C2157" s="132">
        <v>4300000</v>
      </c>
      <c r="D2157" s="132">
        <v>4300000</v>
      </c>
      <c r="E2157" s="133">
        <v>40651</v>
      </c>
      <c r="F2157" s="134" t="s">
        <v>3345</v>
      </c>
    </row>
    <row r="2158" spans="1:6">
      <c r="A2158" s="132">
        <v>4300000</v>
      </c>
      <c r="B2158" s="132">
        <v>4300000</v>
      </c>
      <c r="C2158" s="132">
        <v>4300000</v>
      </c>
      <c r="D2158" s="132">
        <v>4300000</v>
      </c>
      <c r="E2158" s="133">
        <v>40650</v>
      </c>
      <c r="F2158" s="134" t="s">
        <v>3346</v>
      </c>
    </row>
    <row r="2159" spans="1:6">
      <c r="A2159" s="132">
        <v>4200000</v>
      </c>
      <c r="B2159" s="132">
        <v>4200000</v>
      </c>
      <c r="C2159" s="132">
        <v>4200000</v>
      </c>
      <c r="D2159" s="132">
        <v>4200000</v>
      </c>
      <c r="E2159" s="133">
        <v>40649</v>
      </c>
      <c r="F2159" s="134" t="s">
        <v>3347</v>
      </c>
    </row>
    <row r="2160" spans="1:6">
      <c r="A2160" s="132">
        <v>4190000</v>
      </c>
      <c r="B2160" s="132">
        <v>4190000</v>
      </c>
      <c r="C2160" s="132">
        <v>4190000</v>
      </c>
      <c r="D2160" s="132">
        <v>4190000</v>
      </c>
      <c r="E2160" s="133">
        <v>40647</v>
      </c>
      <c r="F2160" s="134" t="s">
        <v>3348</v>
      </c>
    </row>
    <row r="2161" spans="1:6">
      <c r="A2161" s="132">
        <v>4140000</v>
      </c>
      <c r="B2161" s="132">
        <v>4140000</v>
      </c>
      <c r="C2161" s="132">
        <v>4140000</v>
      </c>
      <c r="D2161" s="132">
        <v>4140000</v>
      </c>
      <c r="E2161" s="133">
        <v>40646</v>
      </c>
      <c r="F2161" s="134" t="s">
        <v>3349</v>
      </c>
    </row>
    <row r="2162" spans="1:6">
      <c r="A2162" s="132">
        <v>4140000</v>
      </c>
      <c r="B2162" s="132">
        <v>4140000</v>
      </c>
      <c r="C2162" s="132">
        <v>4140000</v>
      </c>
      <c r="D2162" s="132">
        <v>4140000</v>
      </c>
      <c r="E2162" s="133">
        <v>40645</v>
      </c>
      <c r="F2162" s="134" t="s">
        <v>3350</v>
      </c>
    </row>
    <row r="2163" spans="1:6">
      <c r="A2163" s="132">
        <v>4060000</v>
      </c>
      <c r="B2163" s="132">
        <v>4060000</v>
      </c>
      <c r="C2163" s="132">
        <v>4060000</v>
      </c>
      <c r="D2163" s="132">
        <v>4060000</v>
      </c>
      <c r="E2163" s="133">
        <v>40644</v>
      </c>
      <c r="F2163" s="134" t="s">
        <v>3351</v>
      </c>
    </row>
    <row r="2164" spans="1:6">
      <c r="A2164" s="132">
        <v>4040000</v>
      </c>
      <c r="B2164" s="132">
        <v>4040000</v>
      </c>
      <c r="C2164" s="132">
        <v>4040000</v>
      </c>
      <c r="D2164" s="132">
        <v>4040000</v>
      </c>
      <c r="E2164" s="133">
        <v>40643</v>
      </c>
      <c r="F2164" s="134" t="s">
        <v>3352</v>
      </c>
    </row>
    <row r="2165" spans="1:6">
      <c r="A2165" s="132">
        <v>4020000</v>
      </c>
      <c r="B2165" s="132">
        <v>4020000</v>
      </c>
      <c r="C2165" s="132">
        <v>4020000</v>
      </c>
      <c r="D2165" s="132">
        <v>4020000</v>
      </c>
      <c r="E2165" s="133">
        <v>40642</v>
      </c>
      <c r="F2165" s="134" t="s">
        <v>3353</v>
      </c>
    </row>
    <row r="2166" spans="1:6">
      <c r="A2166" s="132">
        <v>3930000</v>
      </c>
      <c r="B2166" s="132">
        <v>3930000</v>
      </c>
      <c r="C2166" s="132">
        <v>3930000</v>
      </c>
      <c r="D2166" s="132">
        <v>3930000</v>
      </c>
      <c r="E2166" s="133">
        <v>40638</v>
      </c>
      <c r="F2166" s="134" t="s">
        <v>3354</v>
      </c>
    </row>
    <row r="2167" spans="1:6">
      <c r="A2167" s="132">
        <v>3930000</v>
      </c>
      <c r="B2167" s="132">
        <v>3930000</v>
      </c>
      <c r="C2167" s="132">
        <v>3930000</v>
      </c>
      <c r="D2167" s="132">
        <v>3930000</v>
      </c>
      <c r="E2167" s="133">
        <v>40636</v>
      </c>
      <c r="F2167" s="134" t="s">
        <v>3355</v>
      </c>
    </row>
    <row r="2168" spans="1:6">
      <c r="A2168" s="132">
        <v>3850000</v>
      </c>
      <c r="B2168" s="132">
        <v>3850000</v>
      </c>
      <c r="C2168" s="132">
        <v>3850000</v>
      </c>
      <c r="D2168" s="132">
        <v>3850000</v>
      </c>
      <c r="E2168" s="133">
        <v>40619</v>
      </c>
      <c r="F2168" s="134" t="s">
        <v>3356</v>
      </c>
    </row>
    <row r="2169" spans="1:6">
      <c r="A2169" s="132">
        <v>3860000</v>
      </c>
      <c r="B2169" s="132">
        <v>3860000</v>
      </c>
      <c r="C2169" s="132">
        <v>3860000</v>
      </c>
      <c r="D2169" s="132">
        <v>3860000</v>
      </c>
      <c r="E2169" s="133">
        <v>40618</v>
      </c>
      <c r="F2169" s="134" t="s">
        <v>3357</v>
      </c>
    </row>
    <row r="2170" spans="1:6">
      <c r="A2170" s="132">
        <v>3880000</v>
      </c>
      <c r="B2170" s="132">
        <v>3880000</v>
      </c>
      <c r="C2170" s="132">
        <v>3880000</v>
      </c>
      <c r="D2170" s="132">
        <v>3880000</v>
      </c>
      <c r="E2170" s="133">
        <v>40617</v>
      </c>
      <c r="F2170" s="134" t="s">
        <v>3358</v>
      </c>
    </row>
    <row r="2171" spans="1:6">
      <c r="A2171" s="132">
        <v>3830000</v>
      </c>
      <c r="B2171" s="132">
        <v>3830000</v>
      </c>
      <c r="C2171" s="132">
        <v>3830000</v>
      </c>
      <c r="D2171" s="132">
        <v>3830000</v>
      </c>
      <c r="E2171" s="133">
        <v>40616</v>
      </c>
      <c r="F2171" s="134" t="s">
        <v>3359</v>
      </c>
    </row>
    <row r="2172" spans="1:6">
      <c r="A2172" s="132">
        <v>3840000</v>
      </c>
      <c r="B2172" s="132">
        <v>3840000</v>
      </c>
      <c r="C2172" s="132">
        <v>3840000</v>
      </c>
      <c r="D2172" s="132">
        <v>3840000</v>
      </c>
      <c r="E2172" s="133">
        <v>40615</v>
      </c>
      <c r="F2172" s="134" t="s">
        <v>3360</v>
      </c>
    </row>
    <row r="2173" spans="1:6">
      <c r="A2173" s="132">
        <v>3880000</v>
      </c>
      <c r="B2173" s="132">
        <v>3880000</v>
      </c>
      <c r="C2173" s="132">
        <v>3880000</v>
      </c>
      <c r="D2173" s="132">
        <v>3880000</v>
      </c>
      <c r="E2173" s="133">
        <v>40614</v>
      </c>
      <c r="F2173" s="134" t="s">
        <v>3361</v>
      </c>
    </row>
    <row r="2174" spans="1:6">
      <c r="A2174" s="132">
        <v>3870000</v>
      </c>
      <c r="B2174" s="132">
        <v>3870000</v>
      </c>
      <c r="C2174" s="132">
        <v>3870000</v>
      </c>
      <c r="D2174" s="132">
        <v>3870000</v>
      </c>
      <c r="E2174" s="133">
        <v>40612</v>
      </c>
      <c r="F2174" s="134" t="s">
        <v>3362</v>
      </c>
    </row>
    <row r="2175" spans="1:6">
      <c r="A2175" s="132">
        <v>3850000</v>
      </c>
      <c r="B2175" s="132">
        <v>3850000</v>
      </c>
      <c r="C2175" s="132">
        <v>3850000</v>
      </c>
      <c r="D2175" s="132">
        <v>3850000</v>
      </c>
      <c r="E2175" s="133">
        <v>40611</v>
      </c>
      <c r="F2175" s="134" t="s">
        <v>3363</v>
      </c>
    </row>
    <row r="2176" spans="1:6">
      <c r="A2176" s="132">
        <v>3850000</v>
      </c>
      <c r="B2176" s="132">
        <v>3850000</v>
      </c>
      <c r="C2176" s="132">
        <v>3850000</v>
      </c>
      <c r="D2176" s="132">
        <v>3850000</v>
      </c>
      <c r="E2176" s="133">
        <v>40610</v>
      </c>
      <c r="F2176" s="134" t="s">
        <v>3364</v>
      </c>
    </row>
    <row r="2177" spans="1:6">
      <c r="A2177" s="132">
        <v>3850000</v>
      </c>
      <c r="B2177" s="132">
        <v>3850000</v>
      </c>
      <c r="C2177" s="132">
        <v>3850000</v>
      </c>
      <c r="D2177" s="132">
        <v>3850000</v>
      </c>
      <c r="E2177" s="133">
        <v>40609</v>
      </c>
      <c r="F2177" s="134" t="s">
        <v>3365</v>
      </c>
    </row>
    <row r="2178" spans="1:6">
      <c r="A2178" s="132">
        <v>3900000</v>
      </c>
      <c r="B2178" s="132">
        <v>3900000</v>
      </c>
      <c r="C2178" s="132">
        <v>3900000</v>
      </c>
      <c r="D2178" s="132">
        <v>3900000</v>
      </c>
      <c r="E2178" s="133">
        <v>40608</v>
      </c>
      <c r="F2178" s="134" t="s">
        <v>3366</v>
      </c>
    </row>
    <row r="2179" spans="1:6">
      <c r="A2179" s="132">
        <v>3950000</v>
      </c>
      <c r="B2179" s="132">
        <v>3950000</v>
      </c>
      <c r="C2179" s="132">
        <v>3950000</v>
      </c>
      <c r="D2179" s="132">
        <v>3950000</v>
      </c>
      <c r="E2179" s="133">
        <v>40607</v>
      </c>
      <c r="F2179" s="134" t="s">
        <v>3367</v>
      </c>
    </row>
    <row r="2180" spans="1:6">
      <c r="A2180" s="132">
        <v>3950000</v>
      </c>
      <c r="B2180" s="132">
        <v>3950000</v>
      </c>
      <c r="C2180" s="132">
        <v>3950000</v>
      </c>
      <c r="D2180" s="132">
        <v>3950000</v>
      </c>
      <c r="E2180" s="133">
        <v>40605</v>
      </c>
      <c r="F2180" s="134" t="s">
        <v>3368</v>
      </c>
    </row>
    <row r="2181" spans="1:6">
      <c r="A2181" s="132">
        <v>3970000</v>
      </c>
      <c r="B2181" s="132">
        <v>3970000</v>
      </c>
      <c r="C2181" s="132">
        <v>3970000</v>
      </c>
      <c r="D2181" s="132">
        <v>3970000</v>
      </c>
      <c r="E2181" s="133">
        <v>40603</v>
      </c>
      <c r="F2181" s="134" t="s">
        <v>3369</v>
      </c>
    </row>
    <row r="2182" spans="1:6">
      <c r="A2182" s="132">
        <v>3840000</v>
      </c>
      <c r="B2182" s="132">
        <v>3840000</v>
      </c>
      <c r="C2182" s="132">
        <v>3840000</v>
      </c>
      <c r="D2182" s="132">
        <v>3840000</v>
      </c>
      <c r="E2182" s="133">
        <v>40602</v>
      </c>
      <c r="F2182" s="134" t="s">
        <v>3370</v>
      </c>
    </row>
    <row r="2183" spans="1:6">
      <c r="A2183" s="132">
        <v>3800000</v>
      </c>
      <c r="B2183" s="132">
        <v>3800000</v>
      </c>
      <c r="C2183" s="132">
        <v>3800000</v>
      </c>
      <c r="D2183" s="132">
        <v>3800000</v>
      </c>
      <c r="E2183" s="133">
        <v>40601</v>
      </c>
      <c r="F2183" s="134" t="s">
        <v>3371</v>
      </c>
    </row>
    <row r="2184" spans="1:6">
      <c r="A2184" s="132">
        <v>3770000</v>
      </c>
      <c r="B2184" s="132">
        <v>3770000</v>
      </c>
      <c r="C2184" s="132">
        <v>3770000</v>
      </c>
      <c r="D2184" s="132">
        <v>3770000</v>
      </c>
      <c r="E2184" s="133">
        <v>40600</v>
      </c>
      <c r="F2184" s="134" t="s">
        <v>3372</v>
      </c>
    </row>
    <row r="2185" spans="1:6">
      <c r="A2185" s="132">
        <v>3700000</v>
      </c>
      <c r="B2185" s="132">
        <v>3700000</v>
      </c>
      <c r="C2185" s="132">
        <v>3700000</v>
      </c>
      <c r="D2185" s="132">
        <v>3700000</v>
      </c>
      <c r="E2185" s="133">
        <v>40598</v>
      </c>
      <c r="F2185" s="134" t="s">
        <v>3373</v>
      </c>
    </row>
    <row r="2186" spans="1:6">
      <c r="A2186" s="132">
        <v>3665000</v>
      </c>
      <c r="B2186" s="132">
        <v>3665000</v>
      </c>
      <c r="C2186" s="132">
        <v>3665000</v>
      </c>
      <c r="D2186" s="132">
        <v>3665000</v>
      </c>
      <c r="E2186" s="133">
        <v>40597</v>
      </c>
      <c r="F2186" s="134" t="s">
        <v>3374</v>
      </c>
    </row>
    <row r="2187" spans="1:6">
      <c r="A2187" s="132">
        <v>3620000</v>
      </c>
      <c r="B2187" s="132">
        <v>3620000</v>
      </c>
      <c r="C2187" s="132">
        <v>3620000</v>
      </c>
      <c r="D2187" s="132">
        <v>3620000</v>
      </c>
      <c r="E2187" s="133">
        <v>40596</v>
      </c>
      <c r="F2187" s="134" t="s">
        <v>3375</v>
      </c>
    </row>
    <row r="2188" spans="1:6">
      <c r="A2188" s="132">
        <v>3630000</v>
      </c>
      <c r="B2188" s="132">
        <v>3630000</v>
      </c>
      <c r="C2188" s="132">
        <v>3630000</v>
      </c>
      <c r="D2188" s="132">
        <v>3630000</v>
      </c>
      <c r="E2188" s="133">
        <v>40594</v>
      </c>
      <c r="F2188" s="134" t="s">
        <v>3376</v>
      </c>
    </row>
    <row r="2189" spans="1:6">
      <c r="A2189" s="132">
        <v>3610000</v>
      </c>
      <c r="B2189" s="132">
        <v>3610000</v>
      </c>
      <c r="C2189" s="132">
        <v>3610000</v>
      </c>
      <c r="D2189" s="132">
        <v>3610000</v>
      </c>
      <c r="E2189" s="133">
        <v>40593</v>
      </c>
      <c r="F2189" s="134" t="s">
        <v>3377</v>
      </c>
    </row>
    <row r="2190" spans="1:6">
      <c r="A2190" s="132">
        <v>3595000</v>
      </c>
      <c r="B2190" s="132">
        <v>3595000</v>
      </c>
      <c r="C2190" s="132">
        <v>3595000</v>
      </c>
      <c r="D2190" s="132">
        <v>3595000</v>
      </c>
      <c r="E2190" s="133">
        <v>40591</v>
      </c>
      <c r="F2190" s="134" t="s">
        <v>3378</v>
      </c>
    </row>
    <row r="2191" spans="1:6">
      <c r="A2191" s="132">
        <v>3570000</v>
      </c>
      <c r="B2191" s="132">
        <v>3570000</v>
      </c>
      <c r="C2191" s="132">
        <v>3570000</v>
      </c>
      <c r="D2191" s="132">
        <v>3570000</v>
      </c>
      <c r="E2191" s="133">
        <v>40590</v>
      </c>
      <c r="F2191" s="134" t="s">
        <v>3379</v>
      </c>
    </row>
    <row r="2192" spans="1:6">
      <c r="A2192" s="132">
        <v>3570000</v>
      </c>
      <c r="B2192" s="132">
        <v>3570000</v>
      </c>
      <c r="C2192" s="132">
        <v>3570000</v>
      </c>
      <c r="D2192" s="132">
        <v>3570000</v>
      </c>
      <c r="E2192" s="133">
        <v>40589</v>
      </c>
      <c r="F2192" s="134" t="s">
        <v>3380</v>
      </c>
    </row>
    <row r="2193" spans="1:6">
      <c r="A2193" s="132">
        <v>3570000</v>
      </c>
      <c r="B2193" s="132">
        <v>3570000</v>
      </c>
      <c r="C2193" s="132">
        <v>3570000</v>
      </c>
      <c r="D2193" s="132">
        <v>3570000</v>
      </c>
      <c r="E2193" s="133">
        <v>40588</v>
      </c>
      <c r="F2193" s="134" t="s">
        <v>3381</v>
      </c>
    </row>
    <row r="2194" spans="1:6">
      <c r="A2194" s="132">
        <v>3580000</v>
      </c>
      <c r="B2194" s="132">
        <v>3580000</v>
      </c>
      <c r="C2194" s="132">
        <v>3580000</v>
      </c>
      <c r="D2194" s="132">
        <v>3580000</v>
      </c>
      <c r="E2194" s="133">
        <v>40587</v>
      </c>
      <c r="F2194" s="134" t="s">
        <v>3382</v>
      </c>
    </row>
    <row r="2195" spans="1:6">
      <c r="A2195" s="132">
        <v>3580000</v>
      </c>
      <c r="B2195" s="132">
        <v>3580000</v>
      </c>
      <c r="C2195" s="132">
        <v>3580000</v>
      </c>
      <c r="D2195" s="132">
        <v>3580000</v>
      </c>
      <c r="E2195" s="133">
        <v>40586</v>
      </c>
      <c r="F2195" s="134" t="s">
        <v>3383</v>
      </c>
    </row>
    <row r="2196" spans="1:6">
      <c r="A2196" s="132">
        <v>3580000</v>
      </c>
      <c r="B2196" s="132">
        <v>3580000</v>
      </c>
      <c r="C2196" s="132">
        <v>3580000</v>
      </c>
      <c r="D2196" s="132">
        <v>3580000</v>
      </c>
      <c r="E2196" s="133">
        <v>40584</v>
      </c>
      <c r="F2196" s="134" t="s">
        <v>3384</v>
      </c>
    </row>
    <row r="2197" spans="1:6">
      <c r="A2197" s="132">
        <v>3570000</v>
      </c>
      <c r="B2197" s="132">
        <v>3570000</v>
      </c>
      <c r="C2197" s="132">
        <v>3570000</v>
      </c>
      <c r="D2197" s="132">
        <v>3570000</v>
      </c>
      <c r="E2197" s="133">
        <v>40583</v>
      </c>
      <c r="F2197" s="134" t="s">
        <v>3385</v>
      </c>
    </row>
    <row r="2198" spans="1:6">
      <c r="A2198" s="132">
        <v>3580000</v>
      </c>
      <c r="B2198" s="132">
        <v>3580000</v>
      </c>
      <c r="C2198" s="132">
        <v>3580000</v>
      </c>
      <c r="D2198" s="132">
        <v>3580000</v>
      </c>
      <c r="E2198" s="133">
        <v>40582</v>
      </c>
      <c r="F2198" s="134" t="s">
        <v>3386</v>
      </c>
    </row>
    <row r="2199" spans="1:6">
      <c r="A2199" s="132">
        <v>3580000</v>
      </c>
      <c r="B2199" s="132">
        <v>3580000</v>
      </c>
      <c r="C2199" s="132">
        <v>3580000</v>
      </c>
      <c r="D2199" s="132">
        <v>3580000</v>
      </c>
      <c r="E2199" s="133">
        <v>40581</v>
      </c>
      <c r="F2199" s="134" t="s">
        <v>3387</v>
      </c>
    </row>
    <row r="2200" spans="1:6">
      <c r="A2200" s="132">
        <v>3600000</v>
      </c>
      <c r="B2200" s="132">
        <v>3600000</v>
      </c>
      <c r="C2200" s="132">
        <v>3600000</v>
      </c>
      <c r="D2200" s="132">
        <v>3600000</v>
      </c>
      <c r="E2200" s="133">
        <v>40580</v>
      </c>
      <c r="F2200" s="134" t="s">
        <v>3388</v>
      </c>
    </row>
    <row r="2201" spans="1:6">
      <c r="A2201" s="132">
        <v>3570000</v>
      </c>
      <c r="B2201" s="132">
        <v>3570000</v>
      </c>
      <c r="C2201" s="132">
        <v>3570000</v>
      </c>
      <c r="D2201" s="132">
        <v>3570000</v>
      </c>
      <c r="E2201" s="133">
        <v>40579</v>
      </c>
      <c r="F2201" s="134" t="s">
        <v>3389</v>
      </c>
    </row>
    <row r="2202" spans="1:6">
      <c r="A2202" s="132">
        <v>3560000</v>
      </c>
      <c r="B2202" s="132">
        <v>3560000</v>
      </c>
      <c r="C2202" s="132">
        <v>3560000</v>
      </c>
      <c r="D2202" s="132">
        <v>3560000</v>
      </c>
      <c r="E2202" s="133">
        <v>40575</v>
      </c>
      <c r="F2202" s="134" t="s">
        <v>3390</v>
      </c>
    </row>
    <row r="2203" spans="1:6">
      <c r="A2203" s="132">
        <v>3560000</v>
      </c>
      <c r="B2203" s="132">
        <v>3560000</v>
      </c>
      <c r="C2203" s="132">
        <v>3560000</v>
      </c>
      <c r="D2203" s="132">
        <v>3560000</v>
      </c>
      <c r="E2203" s="133">
        <v>40574</v>
      </c>
      <c r="F2203" s="134" t="s">
        <v>3391</v>
      </c>
    </row>
    <row r="2204" spans="1:6">
      <c r="A2204" s="132">
        <v>3560000</v>
      </c>
      <c r="B2204" s="132">
        <v>3560000</v>
      </c>
      <c r="C2204" s="132">
        <v>3560000</v>
      </c>
      <c r="D2204" s="132">
        <v>3560000</v>
      </c>
      <c r="E2204" s="133">
        <v>40573</v>
      </c>
      <c r="F2204" s="134" t="s">
        <v>3392</v>
      </c>
    </row>
    <row r="2205" spans="1:6">
      <c r="A2205" s="132">
        <v>3570000</v>
      </c>
      <c r="B2205" s="132">
        <v>3570000</v>
      </c>
      <c r="C2205" s="132">
        <v>3570000</v>
      </c>
      <c r="D2205" s="132">
        <v>3570000</v>
      </c>
      <c r="E2205" s="133">
        <v>40572</v>
      </c>
      <c r="F2205" s="134" t="s">
        <v>3393</v>
      </c>
    </row>
    <row r="2206" spans="1:6">
      <c r="A2206" s="132">
        <v>3540000</v>
      </c>
      <c r="B2206" s="132">
        <v>3540000</v>
      </c>
      <c r="C2206" s="132">
        <v>3540000</v>
      </c>
      <c r="D2206" s="132">
        <v>3540000</v>
      </c>
      <c r="E2206" s="133">
        <v>40570</v>
      </c>
      <c r="F2206" s="134" t="s">
        <v>3394</v>
      </c>
    </row>
    <row r="2207" spans="1:6">
      <c r="A2207" s="132">
        <v>3560000</v>
      </c>
      <c r="B2207" s="132">
        <v>3560000</v>
      </c>
      <c r="C2207" s="132">
        <v>3560000</v>
      </c>
      <c r="D2207" s="132">
        <v>3560000</v>
      </c>
      <c r="E2207" s="133">
        <v>40569</v>
      </c>
      <c r="F2207" s="134" t="s">
        <v>3395</v>
      </c>
    </row>
    <row r="2208" spans="1:6">
      <c r="A2208" s="132">
        <v>3550000</v>
      </c>
      <c r="B2208" s="132">
        <v>3550000</v>
      </c>
      <c r="C2208" s="132">
        <v>3550000</v>
      </c>
      <c r="D2208" s="132">
        <v>3550000</v>
      </c>
      <c r="E2208" s="133">
        <v>40567</v>
      </c>
      <c r="F2208" s="134" t="s">
        <v>3396</v>
      </c>
    </row>
    <row r="2209" spans="1:6">
      <c r="A2209" s="132">
        <v>3570000</v>
      </c>
      <c r="B2209" s="132">
        <v>3570000</v>
      </c>
      <c r="C2209" s="132">
        <v>3570000</v>
      </c>
      <c r="D2209" s="132">
        <v>3570000</v>
      </c>
      <c r="E2209" s="133">
        <v>40566</v>
      </c>
      <c r="F2209" s="134" t="s">
        <v>3397</v>
      </c>
    </row>
    <row r="2210" spans="1:6">
      <c r="A2210" s="132">
        <v>3600000</v>
      </c>
      <c r="B2210" s="132">
        <v>3600000</v>
      </c>
      <c r="C2210" s="132">
        <v>3600000</v>
      </c>
      <c r="D2210" s="132">
        <v>3600000</v>
      </c>
      <c r="E2210" s="133">
        <v>40565</v>
      </c>
      <c r="F2210" s="134" t="s">
        <v>3398</v>
      </c>
    </row>
    <row r="2211" spans="1:6">
      <c r="A2211" s="132">
        <v>3610000</v>
      </c>
      <c r="B2211" s="132">
        <v>3610000</v>
      </c>
      <c r="C2211" s="132">
        <v>3610000</v>
      </c>
      <c r="D2211" s="132">
        <v>3610000</v>
      </c>
      <c r="E2211" s="133">
        <v>40563</v>
      </c>
      <c r="F2211" s="134" t="s">
        <v>3399</v>
      </c>
    </row>
    <row r="2212" spans="1:6">
      <c r="A2212" s="132">
        <v>3620000</v>
      </c>
      <c r="B2212" s="132">
        <v>3620000</v>
      </c>
      <c r="C2212" s="132">
        <v>3620000</v>
      </c>
      <c r="D2212" s="132">
        <v>3620000</v>
      </c>
      <c r="E2212" s="133">
        <v>40562</v>
      </c>
      <c r="F2212" s="134" t="s">
        <v>3400</v>
      </c>
    </row>
    <row r="2213" spans="1:6">
      <c r="A2213" s="132">
        <v>3600000</v>
      </c>
      <c r="B2213" s="132">
        <v>3600000</v>
      </c>
      <c r="C2213" s="132">
        <v>3600000</v>
      </c>
      <c r="D2213" s="132">
        <v>3600000</v>
      </c>
      <c r="E2213" s="133">
        <v>40561</v>
      </c>
      <c r="F2213" s="134" t="s">
        <v>3401</v>
      </c>
    </row>
    <row r="2214" spans="1:6">
      <c r="A2214" s="132">
        <v>3610000</v>
      </c>
      <c r="B2214" s="132">
        <v>3610000</v>
      </c>
      <c r="C2214" s="132">
        <v>3610000</v>
      </c>
      <c r="D2214" s="132">
        <v>3610000</v>
      </c>
      <c r="E2214" s="133">
        <v>40560</v>
      </c>
      <c r="F2214" s="134" t="s">
        <v>3402</v>
      </c>
    </row>
    <row r="2215" spans="1:6">
      <c r="A2215" s="132">
        <v>3600000</v>
      </c>
      <c r="B2215" s="132">
        <v>3600000</v>
      </c>
      <c r="C2215" s="132">
        <v>3600000</v>
      </c>
      <c r="D2215" s="132">
        <v>3600000</v>
      </c>
      <c r="E2215" s="133">
        <v>40559</v>
      </c>
      <c r="F2215" s="134" t="s">
        <v>3403</v>
      </c>
    </row>
    <row r="2216" spans="1:6">
      <c r="A2216" s="132">
        <v>3650000</v>
      </c>
      <c r="B2216" s="132">
        <v>3650000</v>
      </c>
      <c r="C2216" s="132">
        <v>3650000</v>
      </c>
      <c r="D2216" s="132">
        <v>3650000</v>
      </c>
      <c r="E2216" s="133">
        <v>40558</v>
      </c>
      <c r="F2216" s="134" t="s">
        <v>3404</v>
      </c>
    </row>
    <row r="2217" spans="1:6">
      <c r="A2217" s="132">
        <v>3670000</v>
      </c>
      <c r="B2217" s="132">
        <v>3670000</v>
      </c>
      <c r="C2217" s="132">
        <v>3670000</v>
      </c>
      <c r="D2217" s="132">
        <v>3670000</v>
      </c>
      <c r="E2217" s="133">
        <v>40556</v>
      </c>
      <c r="F2217" s="134" t="s">
        <v>3405</v>
      </c>
    </row>
    <row r="2218" spans="1:6">
      <c r="A2218" s="132">
        <v>3625000</v>
      </c>
      <c r="B2218" s="132">
        <v>3625000</v>
      </c>
      <c r="C2218" s="132">
        <v>3625000</v>
      </c>
      <c r="D2218" s="132">
        <v>3625000</v>
      </c>
      <c r="E2218" s="133">
        <v>40555</v>
      </c>
      <c r="F2218" s="134" t="s">
        <v>3406</v>
      </c>
    </row>
    <row r="2219" spans="1:6">
      <c r="A2219" s="132">
        <v>3610000</v>
      </c>
      <c r="B2219" s="132">
        <v>3610000</v>
      </c>
      <c r="C2219" s="132">
        <v>3610000</v>
      </c>
      <c r="D2219" s="132">
        <v>3610000</v>
      </c>
      <c r="E2219" s="133">
        <v>40554</v>
      </c>
      <c r="F2219" s="134" t="s">
        <v>3407</v>
      </c>
    </row>
    <row r="2220" spans="1:6">
      <c r="A2220" s="132">
        <v>3590000</v>
      </c>
      <c r="B2220" s="132">
        <v>3590000</v>
      </c>
      <c r="C2220" s="132">
        <v>3590000</v>
      </c>
      <c r="D2220" s="132">
        <v>3590000</v>
      </c>
      <c r="E2220" s="133">
        <v>40553</v>
      </c>
      <c r="F2220" s="134" t="s">
        <v>3408</v>
      </c>
    </row>
    <row r="2221" spans="1:6">
      <c r="A2221" s="132">
        <v>3580000</v>
      </c>
      <c r="B2221" s="132">
        <v>3580000</v>
      </c>
      <c r="C2221" s="132">
        <v>3580000</v>
      </c>
      <c r="D2221" s="132">
        <v>3580000</v>
      </c>
      <c r="E2221" s="133">
        <v>40552</v>
      </c>
      <c r="F2221" s="134" t="s">
        <v>3409</v>
      </c>
    </row>
    <row r="2222" spans="1:6">
      <c r="A2222" s="132">
        <v>3600000</v>
      </c>
      <c r="B2222" s="132">
        <v>3600000</v>
      </c>
      <c r="C2222" s="132">
        <v>3600000</v>
      </c>
      <c r="D2222" s="132">
        <v>3600000</v>
      </c>
      <c r="E2222" s="133">
        <v>40551</v>
      </c>
      <c r="F2222" s="134" t="s">
        <v>3410</v>
      </c>
    </row>
    <row r="2223" spans="1:6">
      <c r="A2223" s="132">
        <v>3600000</v>
      </c>
      <c r="B2223" s="132">
        <v>3600000</v>
      </c>
      <c r="C2223" s="132">
        <v>3600000</v>
      </c>
      <c r="D2223" s="132">
        <v>3600000</v>
      </c>
      <c r="E2223" s="133">
        <v>40549</v>
      </c>
      <c r="F2223" s="134" t="s">
        <v>3411</v>
      </c>
    </row>
    <row r="2224" spans="1:6">
      <c r="A2224" s="132">
        <v>3640000</v>
      </c>
      <c r="B2224" s="132">
        <v>3640000</v>
      </c>
      <c r="C2224" s="132">
        <v>3640000</v>
      </c>
      <c r="D2224" s="132">
        <v>3640000</v>
      </c>
      <c r="E2224" s="133">
        <v>40548</v>
      </c>
      <c r="F2224" s="134" t="s">
        <v>3412</v>
      </c>
    </row>
    <row r="2225" spans="1:6">
      <c r="A2225" s="132">
        <v>3620000</v>
      </c>
      <c r="B2225" s="132">
        <v>3620000</v>
      </c>
      <c r="C2225" s="132">
        <v>3620000</v>
      </c>
      <c r="D2225" s="132">
        <v>3620000</v>
      </c>
      <c r="E2225" s="133">
        <v>40547</v>
      </c>
      <c r="F2225" s="134" t="s">
        <v>3413</v>
      </c>
    </row>
    <row r="2226" spans="1:6">
      <c r="A2226" s="132">
        <v>3640000</v>
      </c>
      <c r="B2226" s="132">
        <v>3640000</v>
      </c>
      <c r="C2226" s="132">
        <v>3640000</v>
      </c>
      <c r="D2226" s="132">
        <v>3640000</v>
      </c>
      <c r="E2226" s="133">
        <v>40546</v>
      </c>
      <c r="F2226" s="134" t="s">
        <v>3414</v>
      </c>
    </row>
    <row r="2227" spans="1:6">
      <c r="A2227" s="132">
        <v>3660000</v>
      </c>
      <c r="B2227" s="132">
        <v>3660000</v>
      </c>
      <c r="C2227" s="132">
        <v>3660000</v>
      </c>
      <c r="D2227" s="132">
        <v>3660000</v>
      </c>
      <c r="E2227" s="133">
        <v>40545</v>
      </c>
      <c r="F2227" s="134" t="s">
        <v>3415</v>
      </c>
    </row>
    <row r="2228" spans="1:6">
      <c r="A2228" s="132">
        <v>3650000</v>
      </c>
      <c r="B2228" s="132">
        <v>3650000</v>
      </c>
      <c r="C2228" s="132">
        <v>3650000</v>
      </c>
      <c r="D2228" s="132">
        <v>3650000</v>
      </c>
      <c r="E2228" s="133">
        <v>40544</v>
      </c>
      <c r="F2228" s="134" t="s">
        <v>3416</v>
      </c>
    </row>
    <row r="2229" spans="1:6">
      <c r="A2229" s="132">
        <v>3600000</v>
      </c>
      <c r="B2229" s="132">
        <v>3600000</v>
      </c>
      <c r="C2229" s="132">
        <v>3600000</v>
      </c>
      <c r="D2229" s="132">
        <v>3600000</v>
      </c>
      <c r="E2229" s="133">
        <v>40542</v>
      </c>
      <c r="F2229" s="134" t="s">
        <v>3417</v>
      </c>
    </row>
    <row r="2230" spans="1:6">
      <c r="A2230" s="132">
        <v>3550000</v>
      </c>
      <c r="B2230" s="132">
        <v>3550000</v>
      </c>
      <c r="C2230" s="132">
        <v>3550000</v>
      </c>
      <c r="D2230" s="132">
        <v>3550000</v>
      </c>
      <c r="E2230" s="133">
        <v>40541</v>
      </c>
      <c r="F2230" s="134" t="s">
        <v>3418</v>
      </c>
    </row>
    <row r="2231" spans="1:6">
      <c r="A2231" s="132">
        <v>3530000</v>
      </c>
      <c r="B2231" s="132">
        <v>3530000</v>
      </c>
      <c r="C2231" s="132">
        <v>3530000</v>
      </c>
      <c r="D2231" s="132">
        <v>3530000</v>
      </c>
      <c r="E2231" s="133">
        <v>40540</v>
      </c>
      <c r="F2231" s="134" t="s">
        <v>3419</v>
      </c>
    </row>
    <row r="2232" spans="1:6">
      <c r="A2232" s="132">
        <v>3510000</v>
      </c>
      <c r="B2232" s="132">
        <v>3510000</v>
      </c>
      <c r="C2232" s="132">
        <v>3510000</v>
      </c>
      <c r="D2232" s="132">
        <v>3510000</v>
      </c>
      <c r="E2232" s="133">
        <v>40539</v>
      </c>
      <c r="F2232" s="134" t="s">
        <v>3420</v>
      </c>
    </row>
    <row r="2233" spans="1:6">
      <c r="A2233" s="132">
        <v>3500000</v>
      </c>
      <c r="B2233" s="132">
        <v>3500000</v>
      </c>
      <c r="C2233" s="132">
        <v>3500000</v>
      </c>
      <c r="D2233" s="132">
        <v>3500000</v>
      </c>
      <c r="E2233" s="133">
        <v>40538</v>
      </c>
      <c r="F2233" s="134" t="s">
        <v>3421</v>
      </c>
    </row>
    <row r="2234" spans="1:6">
      <c r="A2234" s="132">
        <v>3500000</v>
      </c>
      <c r="B2234" s="132">
        <v>3500000</v>
      </c>
      <c r="C2234" s="132">
        <v>3500000</v>
      </c>
      <c r="D2234" s="132">
        <v>3500000</v>
      </c>
      <c r="E2234" s="133">
        <v>40537</v>
      </c>
      <c r="F2234" s="134" t="s">
        <v>3422</v>
      </c>
    </row>
    <row r="2235" spans="1:6">
      <c r="A2235" s="132">
        <v>3500000</v>
      </c>
      <c r="B2235" s="132">
        <v>3500000</v>
      </c>
      <c r="C2235" s="132">
        <v>3500000</v>
      </c>
      <c r="D2235" s="132">
        <v>3500000</v>
      </c>
      <c r="E2235" s="133">
        <v>40535</v>
      </c>
      <c r="F2235" s="134" t="s">
        <v>3423</v>
      </c>
    </row>
    <row r="2236" spans="1:6">
      <c r="A2236" s="132">
        <v>3480000</v>
      </c>
      <c r="B2236" s="132">
        <v>3480000</v>
      </c>
      <c r="C2236" s="132">
        <v>3480000</v>
      </c>
      <c r="D2236" s="132">
        <v>3480000</v>
      </c>
      <c r="E2236" s="133">
        <v>40534</v>
      </c>
      <c r="F2236" s="134" t="s">
        <v>3424</v>
      </c>
    </row>
    <row r="2237" spans="1:6">
      <c r="A2237" s="132">
        <v>3490000</v>
      </c>
      <c r="B2237" s="132">
        <v>3490000</v>
      </c>
      <c r="C2237" s="132">
        <v>3490000</v>
      </c>
      <c r="D2237" s="132">
        <v>3490000</v>
      </c>
      <c r="E2237" s="133">
        <v>40533</v>
      </c>
      <c r="F2237" s="134" t="s">
        <v>3425</v>
      </c>
    </row>
    <row r="2238" spans="1:6">
      <c r="A2238" s="132">
        <v>3470000</v>
      </c>
      <c r="B2238" s="132">
        <v>3470000</v>
      </c>
      <c r="C2238" s="132">
        <v>3470000</v>
      </c>
      <c r="D2238" s="132">
        <v>3470000</v>
      </c>
      <c r="E2238" s="133">
        <v>40532</v>
      </c>
      <c r="F2238" s="134" t="s">
        <v>3426</v>
      </c>
    </row>
    <row r="2239" spans="1:6">
      <c r="A2239" s="132">
        <v>3470000</v>
      </c>
      <c r="B2239" s="132">
        <v>3470000</v>
      </c>
      <c r="C2239" s="132">
        <v>3470000</v>
      </c>
      <c r="D2239" s="132">
        <v>3470000</v>
      </c>
      <c r="E2239" s="133">
        <v>40531</v>
      </c>
      <c r="F2239" s="134" t="s">
        <v>3427</v>
      </c>
    </row>
    <row r="2240" spans="1:6">
      <c r="A2240" s="132">
        <v>3490000</v>
      </c>
      <c r="B2240" s="132">
        <v>3490000</v>
      </c>
      <c r="C2240" s="132">
        <v>3490000</v>
      </c>
      <c r="D2240" s="132">
        <v>3490000</v>
      </c>
      <c r="E2240" s="133">
        <v>40530</v>
      </c>
      <c r="F2240" s="134" t="s">
        <v>3428</v>
      </c>
    </row>
    <row r="2241" spans="1:6">
      <c r="A2241" s="132">
        <v>3480000</v>
      </c>
      <c r="B2241" s="132">
        <v>3480000</v>
      </c>
      <c r="C2241" s="132">
        <v>3480000</v>
      </c>
      <c r="D2241" s="132">
        <v>3480000</v>
      </c>
      <c r="E2241" s="133">
        <v>40526</v>
      </c>
      <c r="F2241" s="134" t="s">
        <v>3429</v>
      </c>
    </row>
    <row r="2242" spans="1:6">
      <c r="A2242" s="132">
        <v>3480000</v>
      </c>
      <c r="B2242" s="132">
        <v>3480000</v>
      </c>
      <c r="C2242" s="132">
        <v>3480000</v>
      </c>
      <c r="D2242" s="132">
        <v>3480000</v>
      </c>
      <c r="E2242" s="133">
        <v>40525</v>
      </c>
      <c r="F2242" s="134" t="s">
        <v>3430</v>
      </c>
    </row>
    <row r="2243" spans="1:6">
      <c r="A2243" s="132">
        <v>3480000</v>
      </c>
      <c r="B2243" s="132">
        <v>3480000</v>
      </c>
      <c r="C2243" s="132">
        <v>3480000</v>
      </c>
      <c r="D2243" s="132">
        <v>3480000</v>
      </c>
      <c r="E2243" s="133">
        <v>40524</v>
      </c>
      <c r="F2243" s="134" t="s">
        <v>3431</v>
      </c>
    </row>
    <row r="2244" spans="1:6">
      <c r="A2244" s="132">
        <v>3470000</v>
      </c>
      <c r="B2244" s="132">
        <v>3470000</v>
      </c>
      <c r="C2244" s="132">
        <v>3470000</v>
      </c>
      <c r="D2244" s="132">
        <v>3470000</v>
      </c>
      <c r="E2244" s="133">
        <v>40522</v>
      </c>
      <c r="F2244" s="134" t="s">
        <v>3432</v>
      </c>
    </row>
    <row r="2245" spans="1:6">
      <c r="A2245" s="132">
        <v>3500000</v>
      </c>
      <c r="B2245" s="132">
        <v>3500000</v>
      </c>
      <c r="C2245" s="132">
        <v>3500000</v>
      </c>
      <c r="D2245" s="132">
        <v>3500000</v>
      </c>
      <c r="E2245" s="133">
        <v>40521</v>
      </c>
      <c r="F2245" s="134" t="s">
        <v>3433</v>
      </c>
    </row>
    <row r="2246" spans="1:6">
      <c r="A2246" s="132">
        <v>3510000</v>
      </c>
      <c r="B2246" s="132">
        <v>3510000</v>
      </c>
      <c r="C2246" s="132">
        <v>3510000</v>
      </c>
      <c r="D2246" s="132">
        <v>3510000</v>
      </c>
      <c r="E2246" s="133">
        <v>40520</v>
      </c>
      <c r="F2246" s="134" t="s">
        <v>3434</v>
      </c>
    </row>
    <row r="2247" spans="1:6">
      <c r="A2247" s="132">
        <v>3490000</v>
      </c>
      <c r="B2247" s="132">
        <v>3490000</v>
      </c>
      <c r="C2247" s="132">
        <v>3490000</v>
      </c>
      <c r="D2247" s="132">
        <v>3490000</v>
      </c>
      <c r="E2247" s="133">
        <v>40519</v>
      </c>
      <c r="F2247" s="134" t="s">
        <v>3435</v>
      </c>
    </row>
    <row r="2248" spans="1:6">
      <c r="A2248" s="132">
        <v>3490000</v>
      </c>
      <c r="B2248" s="132">
        <v>3490000</v>
      </c>
      <c r="C2248" s="132">
        <v>3490000</v>
      </c>
      <c r="D2248" s="132">
        <v>3490000</v>
      </c>
      <c r="E2248" s="133">
        <v>40518</v>
      </c>
      <c r="F2248" s="134" t="s">
        <v>3436</v>
      </c>
    </row>
    <row r="2249" spans="1:6">
      <c r="A2249" s="132">
        <v>3500000</v>
      </c>
      <c r="B2249" s="132">
        <v>3500000</v>
      </c>
      <c r="C2249" s="132">
        <v>3500000</v>
      </c>
      <c r="D2249" s="132">
        <v>3500000</v>
      </c>
      <c r="E2249" s="133">
        <v>40517</v>
      </c>
      <c r="F2249" s="134" t="s">
        <v>3437</v>
      </c>
    </row>
    <row r="2250" spans="1:6">
      <c r="A2250" s="132">
        <v>3410000</v>
      </c>
      <c r="B2250" s="132">
        <v>3410000</v>
      </c>
      <c r="C2250" s="132">
        <v>3410000</v>
      </c>
      <c r="D2250" s="132">
        <v>3410000</v>
      </c>
      <c r="E2250" s="133">
        <v>40513</v>
      </c>
      <c r="F2250" s="134" t="s">
        <v>3438</v>
      </c>
    </row>
    <row r="2251" spans="1:6">
      <c r="A2251" s="132">
        <v>3410000</v>
      </c>
      <c r="B2251" s="132">
        <v>3410000</v>
      </c>
      <c r="C2251" s="132">
        <v>3410000</v>
      </c>
      <c r="D2251" s="132">
        <v>3410000</v>
      </c>
      <c r="E2251" s="133">
        <v>40512</v>
      </c>
      <c r="F2251" s="134" t="s">
        <v>3439</v>
      </c>
    </row>
    <row r="2252" spans="1:6">
      <c r="A2252" s="132">
        <v>3400000</v>
      </c>
      <c r="B2252" s="132">
        <v>3400000</v>
      </c>
      <c r="C2252" s="132">
        <v>3400000</v>
      </c>
      <c r="D2252" s="132">
        <v>3400000</v>
      </c>
      <c r="E2252" s="133">
        <v>40511</v>
      </c>
      <c r="F2252" s="134" t="s">
        <v>3440</v>
      </c>
    </row>
    <row r="2253" spans="1:6">
      <c r="A2253" s="132">
        <v>3400000</v>
      </c>
      <c r="B2253" s="132">
        <v>3400000</v>
      </c>
      <c r="C2253" s="132">
        <v>3400000</v>
      </c>
      <c r="D2253" s="132">
        <v>3400000</v>
      </c>
      <c r="E2253" s="133">
        <v>40510</v>
      </c>
      <c r="F2253" s="134" t="s">
        <v>3441</v>
      </c>
    </row>
    <row r="2254" spans="1:6">
      <c r="A2254" s="132">
        <v>3420000</v>
      </c>
      <c r="B2254" s="132">
        <v>3420000</v>
      </c>
      <c r="C2254" s="132">
        <v>3420000</v>
      </c>
      <c r="D2254" s="132">
        <v>3420000</v>
      </c>
      <c r="E2254" s="133">
        <v>40509</v>
      </c>
      <c r="F2254" s="134" t="s">
        <v>3442</v>
      </c>
    </row>
    <row r="2255" spans="1:6">
      <c r="A2255" s="132">
        <v>3410000</v>
      </c>
      <c r="B2255" s="132">
        <v>3410000</v>
      </c>
      <c r="C2255" s="132">
        <v>3410000</v>
      </c>
      <c r="D2255" s="132">
        <v>3410000</v>
      </c>
      <c r="E2255" s="133">
        <v>40506</v>
      </c>
      <c r="F2255" s="134" t="s">
        <v>3443</v>
      </c>
    </row>
    <row r="2256" spans="1:6">
      <c r="A2256" s="132">
        <v>3410000</v>
      </c>
      <c r="B2256" s="132">
        <v>3410000</v>
      </c>
      <c r="C2256" s="132">
        <v>3410000</v>
      </c>
      <c r="D2256" s="132">
        <v>3410000</v>
      </c>
      <c r="E2256" s="133">
        <v>40505</v>
      </c>
      <c r="F2256" s="134" t="s">
        <v>3444</v>
      </c>
    </row>
    <row r="2257" spans="1:6">
      <c r="A2257" s="132">
        <v>3400000</v>
      </c>
      <c r="B2257" s="132">
        <v>3400000</v>
      </c>
      <c r="C2257" s="132">
        <v>3400000</v>
      </c>
      <c r="D2257" s="132">
        <v>3400000</v>
      </c>
      <c r="E2257" s="133">
        <v>40504</v>
      </c>
      <c r="F2257" s="134" t="s">
        <v>3445</v>
      </c>
    </row>
    <row r="2258" spans="1:6">
      <c r="A2258" s="132">
        <v>3410000</v>
      </c>
      <c r="B2258" s="132">
        <v>3410000</v>
      </c>
      <c r="C2258" s="132">
        <v>3410000</v>
      </c>
      <c r="D2258" s="132">
        <v>3410000</v>
      </c>
      <c r="E2258" s="133">
        <v>40502</v>
      </c>
      <c r="F2258" s="134" t="s">
        <v>3446</v>
      </c>
    </row>
    <row r="2259" spans="1:6">
      <c r="A2259" s="132">
        <v>3420000</v>
      </c>
      <c r="B2259" s="132">
        <v>3420000</v>
      </c>
      <c r="C2259" s="132">
        <v>3420000</v>
      </c>
      <c r="D2259" s="132">
        <v>3420000</v>
      </c>
      <c r="E2259" s="133">
        <v>40500</v>
      </c>
      <c r="F2259" s="134" t="s">
        <v>3447</v>
      </c>
    </row>
    <row r="2260" spans="1:6">
      <c r="A2260" s="132">
        <v>3420000</v>
      </c>
      <c r="B2260" s="132">
        <v>3420000</v>
      </c>
      <c r="C2260" s="132">
        <v>3420000</v>
      </c>
      <c r="D2260" s="132">
        <v>3420000</v>
      </c>
      <c r="E2260" s="133">
        <v>40498</v>
      </c>
      <c r="F2260" s="134" t="s">
        <v>3448</v>
      </c>
    </row>
    <row r="2261" spans="1:6">
      <c r="A2261" s="132">
        <v>3420000</v>
      </c>
      <c r="B2261" s="132">
        <v>3420000</v>
      </c>
      <c r="C2261" s="132">
        <v>3420000</v>
      </c>
      <c r="D2261" s="132">
        <v>3420000</v>
      </c>
      <c r="E2261" s="133">
        <v>40497</v>
      </c>
      <c r="F2261" s="134" t="s">
        <v>3449</v>
      </c>
    </row>
    <row r="2262" spans="1:6">
      <c r="A2262" s="132">
        <v>3410000</v>
      </c>
      <c r="B2262" s="132">
        <v>3410000</v>
      </c>
      <c r="C2262" s="132">
        <v>3410000</v>
      </c>
      <c r="D2262" s="132">
        <v>3410000</v>
      </c>
      <c r="E2262" s="133">
        <v>40496</v>
      </c>
      <c r="F2262" s="134" t="s">
        <v>3450</v>
      </c>
    </row>
    <row r="2263" spans="1:6">
      <c r="A2263" s="132">
        <v>3480000</v>
      </c>
      <c r="B2263" s="132">
        <v>3480000</v>
      </c>
      <c r="C2263" s="132">
        <v>3480000</v>
      </c>
      <c r="D2263" s="132">
        <v>3480000</v>
      </c>
      <c r="E2263" s="133">
        <v>40495</v>
      </c>
      <c r="F2263" s="134" t="s">
        <v>3451</v>
      </c>
    </row>
    <row r="2264" spans="1:6">
      <c r="A2264" s="132">
        <v>3470000</v>
      </c>
      <c r="B2264" s="132">
        <v>3470000</v>
      </c>
      <c r="C2264" s="132">
        <v>3470000</v>
      </c>
      <c r="D2264" s="132">
        <v>3470000</v>
      </c>
      <c r="E2264" s="133">
        <v>40493</v>
      </c>
      <c r="F2264" s="134" t="s">
        <v>3452</v>
      </c>
    </row>
    <row r="2265" spans="1:6">
      <c r="A2265" s="132">
        <v>3500000</v>
      </c>
      <c r="B2265" s="132">
        <v>3500000</v>
      </c>
      <c r="C2265" s="132">
        <v>3500000</v>
      </c>
      <c r="D2265" s="132">
        <v>3500000</v>
      </c>
      <c r="E2265" s="133">
        <v>40492</v>
      </c>
      <c r="F2265" s="134" t="s">
        <v>3453</v>
      </c>
    </row>
    <row r="2266" spans="1:6">
      <c r="A2266" s="132">
        <v>3460000</v>
      </c>
      <c r="B2266" s="132">
        <v>3460000</v>
      </c>
      <c r="C2266" s="132">
        <v>3460000</v>
      </c>
      <c r="D2266" s="132">
        <v>3460000</v>
      </c>
      <c r="E2266" s="133">
        <v>40491</v>
      </c>
      <c r="F2266" s="134" t="s">
        <v>3454</v>
      </c>
    </row>
    <row r="2267" spans="1:6">
      <c r="A2267" s="132">
        <v>3460000</v>
      </c>
      <c r="B2267" s="132">
        <v>3460000</v>
      </c>
      <c r="C2267" s="132">
        <v>3460000</v>
      </c>
      <c r="D2267" s="132">
        <v>3460000</v>
      </c>
      <c r="E2267" s="133">
        <v>40490</v>
      </c>
      <c r="F2267" s="134" t="s">
        <v>3455</v>
      </c>
    </row>
    <row r="2268" spans="1:6">
      <c r="A2268" s="132">
        <v>3460000</v>
      </c>
      <c r="B2268" s="132">
        <v>3460000</v>
      </c>
      <c r="C2268" s="132">
        <v>3460000</v>
      </c>
      <c r="D2268" s="132">
        <v>3460000</v>
      </c>
      <c r="E2268" s="133">
        <v>40489</v>
      </c>
      <c r="F2268" s="134" t="s">
        <v>3456</v>
      </c>
    </row>
    <row r="2269" spans="1:6">
      <c r="A2269" s="132">
        <v>3380000</v>
      </c>
      <c r="B2269" s="132">
        <v>3380000</v>
      </c>
      <c r="C2269" s="132">
        <v>3380000</v>
      </c>
      <c r="D2269" s="132">
        <v>3380000</v>
      </c>
      <c r="E2269" s="133">
        <v>40488</v>
      </c>
      <c r="F2269" s="134" t="s">
        <v>3457</v>
      </c>
    </row>
    <row r="2270" spans="1:6">
      <c r="A2270" s="132">
        <v>3390000</v>
      </c>
      <c r="B2270" s="132">
        <v>3390000</v>
      </c>
      <c r="C2270" s="132">
        <v>3390000</v>
      </c>
      <c r="D2270" s="132">
        <v>3390000</v>
      </c>
      <c r="E2270" s="133">
        <v>40486</v>
      </c>
      <c r="F2270" s="134" t="s">
        <v>3458</v>
      </c>
    </row>
    <row r="2271" spans="1:6">
      <c r="A2271" s="132">
        <v>3400000</v>
      </c>
      <c r="B2271" s="132">
        <v>3400000</v>
      </c>
      <c r="C2271" s="132">
        <v>3400000</v>
      </c>
      <c r="D2271" s="132">
        <v>3400000</v>
      </c>
      <c r="E2271" s="133">
        <v>40485</v>
      </c>
      <c r="F2271" s="134" t="s">
        <v>3459</v>
      </c>
    </row>
    <row r="2272" spans="1:6">
      <c r="A2272" s="132">
        <v>3400000</v>
      </c>
      <c r="B2272" s="132">
        <v>3400000</v>
      </c>
      <c r="C2272" s="132">
        <v>3400000</v>
      </c>
      <c r="D2272" s="132">
        <v>3400000</v>
      </c>
      <c r="E2272" s="133">
        <v>40484</v>
      </c>
      <c r="F2272" s="134" t="s">
        <v>3460</v>
      </c>
    </row>
    <row r="2273" spans="1:6">
      <c r="A2273" s="132">
        <v>3400000</v>
      </c>
      <c r="B2273" s="132">
        <v>3400000</v>
      </c>
      <c r="C2273" s="132">
        <v>3400000</v>
      </c>
      <c r="D2273" s="132">
        <v>3400000</v>
      </c>
      <c r="E2273" s="133">
        <v>40483</v>
      </c>
      <c r="F2273" s="134" t="s">
        <v>3461</v>
      </c>
    </row>
    <row r="2274" spans="1:6">
      <c r="A2274" s="132">
        <v>3420000</v>
      </c>
      <c r="B2274" s="132">
        <v>3420000</v>
      </c>
      <c r="C2274" s="132">
        <v>3420000</v>
      </c>
      <c r="D2274" s="132">
        <v>3420000</v>
      </c>
      <c r="E2274" s="133">
        <v>40482</v>
      </c>
      <c r="F2274" s="134" t="s">
        <v>3462</v>
      </c>
    </row>
    <row r="2275" spans="1:6">
      <c r="A2275" s="132">
        <v>3340000</v>
      </c>
      <c r="B2275" s="132">
        <v>3340000</v>
      </c>
      <c r="C2275" s="132">
        <v>3340000</v>
      </c>
      <c r="D2275" s="132">
        <v>3340000</v>
      </c>
      <c r="E2275" s="133">
        <v>40481</v>
      </c>
      <c r="F2275" s="134" t="s">
        <v>3463</v>
      </c>
    </row>
    <row r="2276" spans="1:6">
      <c r="A2276" s="132">
        <v>3350000</v>
      </c>
      <c r="B2276" s="132">
        <v>3350000</v>
      </c>
      <c r="C2276" s="132">
        <v>3350000</v>
      </c>
      <c r="D2276" s="132">
        <v>3350000</v>
      </c>
      <c r="E2276" s="133">
        <v>40479</v>
      </c>
      <c r="F2276" s="134" t="s">
        <v>3464</v>
      </c>
    </row>
    <row r="2277" spans="1:6">
      <c r="A2277" s="132">
        <v>3360000</v>
      </c>
      <c r="B2277" s="132">
        <v>3360000</v>
      </c>
      <c r="C2277" s="132">
        <v>3360000</v>
      </c>
      <c r="D2277" s="132">
        <v>3360000</v>
      </c>
      <c r="E2277" s="133">
        <v>40478</v>
      </c>
      <c r="F2277" s="134" t="s">
        <v>3465</v>
      </c>
    </row>
    <row r="2278" spans="1:6">
      <c r="A2278" s="132">
        <v>3360000</v>
      </c>
      <c r="B2278" s="132">
        <v>3360000</v>
      </c>
      <c r="C2278" s="132">
        <v>3360000</v>
      </c>
      <c r="D2278" s="132">
        <v>3360000</v>
      </c>
      <c r="E2278" s="133">
        <v>40477</v>
      </c>
      <c r="F2278" s="134" t="s">
        <v>3466</v>
      </c>
    </row>
    <row r="2279" spans="1:6">
      <c r="A2279" s="132">
        <v>3350000</v>
      </c>
      <c r="B2279" s="132">
        <v>3350000</v>
      </c>
      <c r="C2279" s="132">
        <v>3350000</v>
      </c>
      <c r="D2279" s="132">
        <v>3350000</v>
      </c>
      <c r="E2279" s="133">
        <v>40476</v>
      </c>
      <c r="F2279" s="134" t="s">
        <v>3467</v>
      </c>
    </row>
    <row r="2280" spans="1:6">
      <c r="A2280" s="132">
        <v>3350000</v>
      </c>
      <c r="B2280" s="132">
        <v>3350000</v>
      </c>
      <c r="C2280" s="132">
        <v>3350000</v>
      </c>
      <c r="D2280" s="132">
        <v>3350000</v>
      </c>
      <c r="E2280" s="133">
        <v>40475</v>
      </c>
      <c r="F2280" s="134" t="s">
        <v>3468</v>
      </c>
    </row>
    <row r="2281" spans="1:6">
      <c r="A2281" s="132">
        <v>3420000</v>
      </c>
      <c r="B2281" s="132">
        <v>3420000</v>
      </c>
      <c r="C2281" s="132">
        <v>3420000</v>
      </c>
      <c r="D2281" s="132">
        <v>3420000</v>
      </c>
      <c r="E2281" s="133">
        <v>40474</v>
      </c>
      <c r="F2281" s="134" t="s">
        <v>3469</v>
      </c>
    </row>
    <row r="2282" spans="1:6">
      <c r="A2282" s="132">
        <v>3460000</v>
      </c>
      <c r="B2282" s="132">
        <v>3460000</v>
      </c>
      <c r="C2282" s="132">
        <v>3460000</v>
      </c>
      <c r="D2282" s="132">
        <v>3460000</v>
      </c>
      <c r="E2282" s="133">
        <v>40471</v>
      </c>
      <c r="F2282" s="134" t="s">
        <v>3470</v>
      </c>
    </row>
    <row r="2283" spans="1:6">
      <c r="A2283" s="132">
        <v>3450000</v>
      </c>
      <c r="B2283" s="132">
        <v>3450000</v>
      </c>
      <c r="C2283" s="132">
        <v>3450000</v>
      </c>
      <c r="D2283" s="132">
        <v>3450000</v>
      </c>
      <c r="E2283" s="133">
        <v>40470</v>
      </c>
      <c r="F2283" s="134" t="s">
        <v>3471</v>
      </c>
    </row>
    <row r="2284" spans="1:6">
      <c r="A2284" s="132">
        <v>3460000</v>
      </c>
      <c r="B2284" s="132">
        <v>3460000</v>
      </c>
      <c r="C2284" s="132">
        <v>3460000</v>
      </c>
      <c r="D2284" s="132">
        <v>3460000</v>
      </c>
      <c r="E2284" s="133">
        <v>40469</v>
      </c>
      <c r="F2284" s="134" t="s">
        <v>3472</v>
      </c>
    </row>
    <row r="2285" spans="1:6">
      <c r="A2285" s="132">
        <v>3450000</v>
      </c>
      <c r="B2285" s="132">
        <v>3450000</v>
      </c>
      <c r="C2285" s="132">
        <v>3450000</v>
      </c>
      <c r="D2285" s="132">
        <v>3450000</v>
      </c>
      <c r="E2285" s="133">
        <v>40468</v>
      </c>
      <c r="F2285" s="134" t="s">
        <v>3473</v>
      </c>
    </row>
    <row r="2286" spans="1:6">
      <c r="A2286" s="132">
        <v>3520000</v>
      </c>
      <c r="B2286" s="132">
        <v>3520000</v>
      </c>
      <c r="C2286" s="132">
        <v>3520000</v>
      </c>
      <c r="D2286" s="132">
        <v>3520000</v>
      </c>
      <c r="E2286" s="133">
        <v>40467</v>
      </c>
      <c r="F2286" s="134" t="s">
        <v>3474</v>
      </c>
    </row>
    <row r="2287" spans="1:6">
      <c r="A2287" s="132">
        <v>3450000</v>
      </c>
      <c r="B2287" s="132">
        <v>3450000</v>
      </c>
      <c r="C2287" s="132">
        <v>3450000</v>
      </c>
      <c r="D2287" s="132">
        <v>3450000</v>
      </c>
      <c r="E2287" s="133">
        <v>40465</v>
      </c>
      <c r="F2287" s="134" t="s">
        <v>3475</v>
      </c>
    </row>
    <row r="2288" spans="1:6">
      <c r="A2288" s="132">
        <v>3450000</v>
      </c>
      <c r="B2288" s="132">
        <v>3450000</v>
      </c>
      <c r="C2288" s="132">
        <v>3450000</v>
      </c>
      <c r="D2288" s="132">
        <v>3450000</v>
      </c>
      <c r="E2288" s="133">
        <v>40464</v>
      </c>
      <c r="F2288" s="134" t="s">
        <v>3476</v>
      </c>
    </row>
    <row r="2289" spans="1:6">
      <c r="A2289" s="132">
        <v>3450000</v>
      </c>
      <c r="B2289" s="132">
        <v>3450000</v>
      </c>
      <c r="C2289" s="132">
        <v>3450000</v>
      </c>
      <c r="D2289" s="132">
        <v>3450000</v>
      </c>
      <c r="E2289" s="133">
        <v>40463</v>
      </c>
      <c r="F2289" s="134" t="s">
        <v>3477</v>
      </c>
    </row>
    <row r="2290" spans="1:6">
      <c r="A2290" s="132">
        <v>3430000</v>
      </c>
      <c r="B2290" s="132">
        <v>3430000</v>
      </c>
      <c r="C2290" s="132">
        <v>3430000</v>
      </c>
      <c r="D2290" s="132">
        <v>3430000</v>
      </c>
      <c r="E2290" s="133">
        <v>40462</v>
      </c>
      <c r="F2290" s="134" t="s">
        <v>3478</v>
      </c>
    </row>
    <row r="2291" spans="1:6">
      <c r="A2291" s="132">
        <v>3470000</v>
      </c>
      <c r="B2291" s="132">
        <v>3470000</v>
      </c>
      <c r="C2291" s="132">
        <v>3470000</v>
      </c>
      <c r="D2291" s="132">
        <v>3470000</v>
      </c>
      <c r="E2291" s="133">
        <v>40461</v>
      </c>
      <c r="F2291" s="134" t="s">
        <v>3479</v>
      </c>
    </row>
    <row r="2292" spans="1:6">
      <c r="A2292" s="132">
        <v>3480000</v>
      </c>
      <c r="B2292" s="132">
        <v>3480000</v>
      </c>
      <c r="C2292" s="132">
        <v>3480000</v>
      </c>
      <c r="D2292" s="132">
        <v>3480000</v>
      </c>
      <c r="E2292" s="133">
        <v>40460</v>
      </c>
      <c r="F2292" s="134" t="s">
        <v>3480</v>
      </c>
    </row>
    <row r="2293" spans="1:6">
      <c r="A2293" s="132">
        <v>3480000</v>
      </c>
      <c r="B2293" s="132">
        <v>3480000</v>
      </c>
      <c r="C2293" s="132">
        <v>3480000</v>
      </c>
      <c r="D2293" s="132">
        <v>3480000</v>
      </c>
      <c r="E2293" s="133">
        <v>40458</v>
      </c>
      <c r="F2293" s="134" t="s">
        <v>3481</v>
      </c>
    </row>
    <row r="2294" spans="1:6">
      <c r="A2294" s="132">
        <v>3390000</v>
      </c>
      <c r="B2294" s="132">
        <v>3390000</v>
      </c>
      <c r="C2294" s="132">
        <v>3390000</v>
      </c>
      <c r="D2294" s="132">
        <v>3390000</v>
      </c>
      <c r="E2294" s="133">
        <v>40457</v>
      </c>
      <c r="F2294" s="134" t="s">
        <v>3482</v>
      </c>
    </row>
    <row r="2295" spans="1:6">
      <c r="A2295" s="132">
        <v>3420000</v>
      </c>
      <c r="B2295" s="132">
        <v>3420000</v>
      </c>
      <c r="C2295" s="132">
        <v>3420000</v>
      </c>
      <c r="D2295" s="132">
        <v>3420000</v>
      </c>
      <c r="E2295" s="133">
        <v>40456</v>
      </c>
      <c r="F2295" s="134" t="s">
        <v>3483</v>
      </c>
    </row>
    <row r="2296" spans="1:6">
      <c r="A2296" s="132">
        <v>3500000</v>
      </c>
      <c r="B2296" s="132">
        <v>3500000</v>
      </c>
      <c r="C2296" s="132">
        <v>3500000</v>
      </c>
      <c r="D2296" s="132">
        <v>3500000</v>
      </c>
      <c r="E2296" s="133">
        <v>40454</v>
      </c>
      <c r="F2296" s="134" t="s">
        <v>3484</v>
      </c>
    </row>
    <row r="2297" spans="1:6">
      <c r="A2297" s="132">
        <v>3480000</v>
      </c>
      <c r="B2297" s="132">
        <v>3480000</v>
      </c>
      <c r="C2297" s="132">
        <v>3480000</v>
      </c>
      <c r="D2297" s="132">
        <v>3480000</v>
      </c>
      <c r="E2297" s="133">
        <v>40453</v>
      </c>
      <c r="F2297" s="134" t="s">
        <v>3485</v>
      </c>
    </row>
    <row r="2298" spans="1:6">
      <c r="A2298" s="132">
        <v>3600000</v>
      </c>
      <c r="B2298" s="132">
        <v>3600000</v>
      </c>
      <c r="C2298" s="132">
        <v>3600000</v>
      </c>
      <c r="D2298" s="132">
        <v>3600000</v>
      </c>
      <c r="E2298" s="133">
        <v>40451</v>
      </c>
      <c r="F2298" s="134" t="s">
        <v>3486</v>
      </c>
    </row>
    <row r="2299" spans="1:6">
      <c r="A2299" s="132">
        <v>3370000</v>
      </c>
      <c r="B2299" s="132">
        <v>3370000</v>
      </c>
      <c r="C2299" s="132">
        <v>3370000</v>
      </c>
      <c r="D2299" s="132">
        <v>3370000</v>
      </c>
      <c r="E2299" s="133">
        <v>40450</v>
      </c>
      <c r="F2299" s="134" t="s">
        <v>3487</v>
      </c>
    </row>
    <row r="2300" spans="1:6">
      <c r="A2300" s="132">
        <v>3360000</v>
      </c>
      <c r="B2300" s="132">
        <v>3360000</v>
      </c>
      <c r="C2300" s="132">
        <v>3360000</v>
      </c>
      <c r="D2300" s="132">
        <v>3360000</v>
      </c>
      <c r="E2300" s="133">
        <v>40449</v>
      </c>
      <c r="F2300" s="134" t="s">
        <v>3488</v>
      </c>
    </row>
    <row r="2301" spans="1:6">
      <c r="A2301" s="132">
        <v>3350000</v>
      </c>
      <c r="B2301" s="132">
        <v>3350000</v>
      </c>
      <c r="C2301" s="132">
        <v>3350000</v>
      </c>
      <c r="D2301" s="132">
        <v>3350000</v>
      </c>
      <c r="E2301" s="133">
        <v>40448</v>
      </c>
      <c r="F2301" s="134" t="s">
        <v>3489</v>
      </c>
    </row>
    <row r="2302" spans="1:6">
      <c r="A2302" s="132">
        <v>3300000</v>
      </c>
      <c r="B2302" s="132">
        <v>3300000</v>
      </c>
      <c r="C2302" s="132">
        <v>3300000</v>
      </c>
      <c r="D2302" s="132">
        <v>3300000</v>
      </c>
      <c r="E2302" s="133">
        <v>40447</v>
      </c>
      <c r="F2302" s="134" t="s">
        <v>3490</v>
      </c>
    </row>
    <row r="2303" spans="1:6">
      <c r="A2303" s="132">
        <v>3270000</v>
      </c>
      <c r="B2303" s="132">
        <v>3270000</v>
      </c>
      <c r="C2303" s="132">
        <v>3270000</v>
      </c>
      <c r="D2303" s="132">
        <v>3270000</v>
      </c>
      <c r="E2303" s="133">
        <v>40446</v>
      </c>
      <c r="F2303" s="134" t="s">
        <v>3491</v>
      </c>
    </row>
    <row r="2304" spans="1:6">
      <c r="A2304" s="132">
        <v>3220000</v>
      </c>
      <c r="B2304" s="132">
        <v>3220000</v>
      </c>
      <c r="C2304" s="132">
        <v>3220000</v>
      </c>
      <c r="D2304" s="132">
        <v>3220000</v>
      </c>
      <c r="E2304" s="133">
        <v>40443</v>
      </c>
      <c r="F2304" s="134" t="s">
        <v>3492</v>
      </c>
    </row>
    <row r="2305" spans="1:6">
      <c r="A2305" s="132">
        <v>3260000</v>
      </c>
      <c r="B2305" s="132">
        <v>3260000</v>
      </c>
      <c r="C2305" s="132">
        <v>3260000</v>
      </c>
      <c r="D2305" s="132">
        <v>3260000</v>
      </c>
      <c r="E2305" s="133">
        <v>40444</v>
      </c>
      <c r="F2305" s="134" t="s">
        <v>3493</v>
      </c>
    </row>
    <row r="2306" spans="1:6">
      <c r="A2306" s="132">
        <v>3250000</v>
      </c>
      <c r="B2306" s="132">
        <v>3250000</v>
      </c>
      <c r="C2306" s="132">
        <v>3250000</v>
      </c>
      <c r="D2306" s="132">
        <v>3250000</v>
      </c>
      <c r="E2306" s="133">
        <v>40442</v>
      </c>
      <c r="F2306" s="134" t="s">
        <v>3494</v>
      </c>
    </row>
    <row r="2307" spans="1:6">
      <c r="A2307" s="132">
        <v>3210000</v>
      </c>
      <c r="B2307" s="132">
        <v>3210000</v>
      </c>
      <c r="C2307" s="132">
        <v>3210000</v>
      </c>
      <c r="D2307" s="132">
        <v>3210000</v>
      </c>
      <c r="E2307" s="133">
        <v>40441</v>
      </c>
      <c r="F2307" s="134" t="s">
        <v>3495</v>
      </c>
    </row>
    <row r="2308" spans="1:6">
      <c r="A2308" s="132">
        <v>3170000</v>
      </c>
      <c r="B2308" s="132">
        <v>3170000</v>
      </c>
      <c r="C2308" s="132">
        <v>3170000</v>
      </c>
      <c r="D2308" s="132">
        <v>3170000</v>
      </c>
      <c r="E2308" s="133">
        <v>40440</v>
      </c>
      <c r="F2308" s="134" t="s">
        <v>3496</v>
      </c>
    </row>
    <row r="2309" spans="1:6">
      <c r="A2309" s="132">
        <v>3160000</v>
      </c>
      <c r="B2309" s="132">
        <v>3160000</v>
      </c>
      <c r="C2309" s="132">
        <v>3160000</v>
      </c>
      <c r="D2309" s="132">
        <v>3160000</v>
      </c>
      <c r="E2309" s="133">
        <v>40439</v>
      </c>
      <c r="F2309" s="134" t="s">
        <v>3497</v>
      </c>
    </row>
    <row r="2310" spans="1:6">
      <c r="A2310" s="132">
        <v>3160000</v>
      </c>
      <c r="B2310" s="132">
        <v>3160000</v>
      </c>
      <c r="C2310" s="132">
        <v>3160000</v>
      </c>
      <c r="D2310" s="132">
        <v>3160000</v>
      </c>
      <c r="E2310" s="133">
        <v>40437</v>
      </c>
      <c r="F2310" s="134" t="s">
        <v>3498</v>
      </c>
    </row>
    <row r="2311" spans="1:6">
      <c r="A2311" s="132">
        <v>3130000</v>
      </c>
      <c r="B2311" s="132">
        <v>3130000</v>
      </c>
      <c r="C2311" s="132">
        <v>3130000</v>
      </c>
      <c r="D2311" s="132">
        <v>3130000</v>
      </c>
      <c r="E2311" s="133">
        <v>40436</v>
      </c>
      <c r="F2311" s="134" t="s">
        <v>3499</v>
      </c>
    </row>
    <row r="2312" spans="1:6">
      <c r="A2312" s="132">
        <v>3125000</v>
      </c>
      <c r="B2312" s="132">
        <v>3125000</v>
      </c>
      <c r="C2312" s="132">
        <v>3125000</v>
      </c>
      <c r="D2312" s="132">
        <v>3125000</v>
      </c>
      <c r="E2312" s="133">
        <v>40435</v>
      </c>
      <c r="F2312" s="134" t="s">
        <v>3500</v>
      </c>
    </row>
    <row r="2313" spans="1:6">
      <c r="A2313" s="132">
        <v>3130000</v>
      </c>
      <c r="B2313" s="132">
        <v>3130000</v>
      </c>
      <c r="C2313" s="132">
        <v>3130000</v>
      </c>
      <c r="D2313" s="132">
        <v>3130000</v>
      </c>
      <c r="E2313" s="133">
        <v>40434</v>
      </c>
      <c r="F2313" s="134" t="s">
        <v>3501</v>
      </c>
    </row>
    <row r="2314" spans="1:6">
      <c r="A2314" s="132">
        <v>3140000</v>
      </c>
      <c r="B2314" s="132">
        <v>3140000</v>
      </c>
      <c r="C2314" s="132">
        <v>3140000</v>
      </c>
      <c r="D2314" s="132">
        <v>3140000</v>
      </c>
      <c r="E2314" s="133">
        <v>40433</v>
      </c>
      <c r="F2314" s="134" t="s">
        <v>3502</v>
      </c>
    </row>
    <row r="2315" spans="1:6">
      <c r="A2315" s="132">
        <v>3140000</v>
      </c>
      <c r="B2315" s="132">
        <v>3140000</v>
      </c>
      <c r="C2315" s="132">
        <v>3140000</v>
      </c>
      <c r="D2315" s="132">
        <v>3140000</v>
      </c>
      <c r="E2315" s="133">
        <v>40430</v>
      </c>
      <c r="F2315" s="134" t="s">
        <v>3503</v>
      </c>
    </row>
    <row r="2316" spans="1:6">
      <c r="A2316" s="132">
        <v>3125000</v>
      </c>
      <c r="B2316" s="132">
        <v>3125000</v>
      </c>
      <c r="C2316" s="132">
        <v>3125000</v>
      </c>
      <c r="D2316" s="132">
        <v>3125000</v>
      </c>
      <c r="E2316" s="133">
        <v>40429</v>
      </c>
      <c r="F2316" s="134" t="s">
        <v>3504</v>
      </c>
    </row>
    <row r="2317" spans="1:6">
      <c r="A2317" s="132">
        <v>3120000</v>
      </c>
      <c r="B2317" s="132">
        <v>3120000</v>
      </c>
      <c r="C2317" s="132">
        <v>3120000</v>
      </c>
      <c r="D2317" s="132">
        <v>3120000</v>
      </c>
      <c r="E2317" s="133">
        <v>40428</v>
      </c>
      <c r="F2317" s="134" t="s">
        <v>3505</v>
      </c>
    </row>
    <row r="2318" spans="1:6">
      <c r="A2318" s="132">
        <v>3120000</v>
      </c>
      <c r="B2318" s="132">
        <v>3120000</v>
      </c>
      <c r="C2318" s="132">
        <v>3120000</v>
      </c>
      <c r="D2318" s="132">
        <v>3120000</v>
      </c>
      <c r="E2318" s="133">
        <v>40427</v>
      </c>
      <c r="F2318" s="134" t="s">
        <v>3506</v>
      </c>
    </row>
    <row r="2319" spans="1:6">
      <c r="A2319" s="132">
        <v>3125000</v>
      </c>
      <c r="B2319" s="132">
        <v>3125000</v>
      </c>
      <c r="C2319" s="132">
        <v>3125000</v>
      </c>
      <c r="D2319" s="132">
        <v>3125000</v>
      </c>
      <c r="E2319" s="133">
        <v>40426</v>
      </c>
      <c r="F2319" s="134" t="s">
        <v>3507</v>
      </c>
    </row>
    <row r="2320" spans="1:6">
      <c r="A2320" s="132">
        <v>3080000</v>
      </c>
      <c r="B2320" s="132">
        <v>3080000</v>
      </c>
      <c r="C2320" s="132">
        <v>3080000</v>
      </c>
      <c r="D2320" s="132">
        <v>3080000</v>
      </c>
      <c r="E2320" s="133">
        <v>40425</v>
      </c>
      <c r="F2320" s="134" t="s">
        <v>3508</v>
      </c>
    </row>
    <row r="2321" spans="1:6">
      <c r="A2321" s="132">
        <v>3080000</v>
      </c>
      <c r="B2321" s="132">
        <v>3080000</v>
      </c>
      <c r="C2321" s="132">
        <v>3080000</v>
      </c>
      <c r="D2321" s="132">
        <v>3080000</v>
      </c>
      <c r="E2321" s="133">
        <v>40421</v>
      </c>
      <c r="F2321" s="134" t="s">
        <v>3509</v>
      </c>
    </row>
    <row r="2322" spans="1:6">
      <c r="A2322" s="132">
        <v>3070000</v>
      </c>
      <c r="B2322" s="132">
        <v>3070000</v>
      </c>
      <c r="C2322" s="132">
        <v>3070000</v>
      </c>
      <c r="D2322" s="132">
        <v>3070000</v>
      </c>
      <c r="E2322" s="133">
        <v>40420</v>
      </c>
      <c r="F2322" s="134" t="s">
        <v>3510</v>
      </c>
    </row>
    <row r="2323" spans="1:6">
      <c r="A2323" s="132">
        <v>3060000</v>
      </c>
      <c r="B2323" s="132">
        <v>3060000</v>
      </c>
      <c r="C2323" s="132">
        <v>3060000</v>
      </c>
      <c r="D2323" s="132">
        <v>3060000</v>
      </c>
      <c r="E2323" s="133">
        <v>40419</v>
      </c>
      <c r="F2323" s="134" t="s">
        <v>3511</v>
      </c>
    </row>
    <row r="2324" spans="1:6">
      <c r="A2324" s="132">
        <v>3060000</v>
      </c>
      <c r="B2324" s="132">
        <v>3060000</v>
      </c>
      <c r="C2324" s="132">
        <v>3060000</v>
      </c>
      <c r="D2324" s="132">
        <v>3060000</v>
      </c>
      <c r="E2324" s="133">
        <v>40418</v>
      </c>
      <c r="F2324" s="134" t="s">
        <v>3512</v>
      </c>
    </row>
    <row r="2325" spans="1:6">
      <c r="A2325" s="132">
        <v>3050000</v>
      </c>
      <c r="B2325" s="132">
        <v>3050000</v>
      </c>
      <c r="C2325" s="132">
        <v>3050000</v>
      </c>
      <c r="D2325" s="132">
        <v>3050000</v>
      </c>
      <c r="E2325" s="133">
        <v>40416</v>
      </c>
      <c r="F2325" s="134" t="s">
        <v>3513</v>
      </c>
    </row>
    <row r="2326" spans="1:6">
      <c r="A2326" s="132">
        <v>3030000</v>
      </c>
      <c r="B2326" s="132">
        <v>3030000</v>
      </c>
      <c r="C2326" s="132">
        <v>3030000</v>
      </c>
      <c r="D2326" s="132">
        <v>3030000</v>
      </c>
      <c r="E2326" s="133">
        <v>40415</v>
      </c>
      <c r="F2326" s="134" t="s">
        <v>3514</v>
      </c>
    </row>
    <row r="2327" spans="1:6">
      <c r="A2327" s="132">
        <v>3040000</v>
      </c>
      <c r="B2327" s="132">
        <v>3040000</v>
      </c>
      <c r="C2327" s="132">
        <v>3040000</v>
      </c>
      <c r="D2327" s="132">
        <v>3040000</v>
      </c>
      <c r="E2327" s="133">
        <v>40414</v>
      </c>
      <c r="F2327" s="134" t="s">
        <v>3515</v>
      </c>
    </row>
    <row r="2328" spans="1:6">
      <c r="A2328" s="132">
        <v>3040000</v>
      </c>
      <c r="B2328" s="132">
        <v>3040000</v>
      </c>
      <c r="C2328" s="132">
        <v>3040000</v>
      </c>
      <c r="D2328" s="132">
        <v>3040000</v>
      </c>
      <c r="E2328" s="133">
        <v>40413</v>
      </c>
      <c r="F2328" s="134" t="s">
        <v>3516</v>
      </c>
    </row>
    <row r="2329" spans="1:6">
      <c r="A2329" s="132">
        <v>3040000</v>
      </c>
      <c r="B2329" s="132">
        <v>3040000</v>
      </c>
      <c r="C2329" s="132">
        <v>3040000</v>
      </c>
      <c r="D2329" s="132">
        <v>3040000</v>
      </c>
      <c r="E2329" s="133">
        <v>40412</v>
      </c>
      <c r="F2329" s="134" t="s">
        <v>3517</v>
      </c>
    </row>
    <row r="2330" spans="1:6">
      <c r="A2330" s="132">
        <v>3040000</v>
      </c>
      <c r="B2330" s="132">
        <v>3040000</v>
      </c>
      <c r="C2330" s="132">
        <v>3040000</v>
      </c>
      <c r="D2330" s="132">
        <v>3040000</v>
      </c>
      <c r="E2330" s="133">
        <v>40411</v>
      </c>
      <c r="F2330" s="134" t="s">
        <v>3518</v>
      </c>
    </row>
    <row r="2331" spans="1:6">
      <c r="A2331" s="132">
        <v>3040000</v>
      </c>
      <c r="B2331" s="132">
        <v>3040000</v>
      </c>
      <c r="C2331" s="132">
        <v>3040000</v>
      </c>
      <c r="D2331" s="132">
        <v>3040000</v>
      </c>
      <c r="E2331" s="133">
        <v>40409</v>
      </c>
      <c r="F2331" s="134" t="s">
        <v>3519</v>
      </c>
    </row>
    <row r="2332" spans="1:6">
      <c r="A2332" s="132">
        <v>3040000</v>
      </c>
      <c r="B2332" s="132">
        <v>3040000</v>
      </c>
      <c r="C2332" s="132">
        <v>3040000</v>
      </c>
      <c r="D2332" s="132">
        <v>3040000</v>
      </c>
      <c r="E2332" s="133">
        <v>40408</v>
      </c>
      <c r="F2332" s="134" t="s">
        <v>3520</v>
      </c>
    </row>
    <row r="2333" spans="1:6">
      <c r="A2333" s="132">
        <v>3030000</v>
      </c>
      <c r="B2333" s="132">
        <v>3030000</v>
      </c>
      <c r="C2333" s="132">
        <v>3030000</v>
      </c>
      <c r="D2333" s="132">
        <v>3030000</v>
      </c>
      <c r="E2333" s="133">
        <v>40407</v>
      </c>
      <c r="F2333" s="134" t="s">
        <v>3521</v>
      </c>
    </row>
    <row r="2334" spans="1:6">
      <c r="A2334" s="132">
        <v>3030000</v>
      </c>
      <c r="B2334" s="132">
        <v>3030000</v>
      </c>
      <c r="C2334" s="132">
        <v>3030000</v>
      </c>
      <c r="D2334" s="132">
        <v>3030000</v>
      </c>
      <c r="E2334" s="133">
        <v>40406</v>
      </c>
      <c r="F2334" s="134" t="s">
        <v>3522</v>
      </c>
    </row>
    <row r="2335" spans="1:6">
      <c r="A2335" s="132">
        <v>3030000</v>
      </c>
      <c r="B2335" s="132">
        <v>3030000</v>
      </c>
      <c r="C2335" s="132">
        <v>3030000</v>
      </c>
      <c r="D2335" s="132">
        <v>3030000</v>
      </c>
      <c r="E2335" s="133">
        <v>40405</v>
      </c>
      <c r="F2335" s="134" t="s">
        <v>3523</v>
      </c>
    </row>
    <row r="2336" spans="1:6">
      <c r="A2336" s="132">
        <v>3010000</v>
      </c>
      <c r="B2336" s="132">
        <v>3010000</v>
      </c>
      <c r="C2336" s="132">
        <v>3010000</v>
      </c>
      <c r="D2336" s="132">
        <v>3010000</v>
      </c>
      <c r="E2336" s="133">
        <v>40404</v>
      </c>
      <c r="F2336" s="134" t="s">
        <v>3524</v>
      </c>
    </row>
    <row r="2337" spans="1:6">
      <c r="A2337" s="132">
        <v>2990000</v>
      </c>
      <c r="B2337" s="132">
        <v>2990000</v>
      </c>
      <c r="C2337" s="132">
        <v>2990000</v>
      </c>
      <c r="D2337" s="132">
        <v>2990000</v>
      </c>
      <c r="E2337" s="133">
        <v>40402</v>
      </c>
      <c r="F2337" s="134" t="s">
        <v>3525</v>
      </c>
    </row>
    <row r="2338" spans="1:6">
      <c r="A2338" s="132">
        <v>3000000</v>
      </c>
      <c r="B2338" s="132">
        <v>3000000</v>
      </c>
      <c r="C2338" s="132">
        <v>3000000</v>
      </c>
      <c r="D2338" s="132">
        <v>3000000</v>
      </c>
      <c r="E2338" s="133">
        <v>40401</v>
      </c>
      <c r="F2338" s="134" t="s">
        <v>3526</v>
      </c>
    </row>
    <row r="2339" spans="1:6">
      <c r="A2339" s="132">
        <v>3000000</v>
      </c>
      <c r="B2339" s="132">
        <v>3000000</v>
      </c>
      <c r="C2339" s="132">
        <v>3000000</v>
      </c>
      <c r="D2339" s="132">
        <v>3000000</v>
      </c>
      <c r="E2339" s="133">
        <v>40399</v>
      </c>
      <c r="F2339" s="134" t="s">
        <v>3527</v>
      </c>
    </row>
    <row r="2340" spans="1:6">
      <c r="A2340" s="132">
        <v>3000000</v>
      </c>
      <c r="B2340" s="132">
        <v>3000000</v>
      </c>
      <c r="C2340" s="132">
        <v>3000000</v>
      </c>
      <c r="D2340" s="132">
        <v>3000000</v>
      </c>
      <c r="E2340" s="133">
        <v>40398</v>
      </c>
      <c r="F2340" s="134" t="s">
        <v>3528</v>
      </c>
    </row>
    <row r="2341" spans="1:6">
      <c r="A2341" s="132">
        <v>2975000</v>
      </c>
      <c r="B2341" s="132">
        <v>2975000</v>
      </c>
      <c r="C2341" s="132">
        <v>2975000</v>
      </c>
      <c r="D2341" s="132">
        <v>2975000</v>
      </c>
      <c r="E2341" s="133">
        <v>40397</v>
      </c>
      <c r="F2341" s="134" t="s">
        <v>3529</v>
      </c>
    </row>
    <row r="2342" spans="1:6">
      <c r="A2342" s="132">
        <v>2950000</v>
      </c>
      <c r="B2342" s="132">
        <v>2950000</v>
      </c>
      <c r="C2342" s="132">
        <v>2950000</v>
      </c>
      <c r="D2342" s="132">
        <v>2950000</v>
      </c>
      <c r="E2342" s="133">
        <v>40394</v>
      </c>
      <c r="F2342" s="134" t="s">
        <v>3530</v>
      </c>
    </row>
    <row r="2343" spans="1:6">
      <c r="A2343" s="132">
        <v>2950000</v>
      </c>
      <c r="B2343" s="132">
        <v>2950000</v>
      </c>
      <c r="C2343" s="132">
        <v>2950000</v>
      </c>
      <c r="D2343" s="132">
        <v>2950000</v>
      </c>
      <c r="E2343" s="133">
        <v>40393</v>
      </c>
      <c r="F2343" s="134" t="s">
        <v>3531</v>
      </c>
    </row>
    <row r="2344" spans="1:6">
      <c r="A2344" s="132">
        <v>2950000</v>
      </c>
      <c r="B2344" s="132">
        <v>2950000</v>
      </c>
      <c r="C2344" s="132">
        <v>2950000</v>
      </c>
      <c r="D2344" s="132">
        <v>2950000</v>
      </c>
      <c r="E2344" s="133">
        <v>40392</v>
      </c>
      <c r="F2344" s="134" t="s">
        <v>3532</v>
      </c>
    </row>
    <row r="2345" spans="1:6">
      <c r="A2345" s="132">
        <v>2950000</v>
      </c>
      <c r="B2345" s="132">
        <v>2950000</v>
      </c>
      <c r="C2345" s="132">
        <v>2950000</v>
      </c>
      <c r="D2345" s="132">
        <v>2950000</v>
      </c>
      <c r="E2345" s="133">
        <v>40391</v>
      </c>
      <c r="F2345" s="134" t="s">
        <v>3533</v>
      </c>
    </row>
    <row r="2346" spans="1:6">
      <c r="A2346" s="132">
        <v>2920000</v>
      </c>
      <c r="B2346" s="132">
        <v>2920000</v>
      </c>
      <c r="C2346" s="132">
        <v>2920000</v>
      </c>
      <c r="D2346" s="132">
        <v>2920000</v>
      </c>
      <c r="E2346" s="133">
        <v>40390</v>
      </c>
      <c r="F2346" s="134" t="s">
        <v>3534</v>
      </c>
    </row>
    <row r="2347" spans="1:6">
      <c r="A2347" s="132">
        <v>2925000</v>
      </c>
      <c r="B2347" s="132">
        <v>2925000</v>
      </c>
      <c r="C2347" s="132">
        <v>2925000</v>
      </c>
      <c r="D2347" s="132">
        <v>2925000</v>
      </c>
      <c r="E2347" s="133">
        <v>40388</v>
      </c>
      <c r="F2347" s="134" t="s">
        <v>3535</v>
      </c>
    </row>
    <row r="2348" spans="1:6">
      <c r="A2348" s="132">
        <v>2975000</v>
      </c>
      <c r="B2348" s="132">
        <v>2975000</v>
      </c>
      <c r="C2348" s="132">
        <v>2975000</v>
      </c>
      <c r="D2348" s="132">
        <v>2975000</v>
      </c>
      <c r="E2348" s="133">
        <v>40387</v>
      </c>
      <c r="F2348" s="134" t="s">
        <v>3536</v>
      </c>
    </row>
    <row r="2349" spans="1:6">
      <c r="A2349" s="132">
        <v>2960000</v>
      </c>
      <c r="B2349" s="132">
        <v>2960000</v>
      </c>
      <c r="C2349" s="132">
        <v>2960000</v>
      </c>
      <c r="D2349" s="132">
        <v>2960000</v>
      </c>
      <c r="E2349" s="133">
        <v>40385</v>
      </c>
      <c r="F2349" s="134" t="s">
        <v>3537</v>
      </c>
    </row>
    <row r="2350" spans="1:6">
      <c r="A2350" s="132">
        <v>2960000</v>
      </c>
      <c r="B2350" s="132">
        <v>2960000</v>
      </c>
      <c r="C2350" s="132">
        <v>2960000</v>
      </c>
      <c r="D2350" s="132">
        <v>2960000</v>
      </c>
      <c r="E2350" s="133">
        <v>40384</v>
      </c>
      <c r="F2350" s="134" t="s">
        <v>3538</v>
      </c>
    </row>
    <row r="2351" spans="1:6">
      <c r="A2351" s="132">
        <v>2950000</v>
      </c>
      <c r="B2351" s="132">
        <v>2950000</v>
      </c>
      <c r="C2351" s="132">
        <v>2950000</v>
      </c>
      <c r="D2351" s="132">
        <v>2950000</v>
      </c>
      <c r="E2351" s="133">
        <v>40383</v>
      </c>
      <c r="F2351" s="134" t="s">
        <v>3539</v>
      </c>
    </row>
    <row r="2352" spans="1:6">
      <c r="A2352" s="132">
        <v>2950000</v>
      </c>
      <c r="B2352" s="132">
        <v>2950000</v>
      </c>
      <c r="C2352" s="132">
        <v>2950000</v>
      </c>
      <c r="D2352" s="132">
        <v>2950000</v>
      </c>
      <c r="E2352" s="133">
        <v>40381</v>
      </c>
      <c r="F2352" s="134" t="s">
        <v>3540</v>
      </c>
    </row>
    <row r="2353" spans="1:6">
      <c r="A2353" s="132">
        <v>2940000</v>
      </c>
      <c r="B2353" s="132">
        <v>2940000</v>
      </c>
      <c r="C2353" s="132">
        <v>2940000</v>
      </c>
      <c r="D2353" s="132">
        <v>2940000</v>
      </c>
      <c r="E2353" s="133">
        <v>40380</v>
      </c>
      <c r="F2353" s="134" t="s">
        <v>3541</v>
      </c>
    </row>
    <row r="2354" spans="1:6">
      <c r="A2354" s="132">
        <v>2960000</v>
      </c>
      <c r="B2354" s="132">
        <v>2960000</v>
      </c>
      <c r="C2354" s="132">
        <v>2960000</v>
      </c>
      <c r="D2354" s="132">
        <v>2960000</v>
      </c>
      <c r="E2354" s="133">
        <v>40379</v>
      </c>
      <c r="F2354" s="134" t="s">
        <v>3542</v>
      </c>
    </row>
    <row r="2355" spans="1:6">
      <c r="A2355" s="132">
        <v>2960000</v>
      </c>
      <c r="B2355" s="132">
        <v>2960000</v>
      </c>
      <c r="C2355" s="132">
        <v>2960000</v>
      </c>
      <c r="D2355" s="132">
        <v>2960000</v>
      </c>
      <c r="E2355" s="133">
        <v>40378</v>
      </c>
      <c r="F2355" s="134" t="s">
        <v>3543</v>
      </c>
    </row>
    <row r="2356" spans="1:6">
      <c r="A2356" s="132">
        <v>2980000</v>
      </c>
      <c r="B2356" s="132">
        <v>2980000</v>
      </c>
      <c r="C2356" s="132">
        <v>2980000</v>
      </c>
      <c r="D2356" s="132">
        <v>2980000</v>
      </c>
      <c r="E2356" s="133">
        <v>40377</v>
      </c>
      <c r="F2356" s="134" t="s">
        <v>3544</v>
      </c>
    </row>
    <row r="2357" spans="1:6">
      <c r="A2357" s="132">
        <v>3020000</v>
      </c>
      <c r="B2357" s="132">
        <v>3020000</v>
      </c>
      <c r="C2357" s="132">
        <v>3020000</v>
      </c>
      <c r="D2357" s="132">
        <v>3020000</v>
      </c>
      <c r="E2357" s="133">
        <v>40376</v>
      </c>
      <c r="F2357" s="134" t="s">
        <v>3545</v>
      </c>
    </row>
    <row r="2358" spans="1:6">
      <c r="A2358" s="132">
        <v>3020000</v>
      </c>
      <c r="B2358" s="132">
        <v>3020000</v>
      </c>
      <c r="C2358" s="132">
        <v>3020000</v>
      </c>
      <c r="D2358" s="132">
        <v>3020000</v>
      </c>
      <c r="E2358" s="133">
        <v>40374</v>
      </c>
      <c r="F2358" s="134" t="s">
        <v>3546</v>
      </c>
    </row>
    <row r="2359" spans="1:6">
      <c r="A2359" s="132">
        <v>3010000</v>
      </c>
      <c r="B2359" s="132">
        <v>3010000</v>
      </c>
      <c r="C2359" s="132">
        <v>3010000</v>
      </c>
      <c r="D2359" s="132">
        <v>3010000</v>
      </c>
      <c r="E2359" s="133">
        <v>40372</v>
      </c>
      <c r="F2359" s="134" t="s">
        <v>3547</v>
      </c>
    </row>
    <row r="2360" spans="1:6">
      <c r="A2360" s="132">
        <v>3020000</v>
      </c>
      <c r="B2360" s="132">
        <v>3020000</v>
      </c>
      <c r="C2360" s="132">
        <v>3020000</v>
      </c>
      <c r="D2360" s="132">
        <v>3020000</v>
      </c>
      <c r="E2360" s="133">
        <v>40371</v>
      </c>
      <c r="F2360" s="134" t="s">
        <v>3548</v>
      </c>
    </row>
    <row r="2361" spans="1:6">
      <c r="A2361" s="132">
        <v>3010000</v>
      </c>
      <c r="B2361" s="132">
        <v>3010000</v>
      </c>
      <c r="C2361" s="132">
        <v>3010000</v>
      </c>
      <c r="D2361" s="132">
        <v>3010000</v>
      </c>
      <c r="E2361" s="133">
        <v>40370</v>
      </c>
      <c r="F2361" s="134" t="s">
        <v>3549</v>
      </c>
    </row>
    <row r="2362" spans="1:6">
      <c r="A2362" s="132">
        <v>3000000</v>
      </c>
      <c r="B2362" s="132">
        <v>3000000</v>
      </c>
      <c r="C2362" s="132">
        <v>3000000</v>
      </c>
      <c r="D2362" s="132">
        <v>3000000</v>
      </c>
      <c r="E2362" s="133">
        <v>40367</v>
      </c>
      <c r="F2362" s="134" t="s">
        <v>3550</v>
      </c>
    </row>
    <row r="2363" spans="1:6">
      <c r="A2363" s="132">
        <v>3020000</v>
      </c>
      <c r="B2363" s="132">
        <v>3020000</v>
      </c>
      <c r="C2363" s="132">
        <v>3020000</v>
      </c>
      <c r="D2363" s="132">
        <v>3020000</v>
      </c>
      <c r="E2363" s="133">
        <v>40366</v>
      </c>
      <c r="F2363" s="134" t="s">
        <v>3551</v>
      </c>
    </row>
    <row r="2364" spans="1:6">
      <c r="A2364" s="132">
        <v>3030000</v>
      </c>
      <c r="B2364" s="132">
        <v>3030000</v>
      </c>
      <c r="C2364" s="132">
        <v>3030000</v>
      </c>
      <c r="D2364" s="132">
        <v>3030000</v>
      </c>
      <c r="E2364" s="133">
        <v>40364</v>
      </c>
      <c r="F2364" s="134" t="s">
        <v>3552</v>
      </c>
    </row>
    <row r="2365" spans="1:6">
      <c r="A2365" s="132">
        <v>3030000</v>
      </c>
      <c r="B2365" s="132">
        <v>3030000</v>
      </c>
      <c r="C2365" s="132">
        <v>3030000</v>
      </c>
      <c r="D2365" s="132">
        <v>3030000</v>
      </c>
      <c r="E2365" s="133">
        <v>40362</v>
      </c>
      <c r="F2365" s="134" t="s">
        <v>3553</v>
      </c>
    </row>
    <row r="2366" spans="1:6">
      <c r="A2366" s="132">
        <v>3120000</v>
      </c>
      <c r="B2366" s="132">
        <v>3120000</v>
      </c>
      <c r="C2366" s="132">
        <v>3120000</v>
      </c>
      <c r="D2366" s="132">
        <v>3120000</v>
      </c>
      <c r="E2366" s="133">
        <v>40360</v>
      </c>
      <c r="F2366" s="134" t="s">
        <v>3554</v>
      </c>
    </row>
    <row r="2367" spans="1:6">
      <c r="A2367" s="132">
        <v>3100000</v>
      </c>
      <c r="B2367" s="132">
        <v>3100000</v>
      </c>
      <c r="C2367" s="132">
        <v>3100000</v>
      </c>
      <c r="D2367" s="132">
        <v>3100000</v>
      </c>
      <c r="E2367" s="133">
        <v>40359</v>
      </c>
      <c r="F2367" s="134" t="s">
        <v>3555</v>
      </c>
    </row>
    <row r="2368" spans="1:6">
      <c r="A2368" s="132">
        <v>3120000</v>
      </c>
      <c r="B2368" s="132">
        <v>3120000</v>
      </c>
      <c r="C2368" s="132">
        <v>3120000</v>
      </c>
      <c r="D2368" s="132">
        <v>3120000</v>
      </c>
      <c r="E2368" s="133">
        <v>40358</v>
      </c>
      <c r="F2368" s="134" t="s">
        <v>3556</v>
      </c>
    </row>
    <row r="2369" spans="1:6">
      <c r="A2369" s="132">
        <v>3120000</v>
      </c>
      <c r="B2369" s="132">
        <v>3120000</v>
      </c>
      <c r="C2369" s="132">
        <v>3120000</v>
      </c>
      <c r="D2369" s="132">
        <v>3120000</v>
      </c>
      <c r="E2369" s="133">
        <v>40357</v>
      </c>
      <c r="F2369" s="134" t="s">
        <v>3557</v>
      </c>
    </row>
    <row r="2370" spans="1:6">
      <c r="A2370" s="132">
        <v>3085000</v>
      </c>
      <c r="B2370" s="132">
        <v>3085000</v>
      </c>
      <c r="C2370" s="132">
        <v>3085000</v>
      </c>
      <c r="D2370" s="132">
        <v>3085000</v>
      </c>
      <c r="E2370" s="133">
        <v>40356</v>
      </c>
      <c r="F2370" s="134" t="s">
        <v>3558</v>
      </c>
    </row>
    <row r="2371" spans="1:6">
      <c r="A2371" s="132">
        <v>3080000</v>
      </c>
      <c r="B2371" s="132">
        <v>3080000</v>
      </c>
      <c r="C2371" s="132">
        <v>3080000</v>
      </c>
      <c r="D2371" s="132">
        <v>3080000</v>
      </c>
      <c r="E2371" s="133">
        <v>40353</v>
      </c>
      <c r="F2371" s="134" t="s">
        <v>3559</v>
      </c>
    </row>
    <row r="2372" spans="1:6">
      <c r="A2372" s="132">
        <v>3080000</v>
      </c>
      <c r="B2372" s="132">
        <v>3080000</v>
      </c>
      <c r="C2372" s="132">
        <v>3080000</v>
      </c>
      <c r="D2372" s="132">
        <v>3080000</v>
      </c>
      <c r="E2372" s="133">
        <v>40352</v>
      </c>
      <c r="F2372" s="134" t="s">
        <v>3560</v>
      </c>
    </row>
    <row r="2373" spans="1:6">
      <c r="A2373" s="132">
        <v>3120000</v>
      </c>
      <c r="B2373" s="132">
        <v>3120000</v>
      </c>
      <c r="C2373" s="132">
        <v>3120000</v>
      </c>
      <c r="D2373" s="132">
        <v>3120000</v>
      </c>
      <c r="E2373" s="133">
        <v>40351</v>
      </c>
      <c r="F2373" s="134" t="s">
        <v>3561</v>
      </c>
    </row>
    <row r="2374" spans="1:6">
      <c r="A2374" s="132">
        <v>3100000</v>
      </c>
      <c r="B2374" s="132">
        <v>3100000</v>
      </c>
      <c r="C2374" s="132">
        <v>3100000</v>
      </c>
      <c r="D2374" s="132">
        <v>3100000</v>
      </c>
      <c r="E2374" s="133">
        <v>40349</v>
      </c>
      <c r="F2374" s="134" t="s">
        <v>3562</v>
      </c>
    </row>
    <row r="2375" spans="1:6">
      <c r="A2375" s="132">
        <v>3060000</v>
      </c>
      <c r="B2375" s="132">
        <v>3060000</v>
      </c>
      <c r="C2375" s="132">
        <v>3060000</v>
      </c>
      <c r="D2375" s="132">
        <v>3060000</v>
      </c>
      <c r="E2375" s="133">
        <v>40348</v>
      </c>
      <c r="F2375" s="134" t="s">
        <v>3563</v>
      </c>
    </row>
    <row r="2376" spans="1:6">
      <c r="A2376" s="132">
        <v>3060000</v>
      </c>
      <c r="B2376" s="132">
        <v>3060000</v>
      </c>
      <c r="C2376" s="132">
        <v>3060000</v>
      </c>
      <c r="D2376" s="132">
        <v>3060000</v>
      </c>
      <c r="E2376" s="133">
        <v>40346</v>
      </c>
      <c r="F2376" s="134" t="s">
        <v>3564</v>
      </c>
    </row>
    <row r="2377" spans="1:6">
      <c r="A2377" s="132">
        <v>3040000</v>
      </c>
      <c r="B2377" s="132">
        <v>3040000</v>
      </c>
      <c r="C2377" s="132">
        <v>3040000</v>
      </c>
      <c r="D2377" s="132">
        <v>3040000</v>
      </c>
      <c r="E2377" s="133">
        <v>40345</v>
      </c>
      <c r="F2377" s="134" t="s">
        <v>3565</v>
      </c>
    </row>
    <row r="2378" spans="1:6">
      <c r="A2378" s="132">
        <v>3080000</v>
      </c>
      <c r="B2378" s="132">
        <v>3080000</v>
      </c>
      <c r="C2378" s="132">
        <v>3080000</v>
      </c>
      <c r="D2378" s="132">
        <v>3080000</v>
      </c>
      <c r="E2378" s="133">
        <v>40344</v>
      </c>
      <c r="F2378" s="134" t="s">
        <v>3566</v>
      </c>
    </row>
    <row r="2379" spans="1:6">
      <c r="A2379" s="132">
        <v>3075000</v>
      </c>
      <c r="B2379" s="132">
        <v>3075000</v>
      </c>
      <c r="C2379" s="132">
        <v>3075000</v>
      </c>
      <c r="D2379" s="132">
        <v>3075000</v>
      </c>
      <c r="E2379" s="133">
        <v>40343</v>
      </c>
      <c r="F2379" s="134" t="s">
        <v>3567</v>
      </c>
    </row>
    <row r="2380" spans="1:6">
      <c r="A2380" s="132">
        <v>3085000</v>
      </c>
      <c r="B2380" s="132">
        <v>3085000</v>
      </c>
      <c r="C2380" s="132">
        <v>3085000</v>
      </c>
      <c r="D2380" s="132">
        <v>3085000</v>
      </c>
      <c r="E2380" s="133">
        <v>40342</v>
      </c>
      <c r="F2380" s="134" t="s">
        <v>3568</v>
      </c>
    </row>
    <row r="2381" spans="1:6">
      <c r="A2381" s="132">
        <v>3110000</v>
      </c>
      <c r="B2381" s="132">
        <v>3110000</v>
      </c>
      <c r="C2381" s="132">
        <v>3110000</v>
      </c>
      <c r="D2381" s="132">
        <v>3110000</v>
      </c>
      <c r="E2381" s="133">
        <v>40341</v>
      </c>
      <c r="F2381" s="134" t="s">
        <v>3569</v>
      </c>
    </row>
    <row r="2382" spans="1:6">
      <c r="A2382" s="132">
        <v>3100000</v>
      </c>
      <c r="B2382" s="132">
        <v>3100000</v>
      </c>
      <c r="C2382" s="132">
        <v>3100000</v>
      </c>
      <c r="D2382" s="132">
        <v>3100000</v>
      </c>
      <c r="E2382" s="133">
        <v>40339</v>
      </c>
      <c r="F2382" s="134" t="s">
        <v>3570</v>
      </c>
    </row>
    <row r="2383" spans="1:6">
      <c r="A2383" s="132">
        <v>3070000</v>
      </c>
      <c r="B2383" s="132">
        <v>3070000</v>
      </c>
      <c r="C2383" s="132">
        <v>3070000</v>
      </c>
      <c r="D2383" s="132">
        <v>3070000</v>
      </c>
      <c r="E2383" s="133">
        <v>40338</v>
      </c>
      <c r="F2383" s="134" t="s">
        <v>3571</v>
      </c>
    </row>
    <row r="2384" spans="1:6">
      <c r="A2384" s="132">
        <v>3020000</v>
      </c>
      <c r="B2384" s="132">
        <v>3020000</v>
      </c>
      <c r="C2384" s="132">
        <v>3020000</v>
      </c>
      <c r="D2384" s="132">
        <v>3020000</v>
      </c>
      <c r="E2384" s="133">
        <v>40337</v>
      </c>
      <c r="F2384" s="134" t="s">
        <v>3572</v>
      </c>
    </row>
    <row r="2385" spans="1:6">
      <c r="A2385" s="132">
        <v>3015000</v>
      </c>
      <c r="B2385" s="132">
        <v>3015000</v>
      </c>
      <c r="C2385" s="132">
        <v>3015000</v>
      </c>
      <c r="D2385" s="132">
        <v>3015000</v>
      </c>
      <c r="E2385" s="133">
        <v>40336</v>
      </c>
      <c r="F2385" s="134" t="s">
        <v>3573</v>
      </c>
    </row>
    <row r="2386" spans="1:6">
      <c r="A2386" s="132">
        <v>3020000</v>
      </c>
      <c r="B2386" s="132">
        <v>3020000</v>
      </c>
      <c r="C2386" s="132">
        <v>3020000</v>
      </c>
      <c r="D2386" s="132">
        <v>3020000</v>
      </c>
      <c r="E2386" s="133">
        <v>40335</v>
      </c>
      <c r="F2386" s="134" t="s">
        <v>3574</v>
      </c>
    </row>
    <row r="2387" spans="1:6">
      <c r="A2387" s="132">
        <v>3040000</v>
      </c>
      <c r="B2387" s="132">
        <v>3040000</v>
      </c>
      <c r="C2387" s="132">
        <v>3040000</v>
      </c>
      <c r="D2387" s="132">
        <v>3040000</v>
      </c>
      <c r="E2387" s="133">
        <v>40332</v>
      </c>
      <c r="F2387" s="134" t="s">
        <v>3575</v>
      </c>
    </row>
    <row r="2388" spans="1:6">
      <c r="A2388" s="132">
        <v>3000000</v>
      </c>
      <c r="B2388" s="132">
        <v>3000000</v>
      </c>
      <c r="C2388" s="132">
        <v>3000000</v>
      </c>
      <c r="D2388" s="132">
        <v>3000000</v>
      </c>
      <c r="E2388" s="133">
        <v>40331</v>
      </c>
      <c r="F2388" s="134" t="s">
        <v>3576</v>
      </c>
    </row>
    <row r="2389" spans="1:6">
      <c r="A2389" s="132">
        <v>2980000</v>
      </c>
      <c r="B2389" s="132">
        <v>2980000</v>
      </c>
      <c r="C2389" s="132">
        <v>2980000</v>
      </c>
      <c r="D2389" s="132">
        <v>2980000</v>
      </c>
      <c r="E2389" s="133">
        <v>40330</v>
      </c>
      <c r="F2389" s="134" t="s">
        <v>3577</v>
      </c>
    </row>
    <row r="2390" spans="1:6">
      <c r="A2390" s="132">
        <v>2970000</v>
      </c>
      <c r="B2390" s="132">
        <v>2970000</v>
      </c>
      <c r="C2390" s="132">
        <v>2970000</v>
      </c>
      <c r="D2390" s="132">
        <v>2970000</v>
      </c>
      <c r="E2390" s="133">
        <v>40329</v>
      </c>
      <c r="F2390" s="134" t="s">
        <v>3578</v>
      </c>
    </row>
    <row r="2391" spans="1:6">
      <c r="A2391" s="132">
        <v>2970000</v>
      </c>
      <c r="B2391" s="132">
        <v>2970000</v>
      </c>
      <c r="C2391" s="132">
        <v>2970000</v>
      </c>
      <c r="D2391" s="132">
        <v>2970000</v>
      </c>
      <c r="E2391" s="133">
        <v>40328</v>
      </c>
      <c r="F2391" s="134" t="s">
        <v>3579</v>
      </c>
    </row>
    <row r="2392" spans="1:6">
      <c r="A2392" s="132">
        <v>2960000</v>
      </c>
      <c r="B2392" s="132">
        <v>2960000</v>
      </c>
      <c r="C2392" s="132">
        <v>2960000</v>
      </c>
      <c r="D2392" s="132">
        <v>2960000</v>
      </c>
      <c r="E2392" s="133">
        <v>40327</v>
      </c>
      <c r="F2392" s="134" t="s">
        <v>3580</v>
      </c>
    </row>
    <row r="2393" spans="1:6">
      <c r="A2393" s="132">
        <v>2950000</v>
      </c>
      <c r="B2393" s="132">
        <v>2950000</v>
      </c>
      <c r="C2393" s="132">
        <v>2950000</v>
      </c>
      <c r="D2393" s="132">
        <v>2950000</v>
      </c>
      <c r="E2393" s="133">
        <v>40325</v>
      </c>
      <c r="F2393" s="134" t="s">
        <v>3581</v>
      </c>
    </row>
    <row r="2394" spans="1:6">
      <c r="A2394" s="132">
        <v>2910000</v>
      </c>
      <c r="B2394" s="132">
        <v>2910000</v>
      </c>
      <c r="C2394" s="132">
        <v>2910000</v>
      </c>
      <c r="D2394" s="132">
        <v>2910000</v>
      </c>
      <c r="E2394" s="133">
        <v>40324</v>
      </c>
      <c r="F2394" s="134" t="s">
        <v>3582</v>
      </c>
    </row>
    <row r="2395" spans="1:6">
      <c r="A2395" s="132">
        <v>2900000</v>
      </c>
      <c r="B2395" s="132">
        <v>2900000</v>
      </c>
      <c r="C2395" s="132">
        <v>2900000</v>
      </c>
      <c r="D2395" s="132">
        <v>2900000</v>
      </c>
      <c r="E2395" s="133">
        <v>40323</v>
      </c>
      <c r="F2395" s="134" t="s">
        <v>3583</v>
      </c>
    </row>
    <row r="2396" spans="1:6">
      <c r="A2396" s="132">
        <v>2880000</v>
      </c>
      <c r="B2396" s="132">
        <v>2880000</v>
      </c>
      <c r="C2396" s="132">
        <v>2880000</v>
      </c>
      <c r="D2396" s="132">
        <v>2880000</v>
      </c>
      <c r="E2396" s="133">
        <v>40322</v>
      </c>
      <c r="F2396" s="134" t="s">
        <v>3584</v>
      </c>
    </row>
    <row r="2397" spans="1:6">
      <c r="A2397" s="132">
        <v>2920000</v>
      </c>
      <c r="B2397" s="132">
        <v>2920000</v>
      </c>
      <c r="C2397" s="132">
        <v>2920000</v>
      </c>
      <c r="D2397" s="132">
        <v>2920000</v>
      </c>
      <c r="E2397" s="133">
        <v>40318</v>
      </c>
      <c r="F2397" s="134" t="s">
        <v>3585</v>
      </c>
    </row>
    <row r="2398" spans="1:6">
      <c r="A2398" s="132">
        <v>2880000</v>
      </c>
      <c r="B2398" s="132">
        <v>2880000</v>
      </c>
      <c r="C2398" s="132">
        <v>2880000</v>
      </c>
      <c r="D2398" s="132">
        <v>2880000</v>
      </c>
      <c r="E2398" s="133">
        <v>40321</v>
      </c>
      <c r="F2398" s="134" t="s">
        <v>3586</v>
      </c>
    </row>
    <row r="2399" spans="1:6">
      <c r="A2399" s="132">
        <v>2920000</v>
      </c>
      <c r="B2399" s="132">
        <v>2920000</v>
      </c>
      <c r="C2399" s="132">
        <v>2920000</v>
      </c>
      <c r="D2399" s="132">
        <v>2920000</v>
      </c>
      <c r="E2399" s="133">
        <v>40317</v>
      </c>
      <c r="F2399" s="134" t="s">
        <v>3587</v>
      </c>
    </row>
    <row r="2400" spans="1:6">
      <c r="A2400" s="132">
        <v>2900000</v>
      </c>
      <c r="B2400" s="132">
        <v>2900000</v>
      </c>
      <c r="C2400" s="132">
        <v>2900000</v>
      </c>
      <c r="D2400" s="132">
        <v>2900000</v>
      </c>
      <c r="E2400" s="133">
        <v>40320</v>
      </c>
      <c r="F2400" s="134" t="s">
        <v>3588</v>
      </c>
    </row>
    <row r="2401" spans="1:6">
      <c r="A2401" s="132">
        <v>2930000</v>
      </c>
      <c r="B2401" s="132">
        <v>2930000</v>
      </c>
      <c r="C2401" s="132">
        <v>2930000</v>
      </c>
      <c r="D2401" s="132">
        <v>2930000</v>
      </c>
      <c r="E2401" s="133">
        <v>40316</v>
      </c>
      <c r="F2401" s="134" t="s">
        <v>3589</v>
      </c>
    </row>
    <row r="2402" spans="1:6">
      <c r="A2402" s="132">
        <v>2950000</v>
      </c>
      <c r="B2402" s="132">
        <v>2950000</v>
      </c>
      <c r="C2402" s="132">
        <v>2950000</v>
      </c>
      <c r="D2402" s="132">
        <v>2950000</v>
      </c>
      <c r="E2402" s="133">
        <v>40313</v>
      </c>
      <c r="F2402" s="134" t="s">
        <v>3590</v>
      </c>
    </row>
    <row r="2403" spans="1:6">
      <c r="A2403" s="132">
        <v>2950000</v>
      </c>
      <c r="B2403" s="132">
        <v>2950000</v>
      </c>
      <c r="C2403" s="132">
        <v>2950000</v>
      </c>
      <c r="D2403" s="132">
        <v>2950000</v>
      </c>
      <c r="E2403" s="133">
        <v>40311</v>
      </c>
      <c r="F2403" s="134" t="s">
        <v>3591</v>
      </c>
    </row>
    <row r="2404" spans="1:6">
      <c r="A2404" s="132">
        <v>2880000</v>
      </c>
      <c r="B2404" s="132">
        <v>2880000</v>
      </c>
      <c r="C2404" s="132">
        <v>2880000</v>
      </c>
      <c r="D2404" s="132">
        <v>2880000</v>
      </c>
      <c r="E2404" s="133">
        <v>40310</v>
      </c>
      <c r="F2404" s="134" t="s">
        <v>3592</v>
      </c>
    </row>
    <row r="2405" spans="1:6">
      <c r="A2405" s="132">
        <v>2870000</v>
      </c>
      <c r="B2405" s="132">
        <v>2870000</v>
      </c>
      <c r="C2405" s="132">
        <v>2870000</v>
      </c>
      <c r="D2405" s="132">
        <v>2870000</v>
      </c>
      <c r="E2405" s="133">
        <v>40309</v>
      </c>
      <c r="F2405" s="134" t="s">
        <v>3593</v>
      </c>
    </row>
    <row r="2406" spans="1:6">
      <c r="A2406" s="132">
        <v>2890000</v>
      </c>
      <c r="B2406" s="132">
        <v>2890000</v>
      </c>
      <c r="C2406" s="132">
        <v>2890000</v>
      </c>
      <c r="D2406" s="132">
        <v>2890000</v>
      </c>
      <c r="E2406" s="133">
        <v>40308</v>
      </c>
      <c r="F2406" s="134" t="s">
        <v>3594</v>
      </c>
    </row>
    <row r="2407" spans="1:6">
      <c r="A2407" s="132">
        <v>2900000</v>
      </c>
      <c r="B2407" s="132">
        <v>2900000</v>
      </c>
      <c r="C2407" s="132">
        <v>2900000</v>
      </c>
      <c r="D2407" s="132">
        <v>2900000</v>
      </c>
      <c r="E2407" s="133">
        <v>40307</v>
      </c>
      <c r="F2407" s="134" t="s">
        <v>3595</v>
      </c>
    </row>
    <row r="2408" spans="1:6">
      <c r="A2408" s="132">
        <v>2820000</v>
      </c>
      <c r="B2408" s="132">
        <v>2820000</v>
      </c>
      <c r="C2408" s="132">
        <v>2820000</v>
      </c>
      <c r="D2408" s="132">
        <v>2820000</v>
      </c>
      <c r="E2408" s="133">
        <v>40306</v>
      </c>
      <c r="F2408" s="134" t="s">
        <v>3596</v>
      </c>
    </row>
    <row r="2409" spans="1:6">
      <c r="A2409" s="132">
        <v>2870000</v>
      </c>
      <c r="B2409" s="132">
        <v>2870000</v>
      </c>
      <c r="C2409" s="132">
        <v>2870000</v>
      </c>
      <c r="D2409" s="132">
        <v>2870000</v>
      </c>
      <c r="E2409" s="133">
        <v>40304</v>
      </c>
      <c r="F2409" s="134" t="s">
        <v>3597</v>
      </c>
    </row>
    <row r="2410" spans="1:6">
      <c r="A2410" s="132">
        <v>2825000</v>
      </c>
      <c r="B2410" s="132">
        <v>2825000</v>
      </c>
      <c r="C2410" s="132">
        <v>2825000</v>
      </c>
      <c r="D2410" s="132">
        <v>2825000</v>
      </c>
      <c r="E2410" s="133">
        <v>40303</v>
      </c>
      <c r="F2410" s="134" t="s">
        <v>3598</v>
      </c>
    </row>
    <row r="2411" spans="1:6">
      <c r="A2411" s="132">
        <v>2820000</v>
      </c>
      <c r="B2411" s="132">
        <v>2820000</v>
      </c>
      <c r="C2411" s="132">
        <v>2820000</v>
      </c>
      <c r="D2411" s="132">
        <v>2820000</v>
      </c>
      <c r="E2411" s="133">
        <v>40302</v>
      </c>
      <c r="F2411" s="134" t="s">
        <v>3599</v>
      </c>
    </row>
    <row r="2412" spans="1:6">
      <c r="A2412" s="132">
        <v>2830000</v>
      </c>
      <c r="B2412" s="132">
        <v>2830000</v>
      </c>
      <c r="C2412" s="132">
        <v>2830000</v>
      </c>
      <c r="D2412" s="132">
        <v>2830000</v>
      </c>
      <c r="E2412" s="133">
        <v>40301</v>
      </c>
      <c r="F2412" s="134" t="s">
        <v>3600</v>
      </c>
    </row>
    <row r="2413" spans="1:6">
      <c r="A2413" s="132">
        <v>2830000</v>
      </c>
      <c r="B2413" s="132">
        <v>2830000</v>
      </c>
      <c r="C2413" s="132">
        <v>2830000</v>
      </c>
      <c r="D2413" s="132">
        <v>2830000</v>
      </c>
      <c r="E2413" s="133">
        <v>40300</v>
      </c>
      <c r="F2413" s="134" t="s">
        <v>3601</v>
      </c>
    </row>
    <row r="2414" spans="1:6">
      <c r="A2414" s="132">
        <v>2780000</v>
      </c>
      <c r="B2414" s="132">
        <v>2780000</v>
      </c>
      <c r="C2414" s="132">
        <v>2780000</v>
      </c>
      <c r="D2414" s="132">
        <v>2780000</v>
      </c>
      <c r="E2414" s="133">
        <v>40299</v>
      </c>
      <c r="F2414" s="134" t="s">
        <v>3602</v>
      </c>
    </row>
    <row r="2415" spans="1:6">
      <c r="A2415" s="132">
        <v>2780000</v>
      </c>
      <c r="B2415" s="132">
        <v>2780000</v>
      </c>
      <c r="C2415" s="132">
        <v>2780000</v>
      </c>
      <c r="D2415" s="132">
        <v>2780000</v>
      </c>
      <c r="E2415" s="133">
        <v>40297</v>
      </c>
      <c r="F2415" s="134" t="s">
        <v>3603</v>
      </c>
    </row>
    <row r="2416" spans="1:6">
      <c r="A2416" s="132">
        <v>2850000</v>
      </c>
      <c r="B2416" s="132">
        <v>2850000</v>
      </c>
      <c r="C2416" s="132">
        <v>2850000</v>
      </c>
      <c r="D2416" s="132">
        <v>2850000</v>
      </c>
      <c r="E2416" s="133">
        <v>40296</v>
      </c>
      <c r="F2416" s="134" t="s">
        <v>3604</v>
      </c>
    </row>
    <row r="2417" spans="1:6">
      <c r="A2417" s="132">
        <v>2750000</v>
      </c>
      <c r="B2417" s="132">
        <v>2750000</v>
      </c>
      <c r="C2417" s="132">
        <v>2750000</v>
      </c>
      <c r="D2417" s="132">
        <v>2750000</v>
      </c>
      <c r="E2417" s="133">
        <v>40295</v>
      </c>
      <c r="F2417" s="134" t="s">
        <v>3605</v>
      </c>
    </row>
    <row r="2418" spans="1:6">
      <c r="A2418" s="132">
        <v>2770000</v>
      </c>
      <c r="B2418" s="132">
        <v>2770000</v>
      </c>
      <c r="C2418" s="132">
        <v>2770000</v>
      </c>
      <c r="D2418" s="132">
        <v>2770000</v>
      </c>
      <c r="E2418" s="133">
        <v>40293</v>
      </c>
      <c r="F2418" s="134" t="s">
        <v>3606</v>
      </c>
    </row>
    <row r="2419" spans="1:6">
      <c r="A2419" s="132">
        <v>2740000</v>
      </c>
      <c r="B2419" s="132">
        <v>2740000</v>
      </c>
      <c r="C2419" s="132">
        <v>2740000</v>
      </c>
      <c r="D2419" s="132">
        <v>2740000</v>
      </c>
      <c r="E2419" s="133">
        <v>40292</v>
      </c>
      <c r="F2419" s="134" t="s">
        <v>3607</v>
      </c>
    </row>
    <row r="2420" spans="1:6">
      <c r="A2420" s="132">
        <v>2730000</v>
      </c>
      <c r="B2420" s="132">
        <v>2730000</v>
      </c>
      <c r="C2420" s="132">
        <v>2730000</v>
      </c>
      <c r="D2420" s="132">
        <v>2730000</v>
      </c>
      <c r="E2420" s="133">
        <v>40290</v>
      </c>
      <c r="F2420" s="134" t="s">
        <v>3608</v>
      </c>
    </row>
    <row r="2421" spans="1:6">
      <c r="A2421" s="132">
        <v>2710000</v>
      </c>
      <c r="B2421" s="132">
        <v>2710000</v>
      </c>
      <c r="C2421" s="132">
        <v>2710000</v>
      </c>
      <c r="D2421" s="132">
        <v>2710000</v>
      </c>
      <c r="E2421" s="133">
        <v>40289</v>
      </c>
      <c r="F2421" s="134" t="s">
        <v>3609</v>
      </c>
    </row>
    <row r="2422" spans="1:6">
      <c r="A2422" s="132">
        <v>2710000</v>
      </c>
      <c r="B2422" s="132">
        <v>2710000</v>
      </c>
      <c r="C2422" s="132">
        <v>2710000</v>
      </c>
      <c r="D2422" s="132">
        <v>2710000</v>
      </c>
      <c r="E2422" s="133">
        <v>40288</v>
      </c>
      <c r="F2422" s="134" t="s">
        <v>3610</v>
      </c>
    </row>
    <row r="2423" spans="1:6">
      <c r="A2423" s="132">
        <v>2715000</v>
      </c>
      <c r="B2423" s="132">
        <v>2715000</v>
      </c>
      <c r="C2423" s="132">
        <v>2715000</v>
      </c>
      <c r="D2423" s="132">
        <v>2715000</v>
      </c>
      <c r="E2423" s="133">
        <v>40287</v>
      </c>
      <c r="F2423" s="134" t="s">
        <v>3611</v>
      </c>
    </row>
    <row r="2424" spans="1:6">
      <c r="A2424" s="132">
        <v>2720000</v>
      </c>
      <c r="B2424" s="132">
        <v>2720000</v>
      </c>
      <c r="C2424" s="132">
        <v>2720000</v>
      </c>
      <c r="D2424" s="132">
        <v>2720000</v>
      </c>
      <c r="E2424" s="133">
        <v>40286</v>
      </c>
      <c r="F2424" s="134" t="s">
        <v>3612</v>
      </c>
    </row>
    <row r="2425" spans="1:6">
      <c r="A2425" s="132">
        <v>2740000</v>
      </c>
      <c r="B2425" s="132">
        <v>2740000</v>
      </c>
      <c r="C2425" s="132">
        <v>2740000</v>
      </c>
      <c r="D2425" s="132">
        <v>2740000</v>
      </c>
      <c r="E2425" s="133">
        <v>40285</v>
      </c>
      <c r="F2425" s="134" t="s">
        <v>3613</v>
      </c>
    </row>
    <row r="2426" spans="1:6">
      <c r="A2426" s="132">
        <v>2745000</v>
      </c>
      <c r="B2426" s="132">
        <v>2745000</v>
      </c>
      <c r="C2426" s="132">
        <v>2745000</v>
      </c>
      <c r="D2426" s="132">
        <v>2745000</v>
      </c>
      <c r="E2426" s="133">
        <v>40283</v>
      </c>
      <c r="F2426" s="134" t="s">
        <v>3614</v>
      </c>
    </row>
    <row r="2427" spans="1:6">
      <c r="A2427" s="132">
        <v>2750000</v>
      </c>
      <c r="B2427" s="132">
        <v>2750000</v>
      </c>
      <c r="C2427" s="132">
        <v>2750000</v>
      </c>
      <c r="D2427" s="132">
        <v>2750000</v>
      </c>
      <c r="E2427" s="133">
        <v>40282</v>
      </c>
      <c r="F2427" s="134" t="s">
        <v>3615</v>
      </c>
    </row>
    <row r="2428" spans="1:6">
      <c r="A2428" s="132">
        <v>2760000</v>
      </c>
      <c r="B2428" s="132">
        <v>2760000</v>
      </c>
      <c r="C2428" s="132">
        <v>2760000</v>
      </c>
      <c r="D2428" s="132">
        <v>2760000</v>
      </c>
      <c r="E2428" s="133">
        <v>40281</v>
      </c>
      <c r="F2428" s="134" t="s">
        <v>3616</v>
      </c>
    </row>
    <row r="2429" spans="1:6">
      <c r="A2429" s="132">
        <v>2750000</v>
      </c>
      <c r="B2429" s="132">
        <v>2750000</v>
      </c>
      <c r="C2429" s="132">
        <v>2750000</v>
      </c>
      <c r="D2429" s="132">
        <v>2750000</v>
      </c>
      <c r="E2429" s="133">
        <v>40280</v>
      </c>
      <c r="F2429" s="134" t="s">
        <v>3617</v>
      </c>
    </row>
    <row r="2430" spans="1:6">
      <c r="A2430" s="132">
        <v>2720000</v>
      </c>
      <c r="B2430" s="132">
        <v>2720000</v>
      </c>
      <c r="C2430" s="132">
        <v>2720000</v>
      </c>
      <c r="D2430" s="132">
        <v>2720000</v>
      </c>
      <c r="E2430" s="133">
        <v>40278</v>
      </c>
      <c r="F2430" s="134" t="s">
        <v>3618</v>
      </c>
    </row>
    <row r="2431" spans="1:6">
      <c r="A2431" s="132">
        <v>2710000</v>
      </c>
      <c r="B2431" s="132">
        <v>2710000</v>
      </c>
      <c r="C2431" s="132">
        <v>2710000</v>
      </c>
      <c r="D2431" s="132">
        <v>2710000</v>
      </c>
      <c r="E2431" s="133">
        <v>40276</v>
      </c>
      <c r="F2431" s="134" t="s">
        <v>3619</v>
      </c>
    </row>
    <row r="2432" spans="1:6">
      <c r="A2432" s="132">
        <v>2680000</v>
      </c>
      <c r="B2432" s="132">
        <v>2680000</v>
      </c>
      <c r="C2432" s="132">
        <v>2680000</v>
      </c>
      <c r="D2432" s="132">
        <v>2680000</v>
      </c>
      <c r="E2432" s="133">
        <v>40275</v>
      </c>
      <c r="F2432" s="134" t="s">
        <v>3620</v>
      </c>
    </row>
    <row r="2433" spans="1:6">
      <c r="A2433" s="132">
        <v>2680000</v>
      </c>
      <c r="B2433" s="132">
        <v>2680000</v>
      </c>
      <c r="C2433" s="132">
        <v>2680000</v>
      </c>
      <c r="D2433" s="132">
        <v>2680000</v>
      </c>
      <c r="E2433" s="133">
        <v>40274</v>
      </c>
      <c r="F2433" s="134" t="s">
        <v>3621</v>
      </c>
    </row>
    <row r="2434" spans="1:6">
      <c r="A2434" s="132">
        <v>2680000</v>
      </c>
      <c r="B2434" s="132">
        <v>2680000</v>
      </c>
      <c r="C2434" s="132">
        <v>2680000</v>
      </c>
      <c r="D2434" s="132">
        <v>2680000</v>
      </c>
      <c r="E2434" s="133">
        <v>40273</v>
      </c>
      <c r="F2434" s="134" t="s">
        <v>3622</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3623</v>
      </c>
      <c r="B1" s="94" t="s">
        <v>1332</v>
      </c>
      <c r="C1" s="94" t="s">
        <v>1331</v>
      </c>
      <c r="D1" s="94" t="s">
        <v>1327</v>
      </c>
      <c r="E1" s="94" t="s">
        <v>1328</v>
      </c>
      <c r="F1" s="94" t="s">
        <v>1329</v>
      </c>
      <c r="G1" s="94" t="s">
        <v>1330</v>
      </c>
      <c r="H1" s="94"/>
      <c r="I1" s="94" t="s">
        <v>3631</v>
      </c>
      <c r="J1" s="94" t="s">
        <v>1111</v>
      </c>
      <c r="K1" s="94" t="s">
        <v>1218</v>
      </c>
      <c r="L1" s="94" t="s">
        <v>3632</v>
      </c>
      <c r="M1" s="94" t="s">
        <v>3633</v>
      </c>
      <c r="N1" s="94" t="s">
        <v>191</v>
      </c>
      <c r="O1" s="94" t="s">
        <v>3636</v>
      </c>
      <c r="P1" s="137" t="s">
        <v>3637</v>
      </c>
      <c r="Q1" s="137" t="s">
        <v>3638</v>
      </c>
      <c r="R1" s="94" t="s">
        <v>920</v>
      </c>
      <c r="S1" s="94" t="s">
        <v>3634</v>
      </c>
      <c r="T1" s="94" t="s">
        <v>1111</v>
      </c>
      <c r="U1" s="94" t="s">
        <v>1218</v>
      </c>
      <c r="V1" s="94" t="s">
        <v>3635</v>
      </c>
      <c r="W1" s="94" t="s">
        <v>3633</v>
      </c>
      <c r="X1" s="94" t="s">
        <v>191</v>
      </c>
    </row>
    <row r="2" spans="1:35">
      <c r="A2" s="94">
        <v>1</v>
      </c>
      <c r="B2" s="134" t="s">
        <v>3622</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3621</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3620</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3624</v>
      </c>
      <c r="AC4" s="94" t="s">
        <v>3625</v>
      </c>
      <c r="AD4" s="94" t="s">
        <v>3626</v>
      </c>
      <c r="AE4" s="94" t="s">
        <v>3627</v>
      </c>
      <c r="AH4" s="94" t="s">
        <v>3628</v>
      </c>
      <c r="AI4" s="108">
        <v>100000000</v>
      </c>
    </row>
    <row r="5" spans="1:35">
      <c r="A5" s="94">
        <v>4</v>
      </c>
      <c r="B5" s="134" t="s">
        <v>3619</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3618</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3629</v>
      </c>
      <c r="AI6" s="94">
        <v>25</v>
      </c>
    </row>
    <row r="7" spans="1:35">
      <c r="A7" s="94">
        <v>6</v>
      </c>
      <c r="B7" s="134" t="s">
        <v>3617</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3616</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3615</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3614</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3630</v>
      </c>
      <c r="AI10" s="108">
        <f>AI4*(1+AI6/100)^8</f>
        <v>596046447.75390625</v>
      </c>
    </row>
    <row r="11" spans="1:35">
      <c r="A11" s="94">
        <v>10</v>
      </c>
      <c r="B11" s="134" t="s">
        <v>3613</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3612</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3611</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3610</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3609</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3608</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3607</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3606</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3605</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3604</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3603</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3602</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3601</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3600</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3599</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3598</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3597</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3596</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3595</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3594</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3593</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3592</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3591</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3590</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3589</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3588</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3587</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3586</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3585</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3584</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3583</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3582</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3581</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3580</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3579</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3578</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3577</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3576</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3575</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3574</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3573</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3572</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3571</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3570</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3569</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3568</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3567</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3566</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3565</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3564</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3563</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3562</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3561</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3560</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3559</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3558</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3557</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3556</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3555</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3554</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3553</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3552</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3551</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3550</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3549</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3548</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3547</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3546</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3545</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3544</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3543</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3542</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3541</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3540</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3539</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3538</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3537</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3536</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3535</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3534</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3533</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3532</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3531</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3530</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3529</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3528</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3527</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3526</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3525</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3524</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3523</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3522</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3521</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3520</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3519</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3518</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3517</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3516</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3515</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3514</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3513</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3512</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3511</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3510</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3509</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3508</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3507</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3506</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3505</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3504</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3503</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3502</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3501</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3500</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3499</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3498</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3497</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3496</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3495</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3494</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3493</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3492</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3491</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3490</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3489</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3488</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3487</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3486</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3485</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3484</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3483</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3482</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3481</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3480</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3479</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3478</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3477</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3476</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3475</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3474</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3473</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3472</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3471</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3470</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3469</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3468</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3467</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3466</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3465</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3464</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3463</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3462</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3461</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3460</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3459</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3458</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3457</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3456</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3455</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3454</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3453</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3452</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3451</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3450</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3449</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3448</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3447</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3446</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3445</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3444</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3443</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3442</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3441</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3440</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3439</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3438</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3437</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3436</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3435</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3434</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3433</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3432</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3431</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3430</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3429</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3428</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3427</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3426</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3425</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3424</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3423</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3422</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3421</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3420</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3419</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3418</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3417</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3416</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3415</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3414</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3413</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3412</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3411</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3410</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3409</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3408</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3407</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3406</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3405</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3404</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3403</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3402</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3401</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3400</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3399</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3398</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3397</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3396</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3395</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3394</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3393</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3392</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3391</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3390</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3389</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3388</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3387</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3386</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3385</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3384</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3383</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3382</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3381</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3380</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3379</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3378</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3377</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3376</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3375</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3374</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3373</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3372</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3371</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3370</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3369</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3368</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3367</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3366</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3365</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3364</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3363</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3362</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3361</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3360</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3359</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3358</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3357</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3356</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3355</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3354</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3353</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3352</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3351</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3350</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3349</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3348</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3347</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3346</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3345</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3344</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3343</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3342</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3341</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3340</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3339</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3338</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3337</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3336</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3335</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3334</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3333</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3332</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3331</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3330</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3329</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3328</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3327</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3326</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3325</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3324</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3323</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3322</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3321</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3320</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3319</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3318</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3317</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3316</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3315</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3314</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3313</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3312</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3311</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3310</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3309</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3308</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3307</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3306</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3305</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3304</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3303</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3302</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3301</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3300</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3299</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3298</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3297</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3296</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3295</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3294</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3293</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3292</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3291</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3290</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3289</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3288</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3287</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3286</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3285</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3284</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3283</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3282</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3281</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3280</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3279</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3278</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3277</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3276</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3275</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3274</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3273</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3272</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3271</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3270</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3269</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3268</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3267</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3266</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3265</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3264</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3263</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3262</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3261</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3260</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3259</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3258</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3257</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3256</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3255</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3254</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3253</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3252</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3251</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3250</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3249</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3248</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3247</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3246</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3245</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3244</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3243</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3242</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3241</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3240</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3239</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3238</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3237</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3236</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3235</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3234</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3233</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3232</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3231</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3230</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3229</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3228</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3227</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3226</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3225</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3224</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3223</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3222</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3221</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3220</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3219</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3218</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3217</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3216</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3215</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3214</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3213</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3212</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3211</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3210</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3209</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3208</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3207</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3206</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3205</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3204</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3203</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3202</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3201</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3200</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3199</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3198</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3197</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3196</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3195</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3194</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3193</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3192</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3191</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3190</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3189</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3188</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3187</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3186</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3185</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3184</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3183</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3182</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3181</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3180</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3179</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3178</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3177</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3176</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3175</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3174</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3173</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3172</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3171</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3170</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3169</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3168</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3167</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3166</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3165</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3164</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3163</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3162</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3161</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3160</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3159</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3158</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3157</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3156</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3155</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3154</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3153</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3152</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3151</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3150</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3149</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3148</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3147</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3146</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3145</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3144</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3143</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3142</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3141</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3140</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3139</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3138</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3137</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3136</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3135</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3134</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3133</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3132</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3131</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3130</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3129</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3128</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3127</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3126</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3125</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3124</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3123</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3122</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3121</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3120</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3119</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3118</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3117</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3116</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3115</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3114</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3113</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3112</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3111</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3110</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3109</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3108</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3107</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3106</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3105</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3104</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3103</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3102</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3101</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3100</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3099</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3098</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3097</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3096</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3095</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3094</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3093</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3092</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3091</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3090</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3089</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3088</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3087</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3086</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3085</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3084</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3083</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3082</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3081</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3080</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3079</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3078</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3077</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3076</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3075</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3074</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3073</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3072</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3071</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3070</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3069</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3068</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3067</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3066</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3065</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3064</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3063</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3062</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3061</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3060</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3059</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3058</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3057</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3056</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3055</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3054</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3053</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3052</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3051</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3050</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3049</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3048</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3047</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3046</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3045</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3044</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3043</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3042</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3041</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3040</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3039</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3038</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3037</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3036</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3035</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3034</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3033</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3032</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3031</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3030</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3029</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3028</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3027</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3026</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3025</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3024</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3023</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3022</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3021</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3020</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3019</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3018</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3017</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3016</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3015</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3014</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3013</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3012</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3011</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3010</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3009</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3008</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3007</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3006</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3005</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3004</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3003</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3002</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3001</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3000</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2999</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2998</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2997</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2996</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2995</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2994</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2993</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2992</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2991</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2990</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2989</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2988</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2987</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2986</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2985</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2984</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2983</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2982</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2981</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2980</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2979</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2978</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2977</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2976</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2975</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2974</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2973</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2972</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2971</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2970</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2969</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2968</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2967</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2966</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2965</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2964</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2963</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2962</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2961</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2960</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2959</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2958</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2957</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2956</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2955</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2954</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2953</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2952</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2951</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2950</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2949</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2948</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2947</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2946</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2945</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2944</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2943</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2942</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2941</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2940</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2939</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2938</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2937</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2936</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2935</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2934</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2933</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2932</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2931</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2930</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2929</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2928</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2927</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2926</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2925</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2924</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2923</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2922</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2921</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2920</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2919</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2918</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2917</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2916</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2915</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2914</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2913</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2912</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2911</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2910</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2909</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2908</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2907</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2906</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2905</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2904</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2903</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2902</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2901</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2900</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2899</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2898</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2897</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2896</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2895</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2894</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2893</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2892</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2891</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2890</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2889</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2888</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2887</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2886</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2885</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2884</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2883</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2882</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2881</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2880</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2879</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2878</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2877</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2876</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2875</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2874</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2873</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2872</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2871</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2870</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2869</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2868</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2867</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2866</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2865</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2864</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2863</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2862</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2861</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2860</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2859</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2858</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2857</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2856</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2855</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2854</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2853</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2852</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2851</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2850</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2849</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2848</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2847</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2846</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2845</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2844</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2843</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2842</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2841</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2840</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2839</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2838</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2837</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2836</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2835</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2834</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2833</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2832</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2831</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2830</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2829</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2828</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2827</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2826</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2825</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2824</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2823</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2822</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2821</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2820</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2819</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2818</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2817</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2816</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2815</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2814</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2813</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2812</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2811</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2810</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2809</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2808</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2807</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2806</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2805</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2804</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2803</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2802</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2801</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2800</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2799</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2798</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2797</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2796</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2795</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2794</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2793</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2792</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2791</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2790</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2789</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2788</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2787</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2786</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2785</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2784</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2783</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2782</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2781</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2780</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2779</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2778</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2777</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2776</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2775</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2774</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2773</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2772</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2771</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2770</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2769</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2768</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2767</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2766</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2765</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2764</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2763</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2762</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2761</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2760</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2759</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2758</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2757</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2756</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2755</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2754</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2753</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2752</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2751</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2750</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2749</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2748</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2747</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2746</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2745</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2744</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2743</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2742</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2741</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2740</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2739</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2738</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2737</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2736</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2735</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2734</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2733</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2732</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2731</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2730</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2729</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2728</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2727</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2726</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2725</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2724</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2723</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2722</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2721</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2720</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2719</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2718</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2717</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2716</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2715</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2714</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2713</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2712</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2711</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2710</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2709</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2708</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2707</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2706</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2705</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2704</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2703</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2702</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2701</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2700</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2699</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2698</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2697</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2696</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2695</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2694</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2693</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2692</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2691</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2690</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2689</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2688</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2687</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2686</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2685</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2684</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2683</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2682</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2681</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2680</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2679</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2678</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2677</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2676</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2675</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2674</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2673</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2672</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2671</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2670</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2669</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2668</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2667</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2666</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2665</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2664</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2663</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2662</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2661</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2660</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2659</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2658</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2657</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2656</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2655</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2654</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2653</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2652</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2651</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2650</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2649</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2648</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2647</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2646</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2645</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2644</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2643</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2642</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2641</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2640</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2639</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2638</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2637</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2636</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2635</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2634</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2633</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2632</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2631</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2630</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2629</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2628</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2627</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2626</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2625</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2624</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2623</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2622</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2621</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2620</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2619</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2618</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2617</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2616</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2615</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2614</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2613</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2612</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2611</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2610</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2609</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2608</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2607</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2606</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2605</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2604</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2603</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2602</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2601</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2600</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2599</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2598</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2597</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2596</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2595</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2594</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2593</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2592</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2591</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2590</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2589</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2588</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2587</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2586</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2585</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2584</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2583</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2582</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2581</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2580</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2579</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2578</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2577</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2576</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2575</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2574</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2573</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2572</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2571</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2570</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2569</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2568</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2567</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2566</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2565</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2564</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2563</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2562</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2561</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2560</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2559</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2558</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2557</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2556</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2555</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2554</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2553</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2552</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2551</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2550</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2549</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2548</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2547</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2546</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2545</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2544</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2543</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2542</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2541</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2540</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2539</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2538</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2537</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2536</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2535</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2534</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2533</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2532</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2531</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2530</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2529</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2528</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2527</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2526</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2525</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2524</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2523</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2522</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2521</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2520</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2519</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2518</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2517</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2516</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2515</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2514</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2513</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2512</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2511</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2510</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2509</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2508</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2507</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2506</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2505</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2504</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2503</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2502</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2501</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2500</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2499</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2498</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2497</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2496</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2495</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2494</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2493</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2492</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2491</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2490</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2489</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2488</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2487</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2486</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2485</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2484</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2483</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2482</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2481</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2480</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2479</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2478</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2477</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2476</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2475</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2474</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2473</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2472</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2471</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2470</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2469</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2468</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2467</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2466</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2465</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2464</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2463</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2462</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2461</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2460</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2459</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2458</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2457</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2456</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2455</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2454</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2453</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2452</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2451</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2450</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2449</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2448</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2447</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2446</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2445</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2444</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2443</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2442</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2441</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2440</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2439</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2438</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2437</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2436</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2435</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2434</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2433</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2432</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2431</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2430</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2429</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2428</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2427</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2426</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2425</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2424</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2423</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2422</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2421</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2420</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2419</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2418</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2417</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2416</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2415</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2414</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2413</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2412</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2411</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2410</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2409</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2408</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2407</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2406</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2405</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2404</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2403</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2402</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2401</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2400</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2399</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2398</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2397</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2396</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2395</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2394</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2393</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2392</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2391</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2390</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2389</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2388</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2387</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2386</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2385</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2384</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2383</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2382</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2381</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2380</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2379</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2378</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2377</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2376</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2375</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2374</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2373</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2372</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2371</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2370</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2369</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2368</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2367</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2366</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2365</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2364</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2363</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2362</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2361</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2360</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2359</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2358</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2357</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2356</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2355</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2354</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2353</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2352</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2351</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2350</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2349</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2348</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2347</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2346</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2345</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2344</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2343</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2342</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2341</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2340</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2339</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2338</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2337</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2336</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2335</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2334</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2333</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2332</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2331</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2330</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2329</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2328</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2327</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2326</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2325</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2324</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2323</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2322</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2321</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2320</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2319</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2318</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2317</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2316</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2315</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2314</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2313</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2312</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2311</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2310</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2309</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2308</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2307</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2306</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2305</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2304</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2303</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2302</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2301</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2300</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2299</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2298</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2297</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2296</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2295</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2294</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2293</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2292</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2291</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2290</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2289</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2288</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2287</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2286</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2285</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2284</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2283</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2282</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2281</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2280</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2279</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2278</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2277</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2276</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2275</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2274</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2273</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2272</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2271</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2270</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2269</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2268</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2267</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2266</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2265</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2264</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2263</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2262</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2261</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2260</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2259</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2258</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2257</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2256</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2255</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2254</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2253</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2252</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2251</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2250</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2249</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2248</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2247</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2246</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2245</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2244</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2243</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2242</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2241</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2240</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2239</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2238</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2237</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2236</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2235</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2234</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2233</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2232</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2231</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2230</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2229</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2228</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2227</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2226</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2225</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2224</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2223</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2222</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2221</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2220</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2219</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2218</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2217</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2216</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2215</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2214</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2213</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2212</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2211</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2210</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2209</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2208</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2207</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2206</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2205</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2204</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2203</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2202</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2201</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2200</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2199</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2198</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2197</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2196</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2195</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2194</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2193</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2192</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2191</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2190</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2189</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2188</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2187</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2186</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2185</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2184</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2183</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2182</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2181</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2180</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2179</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2178</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2177</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2176</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2175</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2174</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2173</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2172</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2171</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2170</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2169</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2168</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2167</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2166</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2165</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2164</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2163</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2162</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2161</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2160</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2159</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2158</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2157</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2156</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2155</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2154</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2153</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2152</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2151</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2150</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2149</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2148</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2147</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2146</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2145</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2144</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2143</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2142</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2141</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2140</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2139</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2138</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2137</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2136</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2135</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2134</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2133</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2132</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2131</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2130</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2129</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2128</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2127</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2126</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2125</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2124</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2123</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2122</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2121</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2120</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2119</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2118</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2117</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2116</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2115</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2114</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2113</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2112</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2111</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2110</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2109</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2108</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2107</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2106</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2105</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2104</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2103</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2102</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2101</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2100</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2099</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2098</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2097</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2096</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2095</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2094</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2093</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2092</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2091</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2090</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2089</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2088</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2087</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2086</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2085</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2084</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2083</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2082</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2081</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2080</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2079</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2078</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2077</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2076</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2075</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2074</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2073</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2072</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2071</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2070</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2069</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2068</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2067</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2066</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2065</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2064</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2063</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2062</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2061</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2060</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2059</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2058</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2057</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2056</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2055</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2054</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2053</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2052</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2051</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2050</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2049</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2048</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2047</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2046</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2045</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2044</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2043</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2042</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2041</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2040</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2039</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2038</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2037</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2036</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2035</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2034</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2033</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2032</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2031</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2030</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2029</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2028</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2027</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2026</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2025</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2024</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2023</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2022</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2021</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2020</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2019</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2018</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2017</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2016</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2015</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2014</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2013</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2012</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2011</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2010</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2009</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2008</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2007</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2006</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2005</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2004</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2003</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2002</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2001</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2000</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1999</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1998</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1997</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1996</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1995</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1994</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1993</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1992</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1991</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1990</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1989</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1988</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1987</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1986</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1985</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1984</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1983</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1982</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1981</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1980</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1979</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1978</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1977</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1976</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1975</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1974</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1973</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1972</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1971</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1970</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1969</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1968</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1967</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1966</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1965</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1964</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1963</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1962</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1961</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1960</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1959</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1958</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1957</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1956</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1955</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1954</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1953</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1952</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1951</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1950</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1949</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1948</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1947</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1946</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1945</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1944</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1943</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1942</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1941</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1940</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1939</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1938</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1937</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1936</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1935</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1934</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1933</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1932</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1931</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1930</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1929</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1928</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1927</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1926</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1925</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1924</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1923</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1922</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1921</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1920</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1919</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1918</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1917</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1916</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1915</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1914</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1913</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1912</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1911</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1910</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1909</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1908</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1907</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1906</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1905</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1904</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1903</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1902</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1901</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1900</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1899</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1898</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1897</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1896</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1895</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1894</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1893</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1892</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1891</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1890</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1889</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1888</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1887</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1886</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1885</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1884</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1883</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1882</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1881</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1880</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1879</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1878</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1877</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1876</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1875</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1874</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1873</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1872</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1871</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1870</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1869</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1868</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1867</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1866</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1865</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1864</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1863</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1862</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1861</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1860</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1859</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1858</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1857</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1856</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1855</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1854</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1853</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1852</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1851</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1850</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1849</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1848</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1847</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1846</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1845</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1844</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1843</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1842</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1841</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1840</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1839</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1838</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1837</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1836</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1835</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1834</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1833</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1832</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1831</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1830</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1829</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1828</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1827</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1826</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1825</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1824</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1823</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1822</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1821</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1820</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1819</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1818</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1817</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1816</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1815</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1814</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1813</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1812</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1811</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1810</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1809</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1808</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1807</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1806</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1805</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1804</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1803</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1802</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1801</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1800</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1799</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1798</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1797</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1796</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1795</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1794</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1793</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1792</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1791</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1790</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1789</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1788</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1787</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1786</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1785</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1784</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1783</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1782</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1781</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1780</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1779</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1778</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1777</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1776</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1775</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1774</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1773</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1772</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1771</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1770</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1769</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1768</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1767</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1766</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1765</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1764</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1763</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1762</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1761</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1760</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1759</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1758</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1757</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1756</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1755</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1754</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1753</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1752</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1751</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1750</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1749</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1748</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1747</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1746</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1745</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1744</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1743</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1742</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1741</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1740</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1739</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1738</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1737</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1736</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1735</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1734</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1733</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1732</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1731</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1730</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1729</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1728</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1727</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1726</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1725</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1724</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1723</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1722</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1721</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1720</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1719</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1718</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1717</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1716</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1715</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1714</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1713</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1712</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1711</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1710</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1709</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1708</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1707</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1706</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1705</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1704</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1703</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1702</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1701</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1700</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1699</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1698</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1697</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1696</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1695</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1694</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1693</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1692</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1691</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1690</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1689</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1688</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1687</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1686</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1685</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1684</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1683</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1682</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1681</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1680</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1679</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1678</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1677</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1676</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1675</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1674</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1673</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1672</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1671</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1670</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1669</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1668</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1667</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1666</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1665</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1664</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1663</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1662</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1661</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1660</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1659</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1658</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1657</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1656</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1655</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1654</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1653</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1652</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1651</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1650</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1649</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1648</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1647</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1646</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1645</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1644</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1643</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1642</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1641</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1640</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1639</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1638</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1637</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1636</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1635</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1634</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1633</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1632</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1631</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1630</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1629</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1628</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1627</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1626</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1625</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1624</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1623</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1622</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1621</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1620</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1619</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1618</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1617</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1616</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1615</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1614</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1613</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1612</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1611</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1610</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1609</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1608</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1607</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1606</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1605</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1604</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1603</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1602</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1601</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1600</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1599</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1598</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1597</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1596</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1595</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1594</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1593</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1592</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1591</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1590</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1589</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1588</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1587</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1586</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1585</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1584</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1583</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1582</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1581</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1580</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1579</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1578</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1577</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1576</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1575</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1574</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1573</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1572</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1571</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1570</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1569</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1568</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1567</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1566</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1565</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1564</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1563</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1562</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1561</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1560</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1559</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1558</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1557</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1556</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1555</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1554</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1553</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1552</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1551</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1550</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1549</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1548</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1547</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1546</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1545</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1544</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1543</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1542</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1541</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1540</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1539</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1538</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1537</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1536</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1535</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1534</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1533</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1532</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1531</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1530</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1529</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1528</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1527</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1526</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1525</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1524</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1523</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1522</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1521</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1520</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1519</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1518</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1517</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1516</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1515</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1514</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1513</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1512</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1511</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1510</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1509</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1508</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1507</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1506</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1505</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1504</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1503</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1502</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1501</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1500</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1499</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1498</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1497</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1496</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1495</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1494</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1493</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1492</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1491</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1490</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1489</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1488</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1487</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1486</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1485</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1484</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1483</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1482</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1481</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1480</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1479</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1478</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1477</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1476</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1475</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1474</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1473</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1472</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1471</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1470</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1469</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1468</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1467</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1466</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1465</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1464</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1463</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1462</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1461</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1460</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1459</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1458</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1457</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1456</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1455</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1454</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1453</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1452</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1451</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1450</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1449</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1448</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1447</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1446</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1445</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1444</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1443</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1442</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1441</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1440</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1439</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1438</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1437</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1436</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1435</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1434</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1433</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1432</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1431</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1430</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1429</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1428</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1427</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1426</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1425</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1424</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1423</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1422</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1421</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1420</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1419</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1418</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1417</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1416</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1415</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1414</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1413</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1412</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1411</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1410</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1409</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1408</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1407</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1406</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1405</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1404</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1403</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1402</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1401</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1400</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1399</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1398</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1397</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1396</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1395</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1394</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1393</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1392</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1391</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1390</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1389</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1388</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1387</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1386</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1385</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1384</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1383</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1382</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1381</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1380</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1379</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1378</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1377</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1376</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1375</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1374</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1373</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1372</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1371</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1370</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1369</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1368</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1367</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1366</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1365</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1364</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1363</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1362</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1361</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1360</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1359</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1358</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1357</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1356</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1355</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1354</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1353</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1352</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1351</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1350</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1349</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1348</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1347</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1346</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1345</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1344</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1343</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1342</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1341</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1340</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1339</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1338</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1337</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1336</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1335</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1334</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1333</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1326</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1325</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1324</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1323</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1322</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1321</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1320</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1319</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1318</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1317</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1316</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1315</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1314</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1313</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1312</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1311</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1310</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1309</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1308</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1307</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1306</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1305</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1304</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1303</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1302</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1301</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1300</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1299</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1298</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1297</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1296</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1295</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1294</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1293</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1292</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1291</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1290</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1289</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1288</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1287</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1286</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1285</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1284</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1283</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1282</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1281</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1280</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1279</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1278</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1277</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1276</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1275</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1274</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1273</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1272</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1271</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1270</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1269</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1268</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1267</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1266</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1265</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1264</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1263</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1262</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1261</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1260</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1259</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1258</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1257</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1256</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1255</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1254</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1253</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1252</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1251</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1250</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1249</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1248</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1247</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1246</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1245</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1244</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1243</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1242</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1241</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1240</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1239</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1238</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1237</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1236</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1235</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1234</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1233</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1232</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1231</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1230</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1229</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1228</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1227</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4481</v>
      </c>
      <c r="B1" t="s">
        <v>4484</v>
      </c>
      <c r="C1" t="s">
        <v>4485</v>
      </c>
    </row>
    <row r="2" spans="1:3">
      <c r="A2" t="s">
        <v>4482</v>
      </c>
      <c r="B2" t="s">
        <v>4486</v>
      </c>
      <c r="C2" t="s">
        <v>4487</v>
      </c>
    </row>
    <row r="3" spans="1:3">
      <c r="A3" t="s">
        <v>4483</v>
      </c>
      <c r="B3" t="s">
        <v>4485</v>
      </c>
      <c r="C3" t="s">
        <v>4488</v>
      </c>
    </row>
    <row r="5" spans="1:3">
      <c r="A5" t="s">
        <v>4681</v>
      </c>
      <c r="B5" t="s">
        <v>4695</v>
      </c>
    </row>
    <row r="6" spans="1:3">
      <c r="A6" t="s">
        <v>4691</v>
      </c>
      <c r="B6" t="s">
        <v>4696</v>
      </c>
    </row>
    <row r="8" spans="1:3" ht="9.75" customHeight="1"/>
    <row r="9" spans="1:3" hidden="1"/>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5" t="s">
        <v>5843</v>
      </c>
      <c r="B1" s="205" t="s">
        <v>4418</v>
      </c>
      <c r="C1" s="205" t="s">
        <v>6177</v>
      </c>
      <c r="D1" s="205" t="s">
        <v>5842</v>
      </c>
      <c r="E1" s="205" t="s">
        <v>4822</v>
      </c>
      <c r="F1" s="205" t="s">
        <v>5844</v>
      </c>
      <c r="G1" s="205" t="s">
        <v>5845</v>
      </c>
      <c r="H1" s="205"/>
      <c r="I1" s="205"/>
      <c r="J1" s="205"/>
      <c r="K1" s="205"/>
      <c r="L1" s="205" t="s">
        <v>6178</v>
      </c>
      <c r="M1" s="205">
        <v>10000000000</v>
      </c>
      <c r="N1" s="205"/>
      <c r="O1" s="205"/>
      <c r="P1" s="205"/>
      <c r="Q1" s="205"/>
      <c r="R1" s="205"/>
      <c r="S1" s="205"/>
      <c r="T1" s="205"/>
      <c r="U1" s="205"/>
      <c r="V1" s="205"/>
      <c r="W1" s="205"/>
      <c r="X1" s="205"/>
      <c r="Y1" s="205"/>
      <c r="Z1" s="205"/>
      <c r="AA1" s="205"/>
      <c r="AB1" s="205"/>
      <c r="AC1" s="205"/>
    </row>
    <row r="2" spans="1:29">
      <c r="A2" s="205" t="s">
        <v>5858</v>
      </c>
      <c r="B2" s="205">
        <v>52293239</v>
      </c>
      <c r="C2" s="205">
        <f t="shared" ref="C2:C33" si="0">D2+E2</f>
        <v>2605542578</v>
      </c>
      <c r="D2" s="205" t="s">
        <v>5859</v>
      </c>
      <c r="E2" s="205" t="s">
        <v>5860</v>
      </c>
      <c r="F2" s="205" t="s">
        <v>5861</v>
      </c>
      <c r="G2" s="205" t="s">
        <v>5862</v>
      </c>
      <c r="H2" s="205">
        <v>110</v>
      </c>
      <c r="I2" s="93">
        <f>C2*H2</f>
        <v>286609683580</v>
      </c>
      <c r="J2" s="205">
        <f>I2/$M$1</f>
        <v>28.660968358000002</v>
      </c>
      <c r="L2" s="205"/>
      <c r="M2" s="205"/>
      <c r="N2" s="205"/>
      <c r="O2" s="205"/>
      <c r="P2" s="205"/>
      <c r="Q2" s="205"/>
      <c r="R2" s="205"/>
      <c r="S2" s="205"/>
      <c r="T2" s="205"/>
      <c r="U2" s="205"/>
      <c r="V2" s="205"/>
      <c r="W2" s="205"/>
      <c r="X2" s="205"/>
      <c r="Y2" s="205"/>
      <c r="Z2" s="205"/>
      <c r="AA2" s="205"/>
      <c r="AB2" s="205"/>
      <c r="AC2" s="205"/>
    </row>
    <row r="3" spans="1:29">
      <c r="A3" s="205" t="s">
        <v>5847</v>
      </c>
      <c r="B3" s="288">
        <v>39356047</v>
      </c>
      <c r="C3" s="205">
        <f t="shared" si="0"/>
        <v>3355161798</v>
      </c>
      <c r="D3" s="205" t="s">
        <v>5848</v>
      </c>
      <c r="E3" s="205" t="s">
        <v>5849</v>
      </c>
      <c r="F3" s="205" t="s">
        <v>5851</v>
      </c>
      <c r="G3" s="205" t="s">
        <v>5852</v>
      </c>
      <c r="H3" s="93">
        <v>170</v>
      </c>
      <c r="I3" s="93">
        <f>C3*H3</f>
        <v>570377505660</v>
      </c>
      <c r="J3" s="205">
        <f>I3/$M$1</f>
        <v>57.037750566</v>
      </c>
      <c r="K3" s="205"/>
      <c r="L3" s="205"/>
      <c r="M3" s="205"/>
      <c r="N3" s="205"/>
      <c r="O3" s="205"/>
      <c r="P3" s="205"/>
      <c r="Q3" s="205"/>
      <c r="R3" s="205"/>
      <c r="S3" s="205"/>
      <c r="T3" s="205"/>
      <c r="U3" s="205"/>
      <c r="V3" s="205"/>
      <c r="W3" s="205"/>
      <c r="X3" s="205"/>
      <c r="Y3" s="205"/>
      <c r="Z3" s="205"/>
      <c r="AA3" s="205"/>
      <c r="AB3" s="205"/>
      <c r="AC3" s="205"/>
    </row>
    <row r="4" spans="1:29">
      <c r="A4" s="179" t="s">
        <v>5882</v>
      </c>
      <c r="B4" s="288">
        <v>27272507</v>
      </c>
      <c r="C4" s="205">
        <f t="shared" si="0"/>
        <v>2003857980</v>
      </c>
      <c r="D4" s="205" t="s">
        <v>5859</v>
      </c>
      <c r="E4" s="179" t="s">
        <v>5883</v>
      </c>
      <c r="F4" s="205" t="s">
        <v>5884</v>
      </c>
      <c r="G4" s="205" t="s">
        <v>5885</v>
      </c>
      <c r="H4" s="205">
        <v>120</v>
      </c>
      <c r="I4" s="93">
        <f t="shared" ref="I4:I18" si="1">C4*H4</f>
        <v>240462957600</v>
      </c>
      <c r="J4" s="205">
        <f t="shared" ref="J4:J33" si="2">I4/$M$1</f>
        <v>24.04629576</v>
      </c>
      <c r="K4" s="205"/>
      <c r="L4" s="205"/>
      <c r="M4" s="205"/>
      <c r="N4" s="205"/>
      <c r="O4" s="205"/>
      <c r="P4" s="205"/>
      <c r="Q4" s="205"/>
      <c r="R4" s="205"/>
      <c r="S4" s="205"/>
      <c r="T4" s="205"/>
      <c r="U4" s="205"/>
      <c r="V4" s="205"/>
      <c r="W4" s="205"/>
      <c r="X4" s="205"/>
      <c r="Y4" s="205"/>
      <c r="Z4" s="205"/>
      <c r="AA4" s="205"/>
      <c r="AB4" s="205"/>
      <c r="AC4" s="205"/>
    </row>
    <row r="5" spans="1:29">
      <c r="A5" s="205" t="s">
        <v>5886</v>
      </c>
      <c r="B5" s="288">
        <v>17936330</v>
      </c>
      <c r="C5" s="205">
        <f t="shared" si="0"/>
        <v>4161561525</v>
      </c>
      <c r="D5" s="205" t="s">
        <v>5859</v>
      </c>
      <c r="E5" s="205" t="s">
        <v>5887</v>
      </c>
      <c r="F5" s="205" t="s">
        <v>5888</v>
      </c>
      <c r="G5" s="205" t="s">
        <v>5889</v>
      </c>
      <c r="H5" s="205">
        <v>20</v>
      </c>
      <c r="I5" s="93">
        <f t="shared" si="1"/>
        <v>83231230500</v>
      </c>
      <c r="J5" s="205">
        <f t="shared" si="2"/>
        <v>8.3231230499999995</v>
      </c>
      <c r="K5" s="205"/>
      <c r="L5" s="205"/>
      <c r="M5" s="205"/>
      <c r="N5" s="205"/>
      <c r="O5" s="205"/>
      <c r="P5" s="205"/>
      <c r="Q5" s="205"/>
      <c r="R5" s="205"/>
      <c r="S5" s="205"/>
      <c r="T5" s="205"/>
      <c r="U5" s="205"/>
      <c r="V5" s="205"/>
      <c r="W5" s="205"/>
      <c r="X5" s="205"/>
      <c r="Y5" s="205"/>
      <c r="Z5" s="205"/>
      <c r="AA5" s="205"/>
      <c r="AB5" s="205"/>
      <c r="AC5" s="205"/>
    </row>
    <row r="6" spans="1:29">
      <c r="A6" s="205" t="s">
        <v>5868</v>
      </c>
      <c r="B6" s="288">
        <v>15219631</v>
      </c>
      <c r="C6" s="205">
        <f t="shared" si="0"/>
        <v>1037466348</v>
      </c>
      <c r="D6" s="205" t="s">
        <v>5869</v>
      </c>
      <c r="E6" s="205" t="s">
        <v>5870</v>
      </c>
      <c r="F6" s="179" t="s">
        <v>5871</v>
      </c>
      <c r="G6" s="205" t="s">
        <v>5872</v>
      </c>
      <c r="H6" s="205">
        <v>160</v>
      </c>
      <c r="I6" s="93">
        <f t="shared" si="1"/>
        <v>165994615680</v>
      </c>
      <c r="J6" s="205">
        <f t="shared" si="2"/>
        <v>16.599461567999999</v>
      </c>
      <c r="K6" s="205"/>
      <c r="L6" s="205"/>
      <c r="M6" s="205" t="s">
        <v>25</v>
      </c>
      <c r="N6" s="205"/>
      <c r="O6" s="205"/>
      <c r="P6" s="205"/>
      <c r="Q6" s="205"/>
      <c r="R6" s="205"/>
      <c r="S6" s="205"/>
      <c r="T6" s="205"/>
      <c r="U6" s="205"/>
      <c r="V6" s="205"/>
      <c r="W6" s="205"/>
      <c r="X6" s="205"/>
      <c r="Y6" s="205"/>
      <c r="Z6" s="205"/>
      <c r="AA6" s="205"/>
      <c r="AB6" s="205"/>
      <c r="AC6" s="205"/>
    </row>
    <row r="7" spans="1:29">
      <c r="A7" s="205" t="s">
        <v>5914</v>
      </c>
      <c r="B7" s="288">
        <v>12077909</v>
      </c>
      <c r="C7" s="205">
        <f t="shared" si="0"/>
        <v>499499998</v>
      </c>
      <c r="D7" s="205" t="s">
        <v>5859</v>
      </c>
      <c r="E7" s="205" t="s">
        <v>5915</v>
      </c>
      <c r="F7" s="205" t="s">
        <v>5916</v>
      </c>
      <c r="G7" s="205" t="s">
        <v>5917</v>
      </c>
      <c r="H7" s="205">
        <v>180</v>
      </c>
      <c r="I7" s="93">
        <f t="shared" si="1"/>
        <v>89909999640</v>
      </c>
      <c r="J7" s="205">
        <f t="shared" si="2"/>
        <v>8.9909999640000002</v>
      </c>
      <c r="K7" s="205"/>
      <c r="L7" s="205"/>
      <c r="M7" s="205"/>
      <c r="N7" s="205"/>
      <c r="O7" s="205"/>
      <c r="P7" s="205"/>
      <c r="Q7" s="205"/>
      <c r="R7" s="205"/>
      <c r="S7" s="205"/>
      <c r="T7" s="205"/>
      <c r="U7" s="205"/>
      <c r="V7" s="205"/>
      <c r="W7" s="205"/>
      <c r="X7" s="205"/>
      <c r="Y7" s="205"/>
      <c r="Z7" s="205"/>
      <c r="AA7" s="205"/>
      <c r="AB7" s="205"/>
      <c r="AC7" s="205"/>
    </row>
    <row r="8" spans="1:29">
      <c r="A8" s="205" t="s">
        <v>5946</v>
      </c>
      <c r="B8" s="288">
        <v>11039958</v>
      </c>
      <c r="C8" s="205">
        <f t="shared" si="0"/>
        <v>2802020000</v>
      </c>
      <c r="D8" s="205" t="s">
        <v>5859</v>
      </c>
      <c r="E8" s="205" t="s">
        <v>5947</v>
      </c>
      <c r="F8" s="205" t="s">
        <v>5948</v>
      </c>
      <c r="G8" s="205" t="s">
        <v>5949</v>
      </c>
      <c r="H8" s="205">
        <v>40</v>
      </c>
      <c r="I8" s="93">
        <f t="shared" si="1"/>
        <v>112080800000</v>
      </c>
      <c r="J8" s="205">
        <f t="shared" si="2"/>
        <v>11.208080000000001</v>
      </c>
      <c r="K8" s="205"/>
      <c r="L8" s="205"/>
      <c r="M8" s="205"/>
      <c r="N8" s="205"/>
      <c r="O8" s="205"/>
      <c r="P8" s="205"/>
      <c r="Q8" s="205"/>
      <c r="R8" s="205"/>
      <c r="S8" s="205"/>
      <c r="T8" s="205"/>
      <c r="U8" s="205"/>
      <c r="V8" s="205"/>
      <c r="W8" s="205"/>
      <c r="X8" s="205"/>
      <c r="Y8" s="205"/>
      <c r="Z8" s="205"/>
      <c r="AA8" s="205"/>
      <c r="AB8" s="205"/>
      <c r="AC8" s="205"/>
    </row>
    <row r="9" spans="1:29">
      <c r="A9" s="205" t="s">
        <v>5905</v>
      </c>
      <c r="B9" s="288">
        <v>6743250</v>
      </c>
      <c r="C9" s="205">
        <f t="shared" si="0"/>
        <v>337500000</v>
      </c>
      <c r="D9" s="205" t="s">
        <v>5859</v>
      </c>
      <c r="E9" s="205" t="s">
        <v>5906</v>
      </c>
      <c r="F9" s="205" t="s">
        <v>5907</v>
      </c>
      <c r="G9" s="205" t="s">
        <v>5908</v>
      </c>
      <c r="H9" s="205">
        <v>100</v>
      </c>
      <c r="I9" s="93">
        <f t="shared" si="1"/>
        <v>33750000000</v>
      </c>
      <c r="J9" s="205">
        <f t="shared" si="2"/>
        <v>3.375</v>
      </c>
      <c r="K9" s="205"/>
      <c r="L9" s="205"/>
      <c r="M9" s="205"/>
      <c r="N9" s="205"/>
      <c r="O9" s="205"/>
      <c r="P9" s="205"/>
      <c r="Q9" s="205"/>
      <c r="R9" s="205"/>
      <c r="S9" s="205"/>
      <c r="T9" s="205"/>
      <c r="U9" s="205"/>
      <c r="V9" s="205"/>
      <c r="W9" s="205"/>
      <c r="X9" s="205"/>
      <c r="Y9" s="205"/>
      <c r="Z9" s="205"/>
      <c r="AA9" s="205"/>
      <c r="AB9" s="205"/>
      <c r="AC9" s="205"/>
    </row>
    <row r="10" spans="1:29">
      <c r="A10" s="205" t="s">
        <v>5937</v>
      </c>
      <c r="B10" s="288">
        <v>6591899</v>
      </c>
      <c r="C10" s="205">
        <f t="shared" si="0"/>
        <v>978026662</v>
      </c>
      <c r="D10" s="205" t="s">
        <v>5859</v>
      </c>
      <c r="E10" s="205" t="s">
        <v>5938</v>
      </c>
      <c r="F10" s="205" t="s">
        <v>5939</v>
      </c>
      <c r="G10" s="205" t="s">
        <v>5940</v>
      </c>
      <c r="H10" s="205">
        <v>60</v>
      </c>
      <c r="I10" s="93">
        <f t="shared" si="1"/>
        <v>58681599720</v>
      </c>
      <c r="J10" s="205">
        <f t="shared" si="2"/>
        <v>5.8681599719999999</v>
      </c>
      <c r="K10" s="205"/>
      <c r="L10" s="205"/>
      <c r="M10" s="205"/>
      <c r="N10" s="205"/>
      <c r="O10" s="205"/>
      <c r="P10" s="205"/>
      <c r="Q10" s="205"/>
      <c r="R10" s="205"/>
      <c r="S10" s="205"/>
      <c r="T10" s="205"/>
      <c r="U10" s="205"/>
      <c r="V10" s="205"/>
      <c r="W10" s="205"/>
      <c r="X10" s="205"/>
      <c r="Y10" s="205"/>
      <c r="Z10" s="205"/>
      <c r="AA10" s="205"/>
      <c r="AB10" s="205"/>
      <c r="AC10" s="205"/>
    </row>
    <row r="11" spans="1:29">
      <c r="A11" s="205" t="s">
        <v>5853</v>
      </c>
      <c r="B11" s="288">
        <v>6515494</v>
      </c>
      <c r="C11" s="205">
        <f t="shared" si="0"/>
        <v>137024073</v>
      </c>
      <c r="D11" s="205" t="s">
        <v>5854</v>
      </c>
      <c r="E11" s="205" t="s">
        <v>5855</v>
      </c>
      <c r="F11" s="205" t="s">
        <v>5856</v>
      </c>
      <c r="G11" s="205" t="s">
        <v>5857</v>
      </c>
      <c r="H11" s="205">
        <v>200</v>
      </c>
      <c r="I11" s="93">
        <f t="shared" si="1"/>
        <v>27404814600</v>
      </c>
      <c r="J11" s="205">
        <f t="shared" si="2"/>
        <v>2.7404814599999998</v>
      </c>
      <c r="K11" s="205"/>
      <c r="M11" s="205"/>
      <c r="N11" s="205"/>
      <c r="O11" s="205"/>
      <c r="P11" s="205"/>
      <c r="Q11" s="205"/>
      <c r="R11" s="205"/>
      <c r="S11" s="205"/>
      <c r="T11" s="205"/>
      <c r="U11" s="205"/>
      <c r="V11" s="205"/>
      <c r="W11" s="205"/>
      <c r="X11" s="205"/>
      <c r="Y11" s="205"/>
      <c r="Z11" s="205"/>
      <c r="AA11" s="205"/>
      <c r="AB11" s="205"/>
      <c r="AC11" s="205"/>
    </row>
    <row r="12" spans="1:29">
      <c r="A12" s="205" t="s">
        <v>5863</v>
      </c>
      <c r="B12" s="288">
        <v>5962560</v>
      </c>
      <c r="C12" s="205">
        <f t="shared" si="0"/>
        <v>1242200000</v>
      </c>
      <c r="D12" s="205" t="s">
        <v>5864</v>
      </c>
      <c r="E12" s="205" t="s">
        <v>5865</v>
      </c>
      <c r="F12" s="205" t="s">
        <v>5866</v>
      </c>
      <c r="G12" s="205" t="s">
        <v>5867</v>
      </c>
      <c r="H12" s="205">
        <v>10</v>
      </c>
      <c r="I12" s="93">
        <f t="shared" si="1"/>
        <v>12422000000</v>
      </c>
      <c r="J12" s="205">
        <f t="shared" si="2"/>
        <v>1.2422</v>
      </c>
      <c r="K12" s="205"/>
      <c r="L12" s="205"/>
      <c r="M12" s="205"/>
      <c r="N12" s="205"/>
      <c r="O12" s="205"/>
      <c r="P12" s="205"/>
      <c r="Q12" s="205"/>
      <c r="R12" s="205"/>
      <c r="S12" s="205"/>
      <c r="T12" s="205"/>
      <c r="U12" s="205"/>
      <c r="V12" s="205"/>
      <c r="W12" s="205"/>
      <c r="X12" s="205"/>
      <c r="Y12" s="205"/>
      <c r="Z12" s="205"/>
      <c r="AA12" s="205"/>
      <c r="AB12" s="205"/>
      <c r="AC12" s="205"/>
    </row>
    <row r="13" spans="1:29">
      <c r="A13" s="205" t="s">
        <v>5980</v>
      </c>
      <c r="B13" s="288">
        <v>4690527</v>
      </c>
      <c r="C13" s="205">
        <f t="shared" si="0"/>
        <v>623740333</v>
      </c>
      <c r="D13" s="205" t="s">
        <v>5859</v>
      </c>
      <c r="E13" s="205" t="s">
        <v>5981</v>
      </c>
      <c r="F13" s="205" t="s">
        <v>5982</v>
      </c>
      <c r="G13" s="205" t="s">
        <v>5983</v>
      </c>
      <c r="H13" s="205">
        <v>50</v>
      </c>
      <c r="I13" s="93">
        <f t="shared" si="1"/>
        <v>31187016650</v>
      </c>
      <c r="J13" s="205">
        <f t="shared" si="2"/>
        <v>3.1187016650000001</v>
      </c>
      <c r="K13" s="205"/>
      <c r="L13" s="205"/>
      <c r="M13" s="205"/>
      <c r="N13" s="205"/>
      <c r="O13" s="205"/>
      <c r="P13" s="205"/>
      <c r="Q13" s="205"/>
      <c r="R13" s="205"/>
      <c r="S13" s="205"/>
      <c r="T13" s="205"/>
      <c r="U13" s="205"/>
      <c r="V13" s="205"/>
      <c r="W13" s="205"/>
      <c r="X13" s="205"/>
      <c r="Y13" s="205"/>
      <c r="Z13" s="205"/>
      <c r="AA13" s="205"/>
      <c r="AB13" s="205"/>
      <c r="AC13" s="205"/>
    </row>
    <row r="14" spans="1:29">
      <c r="A14" s="205" t="s">
        <v>5976</v>
      </c>
      <c r="B14" s="288">
        <v>4423541</v>
      </c>
      <c r="C14" s="205">
        <f t="shared" si="0"/>
        <v>118276522</v>
      </c>
      <c r="D14" s="205" t="s">
        <v>5859</v>
      </c>
      <c r="E14" s="205" t="s">
        <v>5977</v>
      </c>
      <c r="F14" s="205" t="s">
        <v>5978</v>
      </c>
      <c r="G14" s="205" t="s">
        <v>5979</v>
      </c>
      <c r="H14" s="205">
        <v>200</v>
      </c>
      <c r="I14" s="93">
        <f t="shared" si="1"/>
        <v>23655304400</v>
      </c>
      <c r="J14" s="205">
        <f t="shared" si="2"/>
        <v>2.3655304400000001</v>
      </c>
      <c r="K14" s="205"/>
      <c r="L14" s="205"/>
      <c r="M14" s="205"/>
      <c r="N14" s="205"/>
      <c r="O14" s="205"/>
      <c r="P14" s="205"/>
      <c r="Q14" s="205"/>
      <c r="R14" s="205"/>
      <c r="S14" s="205"/>
      <c r="T14" s="205"/>
      <c r="U14" s="205"/>
      <c r="V14" s="205"/>
      <c r="W14" s="205"/>
      <c r="X14" s="205"/>
      <c r="Y14" s="205"/>
      <c r="Z14" s="205"/>
      <c r="AA14" s="205"/>
      <c r="AB14" s="205"/>
      <c r="AC14" s="205"/>
    </row>
    <row r="15" spans="1:29">
      <c r="A15" s="205" t="s">
        <v>6170</v>
      </c>
      <c r="B15" s="288">
        <v>4228226</v>
      </c>
      <c r="C15" s="205">
        <f t="shared" si="0"/>
        <v>106322321</v>
      </c>
      <c r="D15" s="205" t="s">
        <v>5859</v>
      </c>
      <c r="E15" s="205" t="s">
        <v>6171</v>
      </c>
      <c r="F15" s="205" t="s">
        <v>5859</v>
      </c>
      <c r="G15" s="205" t="s">
        <v>6172</v>
      </c>
      <c r="H15" s="205">
        <v>300</v>
      </c>
      <c r="I15" s="93">
        <f t="shared" si="1"/>
        <v>31896696300</v>
      </c>
      <c r="J15" s="205">
        <f t="shared" si="2"/>
        <v>3.18966963</v>
      </c>
      <c r="K15" s="205"/>
      <c r="L15" s="205"/>
      <c r="M15" s="205"/>
      <c r="N15" s="205"/>
      <c r="O15" s="205"/>
      <c r="P15" s="205"/>
      <c r="Q15" s="205"/>
      <c r="R15" s="205"/>
      <c r="S15" s="205"/>
      <c r="T15" s="205"/>
      <c r="U15" s="205"/>
      <c r="V15" s="205"/>
      <c r="W15" s="205"/>
      <c r="X15" s="205"/>
      <c r="Y15" s="205"/>
      <c r="Z15" s="205"/>
      <c r="AA15" s="205"/>
      <c r="AB15" s="205"/>
      <c r="AC15" s="205"/>
    </row>
    <row r="16" spans="1:29">
      <c r="A16" s="205" t="s">
        <v>5989</v>
      </c>
      <c r="B16" s="288">
        <v>3555770</v>
      </c>
      <c r="C16" s="205">
        <f t="shared" si="0"/>
        <v>183381668</v>
      </c>
      <c r="D16" s="205" t="s">
        <v>5859</v>
      </c>
      <c r="E16" s="205" t="s">
        <v>5990</v>
      </c>
      <c r="F16" s="205" t="s">
        <v>5991</v>
      </c>
      <c r="G16" s="205" t="s">
        <v>5992</v>
      </c>
      <c r="H16" s="205">
        <v>200</v>
      </c>
      <c r="I16" s="93">
        <f t="shared" si="1"/>
        <v>36676333600</v>
      </c>
      <c r="J16" s="205">
        <f t="shared" si="2"/>
        <v>3.66763336</v>
      </c>
      <c r="K16" s="205"/>
      <c r="L16" s="205"/>
      <c r="M16" s="205"/>
      <c r="N16" s="205"/>
      <c r="O16" s="205"/>
      <c r="P16" s="205"/>
      <c r="Q16" s="205"/>
      <c r="R16" s="205"/>
      <c r="S16" s="205"/>
      <c r="T16" s="205"/>
      <c r="U16" s="205"/>
      <c r="V16" s="205"/>
      <c r="W16" s="205"/>
      <c r="X16" s="205"/>
      <c r="Y16" s="205"/>
      <c r="Z16" s="205"/>
      <c r="AA16" s="205"/>
      <c r="AB16" s="205"/>
      <c r="AC16" s="205"/>
    </row>
    <row r="17" spans="1:29">
      <c r="A17" s="205" t="s">
        <v>5962</v>
      </c>
      <c r="B17" s="288">
        <v>3392316</v>
      </c>
      <c r="C17" s="205">
        <f t="shared" si="0"/>
        <v>1015663732</v>
      </c>
      <c r="D17" s="205" t="s">
        <v>5859</v>
      </c>
      <c r="E17" s="205" t="s">
        <v>5963</v>
      </c>
      <c r="F17" s="205" t="s">
        <v>5964</v>
      </c>
      <c r="G17" s="205" t="s">
        <v>5965</v>
      </c>
      <c r="H17" s="205">
        <v>30</v>
      </c>
      <c r="I17" s="93">
        <f t="shared" si="1"/>
        <v>30469911960</v>
      </c>
      <c r="J17" s="205">
        <f t="shared" si="2"/>
        <v>3.046991196</v>
      </c>
      <c r="K17" s="205"/>
      <c r="L17" s="205"/>
      <c r="M17" s="205"/>
      <c r="N17" s="205"/>
      <c r="O17" s="205"/>
      <c r="P17" s="205"/>
      <c r="Q17" s="205"/>
      <c r="R17" s="205"/>
      <c r="S17" s="205"/>
      <c r="T17" s="205"/>
      <c r="U17" s="205"/>
      <c r="V17" s="205"/>
      <c r="W17" s="205"/>
      <c r="X17" s="205"/>
      <c r="Y17" s="205"/>
      <c r="Z17" s="205"/>
      <c r="AA17" s="205"/>
      <c r="AB17" s="205"/>
      <c r="AC17" s="205"/>
    </row>
    <row r="18" spans="1:29">
      <c r="A18" s="205" t="s">
        <v>5890</v>
      </c>
      <c r="B18" s="288">
        <v>3321096</v>
      </c>
      <c r="C18" s="205">
        <f t="shared" si="0"/>
        <v>254880755</v>
      </c>
      <c r="D18" s="205" t="s">
        <v>5859</v>
      </c>
      <c r="E18" s="205" t="s">
        <v>5891</v>
      </c>
      <c r="F18" s="205" t="s">
        <v>5892</v>
      </c>
      <c r="G18" s="205" t="s">
        <v>5893</v>
      </c>
      <c r="H18" s="205">
        <v>100</v>
      </c>
      <c r="I18" s="93">
        <f t="shared" si="1"/>
        <v>25488075500</v>
      </c>
      <c r="J18" s="205">
        <f t="shared" si="2"/>
        <v>2.5488075499999998</v>
      </c>
      <c r="K18" s="205"/>
      <c r="L18" s="205"/>
      <c r="M18" s="205"/>
      <c r="N18" s="205" t="s">
        <v>25</v>
      </c>
      <c r="O18" s="205"/>
      <c r="P18" s="205"/>
      <c r="Q18" s="205"/>
      <c r="R18" s="205"/>
      <c r="S18" s="205"/>
      <c r="T18" s="205"/>
      <c r="U18" s="205"/>
      <c r="V18" s="205"/>
      <c r="W18" s="205"/>
      <c r="X18" s="205"/>
      <c r="Y18" s="205"/>
      <c r="Z18" s="205"/>
      <c r="AA18" s="205"/>
      <c r="AB18" s="205"/>
      <c r="AC18" s="205"/>
    </row>
    <row r="19" spans="1:29">
      <c r="A19" s="205" t="s">
        <v>5933</v>
      </c>
      <c r="B19" s="288">
        <v>2708729</v>
      </c>
      <c r="C19" s="205">
        <f t="shared" si="0"/>
        <v>158220192</v>
      </c>
      <c r="D19" s="205" t="s">
        <v>5859</v>
      </c>
      <c r="E19" s="205" t="s">
        <v>5934</v>
      </c>
      <c r="F19" s="205" t="s">
        <v>5935</v>
      </c>
      <c r="G19" s="205" t="s">
        <v>5936</v>
      </c>
      <c r="H19" s="205">
        <v>150</v>
      </c>
      <c r="I19" s="93">
        <f t="shared" ref="I19:I33" si="3">C19*H19</f>
        <v>23733028800</v>
      </c>
      <c r="J19" s="205">
        <f t="shared" si="2"/>
        <v>2.3733028799999998</v>
      </c>
      <c r="K19" s="205"/>
      <c r="L19" s="205"/>
      <c r="M19" s="205"/>
      <c r="N19" s="205"/>
      <c r="O19" s="205"/>
      <c r="P19" s="205"/>
      <c r="Q19" s="205"/>
      <c r="R19" s="205"/>
      <c r="S19" s="205"/>
      <c r="T19" s="205"/>
      <c r="U19" s="205"/>
      <c r="V19" s="205"/>
      <c r="W19" s="205"/>
      <c r="X19" s="205"/>
      <c r="Y19" s="205"/>
      <c r="Z19" s="205"/>
      <c r="AA19" s="205"/>
      <c r="AB19" s="205"/>
      <c r="AC19" s="205"/>
    </row>
    <row r="20" spans="1:29">
      <c r="A20" s="205" t="s">
        <v>5878</v>
      </c>
      <c r="B20" s="288">
        <v>2623529</v>
      </c>
      <c r="C20" s="205">
        <f t="shared" si="0"/>
        <v>101805550</v>
      </c>
      <c r="D20" s="205" t="s">
        <v>5859</v>
      </c>
      <c r="E20" s="205" t="s">
        <v>5879</v>
      </c>
      <c r="F20" s="205" t="s">
        <v>5880</v>
      </c>
      <c r="G20" s="205" t="s">
        <v>5881</v>
      </c>
      <c r="H20" s="205">
        <v>250</v>
      </c>
      <c r="I20" s="93">
        <f t="shared" si="3"/>
        <v>25451387500</v>
      </c>
      <c r="J20" s="205">
        <f t="shared" si="2"/>
        <v>2.54513875</v>
      </c>
      <c r="K20" s="205"/>
      <c r="L20" s="205"/>
      <c r="M20" s="205"/>
      <c r="N20" s="205"/>
      <c r="O20" s="205"/>
      <c r="P20" s="205"/>
      <c r="Q20" s="205"/>
      <c r="R20" s="205"/>
      <c r="S20" s="205"/>
      <c r="T20" s="205"/>
      <c r="U20" s="205"/>
      <c r="V20" s="205"/>
      <c r="W20" s="205"/>
      <c r="X20" s="205"/>
      <c r="Y20" s="205"/>
      <c r="Z20" s="205"/>
      <c r="AA20" s="205"/>
      <c r="AB20" s="205"/>
      <c r="AC20" s="205"/>
    </row>
    <row r="21" spans="1:29">
      <c r="A21" s="205" t="s">
        <v>5873</v>
      </c>
      <c r="B21" s="288">
        <v>2224069</v>
      </c>
      <c r="C21" s="205">
        <f t="shared" si="0"/>
        <v>30270982</v>
      </c>
      <c r="D21" s="205" t="s">
        <v>5874</v>
      </c>
      <c r="E21" s="205" t="s">
        <v>5875</v>
      </c>
      <c r="F21" s="205" t="s">
        <v>5876</v>
      </c>
      <c r="G21" s="205" t="s">
        <v>5877</v>
      </c>
      <c r="H21" s="205">
        <v>300</v>
      </c>
      <c r="I21" s="93">
        <f t="shared" si="3"/>
        <v>9081294600</v>
      </c>
      <c r="J21" s="205">
        <f t="shared" si="2"/>
        <v>0.90812946000000005</v>
      </c>
      <c r="K21" s="205"/>
      <c r="L21" s="205"/>
      <c r="M21" s="205"/>
      <c r="N21" s="205"/>
      <c r="O21" s="205"/>
      <c r="P21" s="205"/>
      <c r="Q21" s="205"/>
      <c r="R21" s="205"/>
      <c r="S21" s="205"/>
      <c r="T21" s="205"/>
      <c r="U21" s="205"/>
      <c r="V21" s="205"/>
      <c r="W21" s="205"/>
      <c r="X21" s="205"/>
      <c r="Y21" s="205"/>
      <c r="Z21" s="205"/>
      <c r="AA21" s="205"/>
      <c r="AB21" s="205"/>
      <c r="AC21" s="205"/>
    </row>
    <row r="22" spans="1:29">
      <c r="A22" s="205" t="s">
        <v>5993</v>
      </c>
      <c r="B22" s="289" t="s">
        <v>5994</v>
      </c>
      <c r="C22" s="205">
        <f t="shared" si="0"/>
        <v>114588426</v>
      </c>
      <c r="D22" s="205" t="s">
        <v>5859</v>
      </c>
      <c r="E22" s="205" t="s">
        <v>5995</v>
      </c>
      <c r="F22" s="205" t="s">
        <v>5996</v>
      </c>
      <c r="G22" s="205" t="s">
        <v>5997</v>
      </c>
      <c r="H22" s="205"/>
      <c r="I22" s="93">
        <f t="shared" si="3"/>
        <v>0</v>
      </c>
      <c r="J22" s="205">
        <f t="shared" si="2"/>
        <v>0</v>
      </c>
      <c r="K22" s="205"/>
      <c r="L22" s="205"/>
      <c r="M22" s="205"/>
      <c r="N22" s="205"/>
      <c r="O22" s="205"/>
      <c r="P22" s="205"/>
      <c r="Q22" s="205"/>
      <c r="R22" s="205"/>
      <c r="S22" s="205"/>
      <c r="T22" s="205"/>
      <c r="U22" s="205"/>
      <c r="V22" s="205"/>
      <c r="W22" s="205"/>
      <c r="X22" s="205"/>
      <c r="Y22" s="205"/>
      <c r="Z22" s="205"/>
      <c r="AA22" s="205"/>
      <c r="AB22" s="205"/>
      <c r="AC22" s="205"/>
    </row>
    <row r="23" spans="1:29">
      <c r="A23" s="205" t="s">
        <v>5950</v>
      </c>
      <c r="B23" s="289" t="s">
        <v>5951</v>
      </c>
      <c r="C23" s="205">
        <f t="shared" si="0"/>
        <v>735760160</v>
      </c>
      <c r="D23" s="205" t="s">
        <v>5952</v>
      </c>
      <c r="E23" s="205" t="s">
        <v>5953</v>
      </c>
      <c r="F23" s="205" t="s">
        <v>5954</v>
      </c>
      <c r="G23" s="205" t="s">
        <v>5955</v>
      </c>
      <c r="H23" s="205"/>
      <c r="I23" s="93">
        <f t="shared" si="3"/>
        <v>0</v>
      </c>
      <c r="J23" s="205">
        <f t="shared" si="2"/>
        <v>0</v>
      </c>
      <c r="K23" s="205"/>
      <c r="L23" s="205"/>
      <c r="M23" s="205"/>
      <c r="N23" s="205"/>
      <c r="O23" s="205"/>
      <c r="P23" s="205"/>
      <c r="Q23" s="205"/>
      <c r="R23" s="205"/>
      <c r="S23" s="205"/>
      <c r="T23" s="205"/>
      <c r="U23" s="205"/>
      <c r="V23" s="205"/>
      <c r="W23" s="205"/>
      <c r="X23" s="205"/>
      <c r="Y23" s="205"/>
      <c r="Z23" s="205"/>
      <c r="AA23" s="205"/>
      <c r="AB23" s="205"/>
      <c r="AC23" s="205"/>
    </row>
    <row r="24" spans="1:29">
      <c r="A24" s="205" t="s">
        <v>6109</v>
      </c>
      <c r="B24" s="289" t="s">
        <v>6110</v>
      </c>
      <c r="C24" s="205">
        <f t="shared" si="0"/>
        <v>4044500</v>
      </c>
      <c r="D24" s="205" t="s">
        <v>5859</v>
      </c>
      <c r="E24" s="205" t="s">
        <v>6111</v>
      </c>
      <c r="F24" s="205" t="s">
        <v>6095</v>
      </c>
      <c r="G24" s="205" t="s">
        <v>6112</v>
      </c>
      <c r="H24" s="205"/>
      <c r="I24" s="93">
        <f t="shared" si="3"/>
        <v>0</v>
      </c>
      <c r="J24" s="205">
        <f t="shared" si="2"/>
        <v>0</v>
      </c>
      <c r="K24" s="205"/>
      <c r="L24" s="205"/>
      <c r="M24" s="205"/>
      <c r="N24" s="205"/>
      <c r="O24" s="205"/>
      <c r="P24" s="205"/>
      <c r="Q24" s="205"/>
      <c r="R24" s="205"/>
      <c r="S24" s="205"/>
      <c r="T24" s="205"/>
      <c r="U24" s="205"/>
      <c r="V24" s="205"/>
      <c r="W24" s="205"/>
      <c r="X24" s="205"/>
      <c r="Y24" s="205"/>
      <c r="Z24" s="205"/>
      <c r="AA24" s="205"/>
      <c r="AB24" s="205"/>
      <c r="AC24" s="205"/>
    </row>
    <row r="25" spans="1:29">
      <c r="A25" s="205" t="s">
        <v>6022</v>
      </c>
      <c r="B25" s="289" t="s">
        <v>6023</v>
      </c>
      <c r="C25" s="205">
        <f t="shared" si="0"/>
        <v>53400000</v>
      </c>
      <c r="D25" s="205" t="s">
        <v>5859</v>
      </c>
      <c r="E25" s="205" t="s">
        <v>6024</v>
      </c>
      <c r="F25" s="205" t="s">
        <v>6025</v>
      </c>
      <c r="G25" s="205" t="s">
        <v>6026</v>
      </c>
      <c r="H25" s="205"/>
      <c r="I25" s="93">
        <f t="shared" si="3"/>
        <v>0</v>
      </c>
      <c r="J25" s="205">
        <f t="shared" si="2"/>
        <v>0</v>
      </c>
      <c r="K25" s="205"/>
      <c r="L25" s="205"/>
      <c r="M25" s="205"/>
      <c r="N25" s="205"/>
      <c r="O25" s="205"/>
      <c r="P25" s="205"/>
      <c r="Q25" s="205"/>
      <c r="R25" s="205"/>
      <c r="S25" s="205"/>
      <c r="T25" s="205"/>
      <c r="U25" s="205"/>
      <c r="V25" s="205"/>
      <c r="W25" s="205"/>
      <c r="X25" s="205"/>
      <c r="Y25" s="205"/>
      <c r="Z25" s="205"/>
      <c r="AA25" s="205"/>
      <c r="AB25" s="205"/>
      <c r="AC25" s="205"/>
    </row>
    <row r="26" spans="1:29">
      <c r="A26" s="205" t="s">
        <v>5900</v>
      </c>
      <c r="B26" s="289" t="s">
        <v>5901</v>
      </c>
      <c r="C26" s="205">
        <f t="shared" si="0"/>
        <v>36391574</v>
      </c>
      <c r="D26" s="205" t="s">
        <v>5859</v>
      </c>
      <c r="E26" s="205" t="s">
        <v>5902</v>
      </c>
      <c r="F26" s="205" t="s">
        <v>5903</v>
      </c>
      <c r="G26" s="205" t="s">
        <v>5904</v>
      </c>
      <c r="H26" s="205"/>
      <c r="I26" s="93">
        <f t="shared" si="3"/>
        <v>0</v>
      </c>
      <c r="J26" s="205">
        <f t="shared" si="2"/>
        <v>0</v>
      </c>
      <c r="K26" s="205"/>
      <c r="L26" s="205"/>
      <c r="M26" s="205"/>
      <c r="N26" s="205"/>
      <c r="O26" s="205"/>
      <c r="P26" s="205"/>
      <c r="Q26" s="205"/>
      <c r="R26" s="205"/>
      <c r="S26" s="205"/>
      <c r="T26" s="205"/>
      <c r="U26" s="205"/>
      <c r="V26" s="205"/>
      <c r="W26" s="205"/>
      <c r="X26" s="205"/>
      <c r="Y26" s="205"/>
      <c r="Z26" s="205"/>
      <c r="AA26" s="205"/>
      <c r="AB26" s="205"/>
      <c r="AC26" s="205"/>
    </row>
    <row r="27" spans="1:29">
      <c r="A27" s="205" t="s">
        <v>5941</v>
      </c>
      <c r="B27" s="289" t="s">
        <v>5942</v>
      </c>
      <c r="C27" s="205">
        <f t="shared" si="0"/>
        <v>29296590</v>
      </c>
      <c r="D27" s="205" t="s">
        <v>5859</v>
      </c>
      <c r="E27" s="205" t="s">
        <v>5943</v>
      </c>
      <c r="F27" s="205" t="s">
        <v>5944</v>
      </c>
      <c r="G27" s="205" t="s">
        <v>5945</v>
      </c>
      <c r="H27" s="205"/>
      <c r="I27" s="93">
        <f t="shared" si="3"/>
        <v>0</v>
      </c>
      <c r="J27" s="205">
        <f t="shared" si="2"/>
        <v>0</v>
      </c>
      <c r="K27" s="205"/>
      <c r="L27" s="205"/>
      <c r="M27" s="205"/>
      <c r="N27" s="205"/>
      <c r="O27" s="205"/>
      <c r="P27" s="205"/>
      <c r="Q27" s="205"/>
      <c r="R27" s="205"/>
      <c r="S27" s="205"/>
      <c r="T27" s="205"/>
      <c r="U27" s="205"/>
      <c r="V27" s="205"/>
      <c r="W27" s="205"/>
      <c r="X27" s="205"/>
      <c r="Y27" s="205"/>
      <c r="Z27" s="205"/>
      <c r="AA27" s="205"/>
      <c r="AB27" s="205"/>
      <c r="AC27" s="205"/>
    </row>
    <row r="28" spans="1:29">
      <c r="A28" s="205" t="s">
        <v>6037</v>
      </c>
      <c r="B28" s="289" t="s">
        <v>6038</v>
      </c>
      <c r="C28" s="205">
        <f t="shared" si="0"/>
        <v>32151333</v>
      </c>
      <c r="D28" s="205" t="s">
        <v>5859</v>
      </c>
      <c r="E28" s="205" t="s">
        <v>6039</v>
      </c>
      <c r="F28" s="205" t="s">
        <v>6040</v>
      </c>
      <c r="G28" s="205" t="s">
        <v>6041</v>
      </c>
      <c r="H28" s="205"/>
      <c r="I28" s="93">
        <f t="shared" si="3"/>
        <v>0</v>
      </c>
      <c r="J28" s="205">
        <f t="shared" si="2"/>
        <v>0</v>
      </c>
      <c r="K28" s="205"/>
      <c r="L28" s="205"/>
      <c r="M28" s="205"/>
      <c r="N28" s="205"/>
      <c r="O28" s="205"/>
      <c r="P28" s="205"/>
      <c r="Q28" s="205"/>
      <c r="R28" s="205"/>
      <c r="S28" s="205"/>
      <c r="T28" s="205"/>
      <c r="U28" s="205"/>
      <c r="V28" s="205"/>
      <c r="W28" s="205"/>
      <c r="X28" s="205"/>
      <c r="Y28" s="205"/>
      <c r="Z28" s="205"/>
      <c r="AA28" s="205"/>
      <c r="AB28" s="205"/>
      <c r="AC28" s="205"/>
    </row>
    <row r="29" spans="1:29">
      <c r="A29" s="205" t="s">
        <v>5894</v>
      </c>
      <c r="B29" s="289" t="s">
        <v>5895</v>
      </c>
      <c r="C29" s="205">
        <f t="shared" si="0"/>
        <v>23043086</v>
      </c>
      <c r="D29" s="205" t="s">
        <v>5896</v>
      </c>
      <c r="E29" s="205" t="s">
        <v>5897</v>
      </c>
      <c r="F29" s="205" t="s">
        <v>5898</v>
      </c>
      <c r="G29" s="205" t="s">
        <v>5899</v>
      </c>
      <c r="H29" s="205"/>
      <c r="I29" s="93">
        <f t="shared" si="3"/>
        <v>0</v>
      </c>
      <c r="J29" s="205">
        <f t="shared" si="2"/>
        <v>0</v>
      </c>
      <c r="K29" s="205"/>
      <c r="L29" s="205"/>
      <c r="M29" s="205"/>
      <c r="N29" s="205"/>
      <c r="O29" s="205"/>
      <c r="P29" s="205"/>
      <c r="Q29" s="205"/>
      <c r="R29" s="205"/>
      <c r="S29" s="205"/>
      <c r="T29" s="205"/>
      <c r="U29" s="205"/>
      <c r="V29" s="205"/>
      <c r="W29" s="205"/>
      <c r="X29" s="205"/>
      <c r="Y29" s="205"/>
      <c r="Z29" s="205"/>
      <c r="AA29" s="205"/>
      <c r="AB29" s="205"/>
      <c r="AC29" s="205"/>
    </row>
    <row r="30" spans="1:29">
      <c r="A30" s="205" t="s">
        <v>6002</v>
      </c>
      <c r="B30" s="289" t="s">
        <v>6003</v>
      </c>
      <c r="C30" s="205">
        <f t="shared" si="0"/>
        <v>126674402</v>
      </c>
      <c r="D30" s="205" t="s">
        <v>5859</v>
      </c>
      <c r="E30" s="205" t="s">
        <v>6004</v>
      </c>
      <c r="F30" s="205" t="s">
        <v>6005</v>
      </c>
      <c r="G30" s="205" t="s">
        <v>6006</v>
      </c>
      <c r="H30" s="205"/>
      <c r="I30" s="93">
        <f t="shared" si="3"/>
        <v>0</v>
      </c>
      <c r="J30" s="205">
        <f t="shared" si="2"/>
        <v>0</v>
      </c>
      <c r="K30" s="205"/>
      <c r="L30" s="205"/>
      <c r="M30" s="205"/>
      <c r="N30" s="205"/>
      <c r="O30" s="205"/>
      <c r="P30" s="205"/>
      <c r="Q30" s="205"/>
      <c r="R30" s="205"/>
      <c r="S30" s="205"/>
      <c r="T30" s="205"/>
      <c r="U30" s="205"/>
      <c r="V30" s="205"/>
      <c r="W30" s="205"/>
      <c r="X30" s="205"/>
      <c r="Y30" s="205"/>
      <c r="Z30" s="205"/>
      <c r="AA30" s="205"/>
      <c r="AB30" s="205"/>
      <c r="AC30" s="205"/>
    </row>
    <row r="31" spans="1:29">
      <c r="A31" s="205" t="s">
        <v>5971</v>
      </c>
      <c r="B31" s="289" t="s">
        <v>5972</v>
      </c>
      <c r="C31" s="205">
        <f t="shared" si="0"/>
        <v>182160000</v>
      </c>
      <c r="D31" s="205" t="s">
        <v>5859</v>
      </c>
      <c r="E31" s="205" t="s">
        <v>5973</v>
      </c>
      <c r="F31" s="205" t="s">
        <v>5974</v>
      </c>
      <c r="G31" s="205" t="s">
        <v>5975</v>
      </c>
      <c r="H31" s="205"/>
      <c r="I31" s="93">
        <f t="shared" si="3"/>
        <v>0</v>
      </c>
      <c r="J31" s="205">
        <f t="shared" si="2"/>
        <v>0</v>
      </c>
      <c r="K31" s="205"/>
      <c r="L31" s="205"/>
      <c r="M31" s="205"/>
      <c r="N31" s="205"/>
      <c r="O31" s="205"/>
      <c r="P31" s="205"/>
      <c r="Q31" s="205"/>
      <c r="R31" s="205"/>
      <c r="S31" s="205"/>
      <c r="T31" s="205"/>
      <c r="U31" s="205"/>
      <c r="V31" s="205"/>
      <c r="W31" s="205"/>
      <c r="X31" s="205"/>
      <c r="Y31" s="205"/>
      <c r="Z31" s="205"/>
      <c r="AA31" s="205"/>
      <c r="AB31" s="205"/>
      <c r="AC31" s="205"/>
    </row>
    <row r="32" spans="1:29">
      <c r="A32" s="205" t="s">
        <v>6017</v>
      </c>
      <c r="B32" s="289" t="s">
        <v>6018</v>
      </c>
      <c r="C32" s="205">
        <f t="shared" si="0"/>
        <v>67919940</v>
      </c>
      <c r="D32" s="205" t="s">
        <v>5859</v>
      </c>
      <c r="E32" s="205" t="s">
        <v>6019</v>
      </c>
      <c r="F32" s="205" t="s">
        <v>6020</v>
      </c>
      <c r="G32" s="205" t="s">
        <v>6021</v>
      </c>
      <c r="H32" s="205"/>
      <c r="I32" s="93">
        <f t="shared" si="3"/>
        <v>0</v>
      </c>
      <c r="J32" s="205">
        <f t="shared" si="2"/>
        <v>0</v>
      </c>
      <c r="K32" s="205"/>
      <c r="L32" s="205"/>
      <c r="M32" s="205"/>
      <c r="N32" s="205"/>
      <c r="O32" s="205"/>
      <c r="P32" s="205"/>
      <c r="Q32" s="205"/>
      <c r="R32" s="205"/>
      <c r="S32" s="205"/>
      <c r="T32" s="205"/>
      <c r="U32" s="205"/>
      <c r="V32" s="205"/>
      <c r="W32" s="205"/>
      <c r="X32" s="205"/>
      <c r="Y32" s="205"/>
      <c r="Z32" s="205"/>
      <c r="AA32" s="205"/>
      <c r="AB32" s="205"/>
      <c r="AC32" s="205"/>
    </row>
    <row r="33" spans="1:29">
      <c r="A33" s="205" t="s">
        <v>6042</v>
      </c>
      <c r="B33" s="289" t="s">
        <v>6043</v>
      </c>
      <c r="C33" s="205">
        <f t="shared" si="0"/>
        <v>29288000</v>
      </c>
      <c r="D33" s="205" t="s">
        <v>5859</v>
      </c>
      <c r="E33" s="205" t="s">
        <v>6044</v>
      </c>
      <c r="F33" s="205" t="s">
        <v>6045</v>
      </c>
      <c r="G33" s="205" t="s">
        <v>6046</v>
      </c>
      <c r="H33" s="205"/>
      <c r="I33" s="93">
        <f t="shared" si="3"/>
        <v>0</v>
      </c>
      <c r="J33" s="205">
        <f t="shared" si="2"/>
        <v>0</v>
      </c>
      <c r="K33" s="205"/>
      <c r="L33" s="205"/>
      <c r="M33" s="205"/>
      <c r="N33" s="205"/>
      <c r="O33" s="205"/>
      <c r="P33" s="205"/>
      <c r="Q33" s="205"/>
      <c r="R33" s="205"/>
      <c r="S33" s="205"/>
      <c r="T33" s="205"/>
      <c r="U33" s="205"/>
      <c r="V33" s="205"/>
      <c r="W33" s="205"/>
      <c r="X33" s="205"/>
      <c r="Y33" s="205"/>
      <c r="Z33" s="205"/>
      <c r="AA33" s="205"/>
      <c r="AB33" s="205"/>
      <c r="AC33" s="205"/>
    </row>
    <row r="34" spans="1:29">
      <c r="A34" s="205" t="s">
        <v>6052</v>
      </c>
      <c r="B34" s="289" t="s">
        <v>6053</v>
      </c>
      <c r="C34" s="205">
        <f t="shared" ref="C34:C65" si="4">D34+E34</f>
        <v>259990000</v>
      </c>
      <c r="D34" s="205" t="s">
        <v>5859</v>
      </c>
      <c r="E34" s="205" t="s">
        <v>6054</v>
      </c>
      <c r="F34" s="205" t="s">
        <v>6055</v>
      </c>
      <c r="G34" s="205" t="s">
        <v>6056</v>
      </c>
      <c r="H34" s="205"/>
      <c r="I34" s="205"/>
      <c r="J34" s="205"/>
      <c r="K34" s="205"/>
      <c r="L34" s="205"/>
      <c r="M34" s="205"/>
      <c r="N34" s="205"/>
      <c r="O34" s="205"/>
      <c r="P34" s="205"/>
      <c r="Q34" s="205"/>
      <c r="R34" s="205"/>
      <c r="S34" s="205"/>
      <c r="T34" s="205"/>
      <c r="U34" s="205"/>
      <c r="V34" s="205"/>
      <c r="W34" s="205"/>
      <c r="X34" s="205"/>
      <c r="Y34" s="205"/>
      <c r="Z34" s="205"/>
      <c r="AA34" s="205"/>
      <c r="AB34" s="205"/>
      <c r="AC34" s="205"/>
    </row>
    <row r="35" spans="1:29">
      <c r="A35" s="205" t="s">
        <v>6007</v>
      </c>
      <c r="B35" s="289" t="s">
        <v>6008</v>
      </c>
      <c r="C35" s="205">
        <f t="shared" si="4"/>
        <v>6208016</v>
      </c>
      <c r="D35" s="205" t="s">
        <v>5859</v>
      </c>
      <c r="E35" s="205" t="s">
        <v>6009</v>
      </c>
      <c r="F35" s="205" t="s">
        <v>6010</v>
      </c>
      <c r="G35" s="205" t="s">
        <v>6011</v>
      </c>
      <c r="H35" s="205"/>
      <c r="I35" s="205"/>
      <c r="J35" s="205"/>
      <c r="K35" s="205"/>
      <c r="L35" s="205"/>
      <c r="M35" s="205"/>
      <c r="N35" s="205"/>
      <c r="O35" s="205"/>
      <c r="P35" s="205"/>
      <c r="Q35" s="205"/>
      <c r="R35" s="205"/>
      <c r="S35" s="205"/>
      <c r="T35" s="205"/>
      <c r="U35" s="205"/>
      <c r="V35" s="205"/>
      <c r="W35" s="205"/>
      <c r="X35" s="205"/>
      <c r="Y35" s="205"/>
      <c r="Z35" s="205"/>
      <c r="AA35" s="205"/>
      <c r="AB35" s="205"/>
      <c r="AC35" s="205"/>
    </row>
    <row r="36" spans="1:29">
      <c r="A36" s="205" t="s">
        <v>5922</v>
      </c>
      <c r="B36" s="289" t="s">
        <v>5923</v>
      </c>
      <c r="C36" s="205">
        <f t="shared" si="4"/>
        <v>39242697</v>
      </c>
      <c r="D36" s="205" t="s">
        <v>5924</v>
      </c>
      <c r="E36" s="205" t="s">
        <v>5925</v>
      </c>
      <c r="F36" s="205" t="s">
        <v>5926</v>
      </c>
      <c r="G36" s="205" t="s">
        <v>5927</v>
      </c>
      <c r="H36" s="205"/>
      <c r="I36" s="205"/>
      <c r="J36" s="205"/>
      <c r="K36" s="205"/>
      <c r="L36" s="205"/>
      <c r="M36" s="205"/>
      <c r="N36" s="205"/>
      <c r="O36" s="205"/>
      <c r="P36" s="205"/>
      <c r="Q36" s="205"/>
      <c r="R36" s="205"/>
      <c r="S36" s="205"/>
      <c r="T36" s="205"/>
      <c r="U36" s="205"/>
      <c r="V36" s="205"/>
      <c r="W36" s="205"/>
      <c r="X36" s="205"/>
      <c r="Y36" s="205"/>
      <c r="Z36" s="205"/>
      <c r="AA36" s="205"/>
      <c r="AB36" s="205"/>
      <c r="AC36" s="205"/>
    </row>
    <row r="37" spans="1:29">
      <c r="A37" s="205" t="s">
        <v>6047</v>
      </c>
      <c r="B37" s="289" t="s">
        <v>6048</v>
      </c>
      <c r="C37" s="205">
        <f t="shared" si="4"/>
        <v>24338461</v>
      </c>
      <c r="D37" s="205" t="s">
        <v>5859</v>
      </c>
      <c r="E37" s="205" t="s">
        <v>6049</v>
      </c>
      <c r="F37" s="205" t="s">
        <v>6050</v>
      </c>
      <c r="G37" s="205" t="s">
        <v>6051</v>
      </c>
      <c r="H37" s="205"/>
      <c r="I37" s="205"/>
      <c r="J37" s="205"/>
      <c r="K37" s="205"/>
      <c r="L37" s="205"/>
      <c r="M37" s="205"/>
      <c r="N37" s="205"/>
      <c r="O37" s="205"/>
      <c r="P37" s="205"/>
      <c r="Q37" s="205"/>
      <c r="R37" s="205"/>
      <c r="S37" s="205"/>
      <c r="T37" s="205"/>
      <c r="U37" s="205"/>
      <c r="V37" s="205"/>
      <c r="W37" s="205"/>
      <c r="X37" s="205"/>
      <c r="Y37" s="205"/>
      <c r="Z37" s="205"/>
      <c r="AA37" s="205"/>
      <c r="AB37" s="205"/>
      <c r="AC37" s="205"/>
    </row>
    <row r="38" spans="1:29">
      <c r="A38" s="205" t="s">
        <v>5928</v>
      </c>
      <c r="B38" s="289" t="s">
        <v>5929</v>
      </c>
      <c r="C38" s="205">
        <f t="shared" si="4"/>
        <v>35697979</v>
      </c>
      <c r="D38" s="205" t="s">
        <v>5859</v>
      </c>
      <c r="E38" s="205" t="s">
        <v>5930</v>
      </c>
      <c r="F38" s="205" t="s">
        <v>5931</v>
      </c>
      <c r="G38" s="205" t="s">
        <v>5932</v>
      </c>
      <c r="H38" s="205"/>
      <c r="I38" s="205"/>
      <c r="J38" s="205"/>
      <c r="K38" s="205"/>
      <c r="L38" s="205"/>
      <c r="M38" s="205"/>
      <c r="N38" s="205"/>
      <c r="O38" s="205"/>
      <c r="P38" s="205"/>
      <c r="Q38" s="205"/>
      <c r="R38" s="205"/>
      <c r="S38" s="205"/>
      <c r="T38" s="205"/>
      <c r="U38" s="205"/>
      <c r="V38" s="205"/>
      <c r="W38" s="205"/>
      <c r="X38" s="205"/>
      <c r="Y38" s="205"/>
      <c r="Z38" s="205"/>
      <c r="AA38" s="205"/>
      <c r="AB38" s="205"/>
      <c r="AC38" s="205"/>
    </row>
    <row r="39" spans="1:29">
      <c r="A39" s="205" t="s">
        <v>5956</v>
      </c>
      <c r="B39" s="289" t="s">
        <v>5957</v>
      </c>
      <c r="C39" s="205">
        <f t="shared" si="4"/>
        <v>30949707</v>
      </c>
      <c r="D39" s="205" t="s">
        <v>5958</v>
      </c>
      <c r="E39" s="205" t="s">
        <v>5959</v>
      </c>
      <c r="F39" s="205" t="s">
        <v>5960</v>
      </c>
      <c r="G39" s="205" t="s">
        <v>5961</v>
      </c>
      <c r="H39" s="205"/>
      <c r="I39" s="205"/>
      <c r="J39" s="205"/>
      <c r="K39" s="205"/>
      <c r="L39" s="205"/>
      <c r="M39" s="205"/>
      <c r="N39" s="205"/>
      <c r="O39" s="205"/>
      <c r="P39" s="205"/>
      <c r="Q39" s="205"/>
      <c r="R39" s="205"/>
      <c r="S39" s="205"/>
      <c r="T39" s="205"/>
      <c r="U39" s="205"/>
      <c r="V39" s="205"/>
      <c r="W39" s="205"/>
      <c r="X39" s="205"/>
      <c r="Y39" s="205"/>
      <c r="Z39" s="205"/>
      <c r="AA39" s="205"/>
      <c r="AB39" s="205"/>
      <c r="AC39" s="205"/>
    </row>
    <row r="40" spans="1:29">
      <c r="A40" s="205" t="s">
        <v>5918</v>
      </c>
      <c r="B40" s="289" t="s">
        <v>5919</v>
      </c>
      <c r="C40" s="205">
        <f t="shared" si="4"/>
        <v>11270740</v>
      </c>
      <c r="D40" s="205" t="s">
        <v>5859</v>
      </c>
      <c r="E40" s="205" t="s">
        <v>5920</v>
      </c>
      <c r="F40" s="205" t="s">
        <v>5921</v>
      </c>
      <c r="G40" s="205" t="s">
        <v>4824</v>
      </c>
      <c r="H40" s="205"/>
      <c r="I40" s="205"/>
      <c r="J40" s="205"/>
      <c r="K40" s="205"/>
      <c r="L40" s="205"/>
      <c r="M40" s="205"/>
      <c r="N40" s="205"/>
      <c r="O40" s="205"/>
      <c r="P40" s="205"/>
      <c r="Q40" s="205"/>
      <c r="R40" s="205"/>
      <c r="S40" s="205"/>
      <c r="T40" s="205"/>
      <c r="U40" s="205"/>
      <c r="V40" s="205"/>
      <c r="W40" s="205"/>
      <c r="X40" s="205"/>
      <c r="Y40" s="205"/>
      <c r="Z40" s="205"/>
      <c r="AA40" s="205"/>
      <c r="AB40" s="205"/>
      <c r="AC40" s="205"/>
    </row>
    <row r="41" spans="1:29">
      <c r="A41" s="205" t="s">
        <v>6063</v>
      </c>
      <c r="B41" s="289" t="s">
        <v>6064</v>
      </c>
      <c r="C41" s="205">
        <f t="shared" si="4"/>
        <v>15600000</v>
      </c>
      <c r="D41" s="205" t="s">
        <v>5859</v>
      </c>
      <c r="E41" s="205" t="s">
        <v>6065</v>
      </c>
      <c r="F41" s="205" t="s">
        <v>6066</v>
      </c>
      <c r="G41" s="205" t="s">
        <v>6067</v>
      </c>
      <c r="H41" s="205"/>
      <c r="I41" s="205"/>
      <c r="J41" s="205"/>
      <c r="K41" s="205"/>
      <c r="L41" s="205"/>
      <c r="M41" s="205"/>
      <c r="N41" s="205"/>
      <c r="O41" s="205"/>
      <c r="P41" s="205"/>
      <c r="Q41" s="205"/>
      <c r="R41" s="205"/>
      <c r="S41" s="205"/>
      <c r="T41" s="205"/>
      <c r="U41" s="205"/>
      <c r="V41" s="205"/>
      <c r="W41" s="205"/>
      <c r="X41" s="205"/>
      <c r="Y41" s="205"/>
      <c r="Z41" s="205"/>
      <c r="AA41" s="205"/>
      <c r="AB41" s="205"/>
      <c r="AC41" s="205"/>
    </row>
    <row r="42" spans="1:29">
      <c r="A42" s="205" t="s">
        <v>5909</v>
      </c>
      <c r="B42" s="289" t="s">
        <v>5910</v>
      </c>
      <c r="C42" s="205">
        <f t="shared" si="4"/>
        <v>14702520</v>
      </c>
      <c r="D42" s="205" t="s">
        <v>5859</v>
      </c>
      <c r="E42" s="205" t="s">
        <v>5911</v>
      </c>
      <c r="F42" s="205" t="s">
        <v>5912</v>
      </c>
      <c r="G42" s="205" t="s">
        <v>5913</v>
      </c>
      <c r="H42" s="205"/>
      <c r="I42" s="205"/>
      <c r="J42" s="205"/>
      <c r="K42" s="205"/>
      <c r="L42" s="205"/>
      <c r="M42" s="205"/>
      <c r="N42" s="205"/>
      <c r="O42" s="205"/>
      <c r="P42" s="205"/>
      <c r="Q42" s="205"/>
      <c r="R42" s="205"/>
      <c r="S42" s="205"/>
      <c r="T42" s="205"/>
      <c r="U42" s="205"/>
      <c r="V42" s="205"/>
      <c r="W42" s="205"/>
      <c r="X42" s="205"/>
      <c r="Y42" s="205"/>
      <c r="Z42" s="205"/>
      <c r="AA42" s="205"/>
      <c r="AB42" s="205"/>
      <c r="AC42" s="205"/>
    </row>
    <row r="43" spans="1:29">
      <c r="A43" s="205" t="s">
        <v>5984</v>
      </c>
      <c r="B43" s="289" t="s">
        <v>5985</v>
      </c>
      <c r="C43" s="205">
        <f t="shared" si="4"/>
        <v>13930853</v>
      </c>
      <c r="D43" s="205" t="s">
        <v>5859</v>
      </c>
      <c r="E43" s="205" t="s">
        <v>5986</v>
      </c>
      <c r="F43" s="205" t="s">
        <v>5987</v>
      </c>
      <c r="G43" s="205" t="s">
        <v>5988</v>
      </c>
      <c r="H43" s="205"/>
      <c r="I43" s="205"/>
      <c r="J43" s="205"/>
      <c r="K43" s="205"/>
      <c r="L43" s="205"/>
      <c r="M43" s="205"/>
      <c r="N43" s="205"/>
      <c r="O43" s="205"/>
      <c r="P43" s="205"/>
      <c r="Q43" s="205"/>
      <c r="R43" s="205"/>
      <c r="S43" s="205"/>
      <c r="T43" s="205"/>
      <c r="U43" s="205"/>
      <c r="V43" s="205"/>
      <c r="W43" s="205"/>
      <c r="X43" s="205"/>
      <c r="Y43" s="205"/>
      <c r="Z43" s="205"/>
      <c r="AA43" s="205"/>
      <c r="AB43" s="205"/>
      <c r="AC43" s="205"/>
    </row>
    <row r="44" spans="1:29">
      <c r="A44" s="205" t="s">
        <v>5966</v>
      </c>
      <c r="B44" s="289" t="s">
        <v>5967</v>
      </c>
      <c r="C44" s="205">
        <f t="shared" si="4"/>
        <v>68500000</v>
      </c>
      <c r="D44" s="205" t="s">
        <v>5859</v>
      </c>
      <c r="E44" s="205" t="s">
        <v>5968</v>
      </c>
      <c r="F44" s="205" t="s">
        <v>5969</v>
      </c>
      <c r="G44" s="205" t="s">
        <v>5970</v>
      </c>
      <c r="H44" s="205"/>
      <c r="I44" s="205"/>
      <c r="J44" s="205"/>
      <c r="K44" s="205"/>
      <c r="L44" s="205"/>
      <c r="M44" s="205"/>
      <c r="N44" s="205"/>
      <c r="O44" s="205"/>
      <c r="P44" s="205"/>
      <c r="Q44" s="205"/>
      <c r="R44" s="205"/>
      <c r="S44" s="205"/>
      <c r="T44" s="205"/>
      <c r="U44" s="205"/>
      <c r="V44" s="205"/>
      <c r="W44" s="205"/>
      <c r="X44" s="205"/>
      <c r="Y44" s="205"/>
      <c r="Z44" s="205"/>
      <c r="AA44" s="205"/>
      <c r="AB44" s="205"/>
      <c r="AC44" s="205"/>
    </row>
    <row r="45" spans="1:29">
      <c r="A45" s="205" t="s">
        <v>6068</v>
      </c>
      <c r="B45" s="289" t="s">
        <v>6069</v>
      </c>
      <c r="C45" s="205">
        <f t="shared" si="4"/>
        <v>3000000</v>
      </c>
      <c r="D45" s="205" t="s">
        <v>5859</v>
      </c>
      <c r="E45" s="205" t="s">
        <v>5903</v>
      </c>
      <c r="F45" s="205" t="s">
        <v>6070</v>
      </c>
      <c r="G45" s="205" t="s">
        <v>6071</v>
      </c>
      <c r="H45" s="205"/>
      <c r="I45" s="205"/>
      <c r="J45" s="205"/>
      <c r="K45" s="205"/>
      <c r="L45" s="205"/>
      <c r="M45" s="205"/>
      <c r="N45" s="205"/>
      <c r="O45" s="205"/>
      <c r="P45" s="205"/>
      <c r="Q45" s="205"/>
      <c r="R45" s="205"/>
      <c r="S45" s="205"/>
      <c r="T45" s="205"/>
      <c r="U45" s="205"/>
      <c r="V45" s="205"/>
      <c r="W45" s="205"/>
      <c r="X45" s="205"/>
      <c r="Y45" s="205"/>
      <c r="Z45" s="205"/>
      <c r="AA45" s="205"/>
      <c r="AB45" s="205"/>
      <c r="AC45" s="205"/>
    </row>
    <row r="46" spans="1:29">
      <c r="A46" s="205" t="s">
        <v>6087</v>
      </c>
      <c r="B46" s="289" t="s">
        <v>6088</v>
      </c>
      <c r="C46" s="205">
        <f t="shared" si="4"/>
        <v>12400000</v>
      </c>
      <c r="D46" s="205" t="s">
        <v>5859</v>
      </c>
      <c r="E46" s="205" t="s">
        <v>6089</v>
      </c>
      <c r="F46" s="205" t="s">
        <v>6090</v>
      </c>
      <c r="G46" s="205" t="s">
        <v>6091</v>
      </c>
      <c r="H46" s="205"/>
      <c r="I46" s="205"/>
      <c r="J46" s="205"/>
      <c r="K46" s="205"/>
      <c r="L46" s="205"/>
      <c r="M46" s="205"/>
      <c r="N46" s="205"/>
      <c r="O46" s="205"/>
      <c r="P46" s="205"/>
      <c r="Q46" s="205"/>
      <c r="R46" s="205"/>
      <c r="S46" s="205"/>
      <c r="T46" s="205"/>
      <c r="U46" s="205"/>
      <c r="V46" s="205"/>
      <c r="W46" s="205"/>
      <c r="X46" s="205"/>
      <c r="Y46" s="205"/>
      <c r="Z46" s="205"/>
      <c r="AA46" s="205"/>
      <c r="AB46" s="205"/>
      <c r="AC46" s="205"/>
    </row>
    <row r="47" spans="1:29">
      <c r="A47" s="205" t="s">
        <v>5998</v>
      </c>
      <c r="B47" s="289" t="s">
        <v>5999</v>
      </c>
      <c r="C47" s="205">
        <f t="shared" si="4"/>
        <v>25000000</v>
      </c>
      <c r="D47" s="205" t="s">
        <v>5859</v>
      </c>
      <c r="E47" s="205" t="s">
        <v>5921</v>
      </c>
      <c r="F47" s="205" t="s">
        <v>6000</v>
      </c>
      <c r="G47" s="205" t="s">
        <v>6001</v>
      </c>
      <c r="H47" s="205"/>
      <c r="I47" s="205"/>
      <c r="J47" s="205"/>
      <c r="K47" s="205"/>
      <c r="L47" s="205"/>
      <c r="M47" s="205"/>
      <c r="N47" s="205"/>
      <c r="O47" s="205"/>
      <c r="P47" s="205"/>
      <c r="Q47" s="205"/>
      <c r="R47" s="205"/>
      <c r="S47" s="205"/>
      <c r="T47" s="205"/>
      <c r="U47" s="205"/>
      <c r="V47" s="205"/>
      <c r="W47" s="205"/>
      <c r="X47" s="205"/>
      <c r="Y47" s="205"/>
      <c r="Z47" s="205"/>
      <c r="AA47" s="205"/>
      <c r="AB47" s="205"/>
      <c r="AC47" s="205"/>
    </row>
    <row r="48" spans="1:29">
      <c r="A48" s="205" t="s">
        <v>6072</v>
      </c>
      <c r="B48" s="289" t="s">
        <v>6073</v>
      </c>
      <c r="C48" s="205">
        <f t="shared" si="4"/>
        <v>29000000</v>
      </c>
      <c r="D48" s="205" t="s">
        <v>5859</v>
      </c>
      <c r="E48" s="205" t="s">
        <v>6074</v>
      </c>
      <c r="F48" s="205" t="s">
        <v>6075</v>
      </c>
      <c r="G48" s="205" t="s">
        <v>6076</v>
      </c>
      <c r="H48" s="205"/>
      <c r="I48" s="205"/>
      <c r="J48" s="205"/>
      <c r="K48" s="205"/>
      <c r="L48" s="205"/>
      <c r="M48" s="205"/>
      <c r="N48" s="205"/>
      <c r="O48" s="205"/>
      <c r="P48" s="205"/>
      <c r="Q48" s="205"/>
      <c r="R48" s="205"/>
      <c r="S48" s="205"/>
      <c r="T48" s="205"/>
      <c r="U48" s="205"/>
      <c r="V48" s="205"/>
      <c r="W48" s="205"/>
      <c r="X48" s="205"/>
      <c r="Y48" s="205"/>
      <c r="Z48" s="205"/>
      <c r="AA48" s="205"/>
      <c r="AB48" s="205"/>
      <c r="AC48" s="205"/>
    </row>
    <row r="49" spans="1:29">
      <c r="A49" s="205" t="s">
        <v>6100</v>
      </c>
      <c r="B49" s="289" t="s">
        <v>6101</v>
      </c>
      <c r="C49" s="205">
        <f t="shared" si="4"/>
        <v>12691397</v>
      </c>
      <c r="D49" s="205" t="s">
        <v>5859</v>
      </c>
      <c r="E49" s="205" t="s">
        <v>6102</v>
      </c>
      <c r="F49" s="205" t="s">
        <v>6103</v>
      </c>
      <c r="G49" s="205" t="s">
        <v>6104</v>
      </c>
      <c r="H49" s="205"/>
      <c r="I49" s="205"/>
      <c r="J49" s="205"/>
      <c r="K49" s="205"/>
      <c r="L49" s="205"/>
      <c r="M49" s="205"/>
      <c r="N49" s="205"/>
      <c r="O49" s="205"/>
      <c r="P49" s="205"/>
      <c r="Q49" s="205"/>
      <c r="R49" s="205"/>
      <c r="S49" s="205"/>
      <c r="T49" s="205"/>
      <c r="U49" s="205"/>
      <c r="V49" s="205"/>
      <c r="W49" s="205"/>
      <c r="X49" s="205"/>
      <c r="Y49" s="205"/>
      <c r="Z49" s="205"/>
      <c r="AA49" s="205"/>
      <c r="AB49" s="205"/>
      <c r="AC49" s="205"/>
    </row>
    <row r="50" spans="1:29">
      <c r="A50" s="205" t="s">
        <v>6092</v>
      </c>
      <c r="B50" s="289" t="s">
        <v>6093</v>
      </c>
      <c r="C50" s="205">
        <f t="shared" si="4"/>
        <v>4639508</v>
      </c>
      <c r="D50" s="205" t="s">
        <v>5859</v>
      </c>
      <c r="E50" s="205" t="s">
        <v>6094</v>
      </c>
      <c r="F50" s="205" t="s">
        <v>6095</v>
      </c>
      <c r="G50" s="205" t="s">
        <v>6096</v>
      </c>
      <c r="H50" s="205"/>
      <c r="I50" s="205"/>
      <c r="J50" s="205"/>
      <c r="K50" s="205"/>
      <c r="L50" s="205"/>
      <c r="M50" s="205"/>
      <c r="N50" s="205"/>
      <c r="O50" s="205"/>
      <c r="P50" s="205"/>
      <c r="Q50" s="205"/>
      <c r="R50" s="205"/>
      <c r="S50" s="205"/>
      <c r="T50" s="205"/>
      <c r="U50" s="205"/>
      <c r="V50" s="205"/>
      <c r="W50" s="205"/>
      <c r="X50" s="205"/>
      <c r="Y50" s="205"/>
      <c r="Z50" s="205"/>
      <c r="AA50" s="205"/>
      <c r="AB50" s="205"/>
      <c r="AC50" s="205"/>
    </row>
    <row r="51" spans="1:29">
      <c r="A51" s="205" t="s">
        <v>6032</v>
      </c>
      <c r="B51" s="289" t="s">
        <v>6033</v>
      </c>
      <c r="C51" s="205">
        <f t="shared" si="4"/>
        <v>9242699</v>
      </c>
      <c r="D51" s="205" t="s">
        <v>5859</v>
      </c>
      <c r="E51" s="205" t="s">
        <v>6034</v>
      </c>
      <c r="F51" s="205" t="s">
        <v>6035</v>
      </c>
      <c r="G51" s="205" t="s">
        <v>6036</v>
      </c>
      <c r="H51" s="205"/>
      <c r="I51" s="205"/>
      <c r="J51" s="205"/>
      <c r="K51" s="205"/>
      <c r="L51" s="205"/>
      <c r="M51" s="205"/>
      <c r="N51" s="205"/>
      <c r="O51" s="205"/>
      <c r="P51" s="205"/>
      <c r="Q51" s="205"/>
      <c r="R51" s="205"/>
      <c r="S51" s="205"/>
      <c r="T51" s="205"/>
      <c r="U51" s="205"/>
      <c r="V51" s="205"/>
      <c r="W51" s="205"/>
      <c r="X51" s="205"/>
      <c r="Y51" s="205"/>
      <c r="Z51" s="205"/>
      <c r="AA51" s="205"/>
      <c r="AB51" s="205"/>
      <c r="AC51" s="205"/>
    </row>
    <row r="52" spans="1:29">
      <c r="A52" s="205" t="s">
        <v>6027</v>
      </c>
      <c r="B52" s="289" t="s">
        <v>6028</v>
      </c>
      <c r="C52" s="205">
        <f t="shared" si="4"/>
        <v>12000000</v>
      </c>
      <c r="D52" s="205" t="s">
        <v>5859</v>
      </c>
      <c r="E52" s="205" t="s">
        <v>6029</v>
      </c>
      <c r="F52" s="205" t="s">
        <v>6030</v>
      </c>
      <c r="G52" s="205" t="s">
        <v>6031</v>
      </c>
      <c r="H52" s="205"/>
      <c r="I52" s="205"/>
      <c r="J52" s="205"/>
      <c r="K52" s="205"/>
      <c r="L52" s="205"/>
      <c r="M52" s="205"/>
      <c r="N52" s="205"/>
      <c r="O52" s="205"/>
      <c r="P52" s="205"/>
      <c r="Q52" s="205"/>
      <c r="R52" s="205"/>
      <c r="S52" s="205"/>
      <c r="T52" s="205"/>
      <c r="U52" s="205"/>
      <c r="V52" s="205"/>
      <c r="W52" s="205"/>
      <c r="X52" s="205"/>
      <c r="Y52" s="205"/>
      <c r="Z52" s="205"/>
      <c r="AA52" s="205"/>
      <c r="AB52" s="205"/>
      <c r="AC52" s="205"/>
    </row>
    <row r="53" spans="1:29">
      <c r="A53" s="205" t="s">
        <v>6082</v>
      </c>
      <c r="B53" s="289" t="s">
        <v>6083</v>
      </c>
      <c r="C53" s="205">
        <f t="shared" si="4"/>
        <v>18333333</v>
      </c>
      <c r="D53" s="205" t="s">
        <v>5859</v>
      </c>
      <c r="E53" s="205" t="s">
        <v>6084</v>
      </c>
      <c r="F53" s="205" t="s">
        <v>6085</v>
      </c>
      <c r="G53" s="205" t="s">
        <v>6086</v>
      </c>
      <c r="H53" s="205"/>
      <c r="I53" s="205"/>
      <c r="J53" s="205"/>
      <c r="K53" s="205"/>
      <c r="L53" s="205"/>
      <c r="M53" s="205"/>
      <c r="N53" s="205"/>
      <c r="O53" s="205"/>
      <c r="P53" s="205"/>
      <c r="Q53" s="205"/>
      <c r="R53" s="205"/>
      <c r="S53" s="205"/>
      <c r="T53" s="205"/>
      <c r="U53" s="205"/>
      <c r="V53" s="205"/>
      <c r="W53" s="205"/>
      <c r="X53" s="205"/>
      <c r="Y53" s="205"/>
      <c r="Z53" s="205"/>
      <c r="AA53" s="205"/>
      <c r="AB53" s="205"/>
      <c r="AC53" s="205"/>
    </row>
    <row r="54" spans="1:29">
      <c r="A54" s="205" t="s">
        <v>6057</v>
      </c>
      <c r="B54" s="289" t="s">
        <v>6058</v>
      </c>
      <c r="C54" s="205">
        <f t="shared" si="4"/>
        <v>10686057</v>
      </c>
      <c r="D54" s="205" t="s">
        <v>6059</v>
      </c>
      <c r="E54" s="205" t="s">
        <v>6060</v>
      </c>
      <c r="F54" s="205" t="s">
        <v>6061</v>
      </c>
      <c r="G54" s="205" t="s">
        <v>6062</v>
      </c>
      <c r="H54" s="205"/>
      <c r="I54" s="205"/>
      <c r="J54" s="205"/>
      <c r="K54" s="205"/>
      <c r="L54" s="205"/>
      <c r="M54" s="205"/>
      <c r="N54" s="205"/>
      <c r="O54" s="205"/>
      <c r="P54" s="205"/>
      <c r="Q54" s="205"/>
      <c r="R54" s="205"/>
      <c r="S54" s="205"/>
      <c r="T54" s="205"/>
      <c r="U54" s="205"/>
      <c r="V54" s="205"/>
      <c r="W54" s="205"/>
      <c r="X54" s="205"/>
      <c r="Y54" s="205"/>
      <c r="Z54" s="205"/>
      <c r="AA54" s="205"/>
      <c r="AB54" s="205"/>
      <c r="AC54" s="205"/>
    </row>
    <row r="55" spans="1:29">
      <c r="A55" s="205" t="s">
        <v>6012</v>
      </c>
      <c r="B55" s="289" t="s">
        <v>6013</v>
      </c>
      <c r="C55" s="205">
        <f t="shared" si="4"/>
        <v>6210524</v>
      </c>
      <c r="D55" s="205" t="s">
        <v>5859</v>
      </c>
      <c r="E55" s="205" t="s">
        <v>6014</v>
      </c>
      <c r="F55" s="205" t="s">
        <v>6015</v>
      </c>
      <c r="G55" s="205" t="s">
        <v>6016</v>
      </c>
      <c r="H55" s="205"/>
      <c r="I55" s="205"/>
      <c r="J55" s="205"/>
      <c r="K55" s="205"/>
      <c r="L55" s="205"/>
      <c r="M55" s="205"/>
      <c r="N55" s="205"/>
      <c r="O55" s="205"/>
      <c r="P55" s="205"/>
      <c r="Q55" s="205"/>
      <c r="R55" s="205"/>
      <c r="S55" s="205"/>
      <c r="T55" s="205"/>
      <c r="U55" s="205"/>
      <c r="V55" s="205"/>
      <c r="W55" s="205"/>
      <c r="X55" s="205"/>
      <c r="Y55" s="205"/>
      <c r="Z55" s="205"/>
      <c r="AA55" s="205"/>
      <c r="AB55" s="205"/>
      <c r="AC55" s="205"/>
    </row>
    <row r="56" spans="1:29">
      <c r="A56" s="205" t="s">
        <v>6136</v>
      </c>
      <c r="B56" s="289" t="s">
        <v>6137</v>
      </c>
      <c r="C56" s="205">
        <f t="shared" si="4"/>
        <v>2660000</v>
      </c>
      <c r="D56" s="205" t="s">
        <v>5859</v>
      </c>
      <c r="E56" s="205" t="s">
        <v>6138</v>
      </c>
      <c r="F56" s="205" t="s">
        <v>6139</v>
      </c>
      <c r="G56" s="205" t="s">
        <v>6140</v>
      </c>
      <c r="H56" s="205"/>
      <c r="I56" s="205"/>
      <c r="J56" s="205"/>
      <c r="K56" s="205"/>
      <c r="L56" s="205"/>
      <c r="M56" s="205"/>
      <c r="N56" s="205"/>
      <c r="O56" s="205"/>
      <c r="P56" s="205"/>
      <c r="Q56" s="205"/>
      <c r="R56" s="205"/>
      <c r="S56" s="205"/>
      <c r="T56" s="205"/>
      <c r="U56" s="205"/>
      <c r="V56" s="205"/>
      <c r="W56" s="205"/>
      <c r="X56" s="205"/>
      <c r="Y56" s="205"/>
      <c r="Z56" s="205"/>
      <c r="AA56" s="205"/>
      <c r="AB56" s="205"/>
      <c r="AC56" s="205"/>
    </row>
    <row r="57" spans="1:29">
      <c r="A57" s="205" t="s">
        <v>6113</v>
      </c>
      <c r="B57" s="289" t="s">
        <v>6114</v>
      </c>
      <c r="C57" s="205">
        <f t="shared" si="4"/>
        <v>4333333</v>
      </c>
      <c r="D57" s="205" t="s">
        <v>5859</v>
      </c>
      <c r="E57" s="205" t="s">
        <v>6115</v>
      </c>
      <c r="F57" s="205" t="s">
        <v>6116</v>
      </c>
      <c r="G57" s="205" t="s">
        <v>6117</v>
      </c>
      <c r="H57" s="205"/>
      <c r="I57" s="205"/>
      <c r="J57" s="205"/>
      <c r="K57" s="205"/>
      <c r="L57" s="205"/>
      <c r="M57" s="205"/>
      <c r="N57" s="205"/>
      <c r="O57" s="205"/>
      <c r="P57" s="205"/>
      <c r="Q57" s="205"/>
      <c r="R57" s="205"/>
      <c r="S57" s="205"/>
      <c r="T57" s="205"/>
      <c r="U57" s="205"/>
      <c r="V57" s="205"/>
      <c r="W57" s="205"/>
      <c r="X57" s="205"/>
      <c r="Y57" s="205"/>
      <c r="Z57" s="205"/>
      <c r="AA57" s="205"/>
      <c r="AB57" s="205"/>
      <c r="AC57" s="205"/>
    </row>
    <row r="58" spans="1:29">
      <c r="A58" s="205" t="s">
        <v>6118</v>
      </c>
      <c r="B58" s="289" t="s">
        <v>6119</v>
      </c>
      <c r="C58" s="205">
        <f t="shared" si="4"/>
        <v>469533</v>
      </c>
      <c r="D58" s="205" t="s">
        <v>5859</v>
      </c>
      <c r="E58" s="205" t="s">
        <v>6120</v>
      </c>
      <c r="F58" s="205" t="s">
        <v>6121</v>
      </c>
      <c r="G58" s="205" t="s">
        <v>6122</v>
      </c>
      <c r="H58" s="205"/>
      <c r="I58" s="205"/>
      <c r="J58" s="205"/>
      <c r="K58" s="205"/>
      <c r="L58" s="205"/>
      <c r="M58" s="205"/>
      <c r="N58" s="205"/>
      <c r="O58" s="205"/>
      <c r="P58" s="205"/>
      <c r="Q58" s="205"/>
      <c r="R58" s="205"/>
      <c r="S58" s="205"/>
      <c r="T58" s="205"/>
      <c r="U58" s="205"/>
      <c r="V58" s="205"/>
      <c r="W58" s="205"/>
      <c r="X58" s="205"/>
      <c r="Y58" s="205"/>
      <c r="Z58" s="205"/>
      <c r="AA58" s="205"/>
      <c r="AB58" s="205"/>
      <c r="AC58" s="205"/>
    </row>
    <row r="59" spans="1:29">
      <c r="A59" s="205" t="s">
        <v>6163</v>
      </c>
      <c r="B59" s="289" t="s">
        <v>6162</v>
      </c>
      <c r="C59" s="205">
        <f t="shared" si="4"/>
        <v>5076558</v>
      </c>
      <c r="D59" s="205" t="s">
        <v>6164</v>
      </c>
      <c r="E59" s="205" t="s">
        <v>5859</v>
      </c>
      <c r="F59" s="205" t="s">
        <v>6103</v>
      </c>
      <c r="G59" s="205" t="s">
        <v>6165</v>
      </c>
      <c r="H59" s="205"/>
      <c r="I59" s="205"/>
      <c r="J59" s="205"/>
      <c r="K59" s="205"/>
      <c r="L59" s="205"/>
      <c r="M59" s="205"/>
      <c r="N59" s="205"/>
      <c r="O59" s="205"/>
      <c r="P59" s="205"/>
      <c r="Q59" s="205"/>
      <c r="R59" s="205"/>
      <c r="S59" s="205"/>
      <c r="T59" s="205"/>
      <c r="U59" s="205"/>
      <c r="V59" s="205"/>
      <c r="W59" s="205"/>
      <c r="X59" s="205"/>
      <c r="Y59" s="205"/>
      <c r="Z59" s="205"/>
      <c r="AA59" s="205"/>
      <c r="AB59" s="205"/>
      <c r="AC59" s="205"/>
    </row>
    <row r="60" spans="1:29">
      <c r="A60" s="205" t="s">
        <v>5853</v>
      </c>
      <c r="B60" s="289" t="s">
        <v>6105</v>
      </c>
      <c r="C60" s="205">
        <f t="shared" si="4"/>
        <v>1144000</v>
      </c>
      <c r="D60" s="205" t="s">
        <v>5859</v>
      </c>
      <c r="E60" s="205" t="s">
        <v>6106</v>
      </c>
      <c r="F60" s="205" t="s">
        <v>6107</v>
      </c>
      <c r="G60" s="205" t="s">
        <v>6108</v>
      </c>
      <c r="H60" s="205"/>
      <c r="I60" s="205"/>
      <c r="J60" s="205"/>
      <c r="K60" s="205"/>
      <c r="L60" s="205"/>
      <c r="M60" s="205"/>
      <c r="N60" s="205"/>
      <c r="O60" s="205"/>
      <c r="P60" s="205"/>
      <c r="Q60" s="205"/>
      <c r="R60" s="205"/>
      <c r="S60" s="205"/>
      <c r="T60" s="205"/>
      <c r="U60" s="205"/>
      <c r="V60" s="205"/>
      <c r="W60" s="205"/>
      <c r="X60" s="205"/>
      <c r="Y60" s="205"/>
      <c r="Z60" s="205"/>
      <c r="AA60" s="205"/>
      <c r="AB60" s="205"/>
      <c r="AC60" s="205"/>
    </row>
    <row r="61" spans="1:29">
      <c r="A61" s="205" t="s">
        <v>6077</v>
      </c>
      <c r="B61" s="289" t="s">
        <v>6078</v>
      </c>
      <c r="C61" s="205">
        <f t="shared" si="4"/>
        <v>2000000</v>
      </c>
      <c r="D61" s="205" t="s">
        <v>5859</v>
      </c>
      <c r="E61" s="205" t="s">
        <v>6079</v>
      </c>
      <c r="F61" s="205" t="s">
        <v>6080</v>
      </c>
      <c r="G61" s="205" t="s">
        <v>6081</v>
      </c>
      <c r="H61" s="205"/>
      <c r="I61" s="205"/>
      <c r="J61" s="205"/>
      <c r="K61" s="205"/>
      <c r="L61" s="205"/>
      <c r="M61" s="205"/>
      <c r="N61" s="205"/>
      <c r="O61" s="205"/>
      <c r="P61" s="205"/>
      <c r="Q61" s="205"/>
      <c r="R61" s="205"/>
      <c r="S61" s="205"/>
      <c r="T61" s="205"/>
      <c r="U61" s="205"/>
      <c r="V61" s="205"/>
      <c r="W61" s="205"/>
      <c r="X61" s="205"/>
      <c r="Y61" s="205"/>
      <c r="Z61" s="205"/>
      <c r="AA61" s="205"/>
      <c r="AB61" s="205"/>
      <c r="AC61" s="205"/>
    </row>
    <row r="62" spans="1:29">
      <c r="A62" s="205" t="s">
        <v>6127</v>
      </c>
      <c r="B62" s="289" t="s">
        <v>6128</v>
      </c>
      <c r="C62" s="205">
        <f t="shared" si="4"/>
        <v>1469425</v>
      </c>
      <c r="D62" s="205" t="s">
        <v>5859</v>
      </c>
      <c r="E62" s="205" t="s">
        <v>6129</v>
      </c>
      <c r="F62" s="205" t="s">
        <v>6130</v>
      </c>
      <c r="G62" s="205" t="s">
        <v>6131</v>
      </c>
      <c r="H62" s="205"/>
      <c r="I62" s="205"/>
      <c r="J62" s="205"/>
      <c r="K62" s="205"/>
      <c r="L62" s="205"/>
      <c r="M62" s="205"/>
      <c r="N62" s="205"/>
      <c r="O62" s="205"/>
      <c r="P62" s="205"/>
      <c r="Q62" s="205"/>
      <c r="R62" s="205"/>
      <c r="S62" s="205"/>
      <c r="T62" s="205"/>
      <c r="U62" s="205"/>
      <c r="V62" s="205"/>
      <c r="W62" s="205"/>
      <c r="X62" s="205"/>
      <c r="Y62" s="205"/>
      <c r="Z62" s="205"/>
      <c r="AA62" s="205"/>
      <c r="AB62" s="205"/>
      <c r="AC62" s="205"/>
    </row>
    <row r="63" spans="1:29">
      <c r="A63" s="205" t="s">
        <v>6123</v>
      </c>
      <c r="B63" s="289" t="s">
        <v>6124</v>
      </c>
      <c r="C63" s="205">
        <f t="shared" si="4"/>
        <v>1888175</v>
      </c>
      <c r="D63" s="205" t="s">
        <v>5859</v>
      </c>
      <c r="E63" s="205" t="s">
        <v>6125</v>
      </c>
      <c r="F63" s="205" t="s">
        <v>5921</v>
      </c>
      <c r="G63" s="205" t="s">
        <v>6126</v>
      </c>
      <c r="H63" s="205"/>
      <c r="I63" s="205"/>
      <c r="J63" s="205"/>
      <c r="K63" s="205"/>
      <c r="L63" s="205"/>
      <c r="M63" s="205"/>
      <c r="N63" s="205"/>
      <c r="O63" s="205"/>
      <c r="P63" s="205"/>
      <c r="Q63" s="205"/>
      <c r="R63" s="205"/>
      <c r="S63" s="205"/>
      <c r="T63" s="205"/>
      <c r="U63" s="205"/>
      <c r="V63" s="205"/>
      <c r="W63" s="205"/>
      <c r="X63" s="205"/>
      <c r="Y63" s="205"/>
      <c r="Z63" s="205"/>
      <c r="AA63" s="205"/>
      <c r="AB63" s="205"/>
      <c r="AC63" s="205"/>
    </row>
    <row r="64" spans="1:29">
      <c r="A64" s="205" t="s">
        <v>5850</v>
      </c>
      <c r="B64" s="289" t="s">
        <v>6097</v>
      </c>
      <c r="C64" s="205">
        <f t="shared" si="4"/>
        <v>15200000</v>
      </c>
      <c r="D64" s="205" t="s">
        <v>5859</v>
      </c>
      <c r="E64" s="205" t="s">
        <v>6098</v>
      </c>
      <c r="F64" s="205" t="s">
        <v>5939</v>
      </c>
      <c r="G64" s="205" t="s">
        <v>6099</v>
      </c>
      <c r="H64" s="205"/>
      <c r="I64" s="205"/>
      <c r="J64" s="205"/>
      <c r="K64" s="205"/>
      <c r="L64" s="205"/>
      <c r="M64" s="205"/>
      <c r="N64" s="205"/>
      <c r="O64" s="205"/>
      <c r="P64" s="205"/>
      <c r="Q64" s="205"/>
      <c r="R64" s="205"/>
      <c r="S64" s="205"/>
      <c r="T64" s="205"/>
      <c r="U64" s="205"/>
      <c r="V64" s="205"/>
      <c r="W64" s="205"/>
      <c r="X64" s="205"/>
      <c r="Y64" s="205"/>
      <c r="Z64" s="205"/>
      <c r="AA64" s="205"/>
      <c r="AB64" s="205"/>
      <c r="AC64" s="205"/>
    </row>
    <row r="65" spans="1:29">
      <c r="A65" s="205" t="s">
        <v>6141</v>
      </c>
      <c r="B65" s="289" t="s">
        <v>6142</v>
      </c>
      <c r="C65" s="205">
        <f t="shared" si="4"/>
        <v>364567</v>
      </c>
      <c r="D65" s="205" t="s">
        <v>5859</v>
      </c>
      <c r="E65" s="205" t="s">
        <v>6143</v>
      </c>
      <c r="F65" s="205" t="s">
        <v>6040</v>
      </c>
      <c r="G65" s="205" t="s">
        <v>6144</v>
      </c>
      <c r="H65" s="205"/>
      <c r="I65" s="205"/>
      <c r="J65" s="205"/>
      <c r="K65" s="205"/>
      <c r="L65" s="205"/>
      <c r="M65" s="205"/>
      <c r="N65" s="205"/>
      <c r="O65" s="205"/>
      <c r="P65" s="205"/>
      <c r="Q65" s="205"/>
      <c r="R65" s="205"/>
      <c r="S65" s="205"/>
      <c r="T65" s="205"/>
      <c r="U65" s="205"/>
      <c r="V65" s="205"/>
      <c r="W65" s="205"/>
      <c r="X65" s="205"/>
      <c r="Y65" s="205"/>
      <c r="Z65" s="205"/>
      <c r="AA65" s="205"/>
      <c r="AB65" s="205"/>
      <c r="AC65" s="205"/>
    </row>
    <row r="66" spans="1:29">
      <c r="A66" s="205" t="s">
        <v>6132</v>
      </c>
      <c r="B66" s="289" t="s">
        <v>6133</v>
      </c>
      <c r="C66" s="205">
        <f>D66+E66</f>
        <v>474991</v>
      </c>
      <c r="D66" s="205" t="s">
        <v>5859</v>
      </c>
      <c r="E66" s="205" t="s">
        <v>6134</v>
      </c>
      <c r="F66" s="205" t="s">
        <v>5982</v>
      </c>
      <c r="G66" s="205" t="s">
        <v>6135</v>
      </c>
      <c r="H66" s="205"/>
      <c r="I66" s="205"/>
      <c r="J66" s="205"/>
      <c r="K66" s="205"/>
      <c r="L66" s="205"/>
      <c r="M66" s="205"/>
      <c r="N66" s="205"/>
      <c r="O66" s="205"/>
      <c r="P66" s="205"/>
      <c r="Q66" s="205"/>
      <c r="R66" s="205"/>
      <c r="S66" s="205"/>
      <c r="T66" s="205"/>
      <c r="U66" s="205"/>
      <c r="V66" s="205"/>
      <c r="W66" s="205"/>
      <c r="X66" s="205"/>
      <c r="Y66" s="205"/>
      <c r="Z66" s="205"/>
      <c r="AA66" s="205"/>
      <c r="AB66" s="205"/>
      <c r="AC66" s="205"/>
    </row>
    <row r="67" spans="1:29">
      <c r="A67" s="205" t="s">
        <v>6150</v>
      </c>
      <c r="B67" s="289" t="s">
        <v>6151</v>
      </c>
      <c r="C67" s="205">
        <f>D67+E67</f>
        <v>35981</v>
      </c>
      <c r="D67" s="205" t="s">
        <v>5859</v>
      </c>
      <c r="E67" s="205" t="s">
        <v>6152</v>
      </c>
      <c r="F67" s="205" t="s">
        <v>6153</v>
      </c>
      <c r="G67" s="205" t="s">
        <v>6154</v>
      </c>
      <c r="H67" s="205"/>
      <c r="I67" s="205"/>
      <c r="J67" s="205"/>
      <c r="K67" s="205"/>
      <c r="L67" s="205"/>
      <c r="M67" s="205"/>
      <c r="N67" s="205"/>
      <c r="O67" s="205"/>
      <c r="P67" s="205"/>
      <c r="Q67" s="205"/>
      <c r="R67" s="205"/>
      <c r="S67" s="205"/>
      <c r="T67" s="205"/>
      <c r="U67" s="205"/>
      <c r="V67" s="205"/>
      <c r="W67" s="205"/>
      <c r="X67" s="205"/>
      <c r="Y67" s="205"/>
      <c r="Z67" s="205"/>
      <c r="AA67" s="205"/>
      <c r="AB67" s="205"/>
      <c r="AC67" s="205"/>
    </row>
    <row r="68" spans="1:29">
      <c r="A68" s="205" t="s">
        <v>6145</v>
      </c>
      <c r="B68" s="289" t="s">
        <v>6146</v>
      </c>
      <c r="C68" s="205">
        <f>D68+E68</f>
        <v>3000</v>
      </c>
      <c r="D68" s="205" t="s">
        <v>6147</v>
      </c>
      <c r="E68" s="205" t="s">
        <v>6148</v>
      </c>
      <c r="F68" s="205" t="s">
        <v>5939</v>
      </c>
      <c r="G68" s="205" t="s">
        <v>6149</v>
      </c>
      <c r="H68" s="205"/>
      <c r="I68" s="205"/>
      <c r="J68" s="205"/>
      <c r="K68" s="205"/>
      <c r="L68" s="205"/>
      <c r="M68" s="205"/>
      <c r="N68" s="205"/>
      <c r="O68" s="205"/>
      <c r="P68" s="205"/>
      <c r="Q68" s="205"/>
      <c r="R68" s="205"/>
      <c r="S68" s="205"/>
      <c r="T68" s="205"/>
      <c r="U68" s="205"/>
      <c r="V68" s="205"/>
      <c r="W68" s="205"/>
      <c r="X68" s="205"/>
      <c r="Y68" s="205"/>
      <c r="Z68" s="205"/>
      <c r="AA68" s="205"/>
      <c r="AB68" s="205"/>
      <c r="AC68" s="205"/>
    </row>
    <row r="69" spans="1:29">
      <c r="A69" s="205" t="s">
        <v>6155</v>
      </c>
      <c r="B69" s="289" t="s">
        <v>6156</v>
      </c>
      <c r="C69" s="205">
        <f>D69+E69</f>
        <v>2666</v>
      </c>
      <c r="D69" s="205" t="s">
        <v>5859</v>
      </c>
      <c r="E69" s="205" t="s">
        <v>6157</v>
      </c>
      <c r="F69" s="205" t="s">
        <v>5982</v>
      </c>
      <c r="G69" s="205" t="s">
        <v>6158</v>
      </c>
      <c r="H69" s="205"/>
      <c r="I69" s="205"/>
      <c r="J69" s="205"/>
      <c r="K69" s="205"/>
      <c r="L69" s="205"/>
      <c r="M69" s="205"/>
      <c r="N69" s="205"/>
      <c r="O69" s="205"/>
      <c r="P69" s="205"/>
      <c r="Q69" s="205"/>
      <c r="R69" s="205"/>
      <c r="S69" s="205"/>
      <c r="T69" s="205"/>
      <c r="U69" s="205"/>
      <c r="V69" s="205"/>
      <c r="W69" s="205"/>
      <c r="X69" s="205"/>
      <c r="Y69" s="205"/>
      <c r="Z69" s="205"/>
      <c r="AA69" s="205"/>
      <c r="AB69" s="205"/>
      <c r="AC69" s="205"/>
    </row>
    <row r="70" spans="1:29">
      <c r="A70" s="205" t="s">
        <v>6159</v>
      </c>
      <c r="B70" s="289" t="s">
        <v>5859</v>
      </c>
      <c r="C70" s="205">
        <f>D70+E70</f>
        <v>0</v>
      </c>
      <c r="D70" s="205" t="s">
        <v>6160</v>
      </c>
      <c r="E70" s="205" t="s">
        <v>5952</v>
      </c>
      <c r="F70" s="205" t="s">
        <v>5954</v>
      </c>
      <c r="G70" s="205" t="s">
        <v>6161</v>
      </c>
      <c r="H70" s="205"/>
      <c r="I70" s="205"/>
      <c r="J70" s="205"/>
      <c r="K70" s="205"/>
      <c r="L70" s="205"/>
      <c r="M70" s="205"/>
      <c r="N70" s="205"/>
      <c r="O70" s="205"/>
      <c r="P70" s="205"/>
      <c r="Q70" s="205"/>
      <c r="R70" s="205"/>
      <c r="S70" s="205"/>
      <c r="T70" s="205"/>
      <c r="U70" s="205"/>
      <c r="V70" s="205"/>
      <c r="W70" s="205"/>
      <c r="X70" s="205"/>
      <c r="Y70" s="205"/>
      <c r="Z70" s="205"/>
      <c r="AA70" s="205"/>
      <c r="AB70" s="205"/>
      <c r="AC70" s="205"/>
    </row>
    <row r="71" spans="1:29">
      <c r="A71" s="205" t="s">
        <v>6166</v>
      </c>
      <c r="B71" s="289" t="s">
        <v>5859</v>
      </c>
      <c r="C71" s="205"/>
      <c r="D71" s="205" t="s">
        <v>5859</v>
      </c>
      <c r="E71" s="205" t="s">
        <v>6167</v>
      </c>
      <c r="F71" s="205" t="s">
        <v>6168</v>
      </c>
      <c r="G71" s="205" t="s">
        <v>6169</v>
      </c>
      <c r="H71" s="205"/>
      <c r="I71" s="205"/>
      <c r="J71" s="205"/>
      <c r="K71" s="205"/>
      <c r="L71" s="205"/>
      <c r="M71" s="205"/>
      <c r="N71" s="205"/>
      <c r="O71" s="205"/>
      <c r="P71" s="205"/>
      <c r="Q71" s="205"/>
      <c r="R71" s="205"/>
      <c r="S71" s="205"/>
      <c r="T71" s="205"/>
      <c r="U71" s="205"/>
      <c r="V71" s="205"/>
      <c r="W71" s="205"/>
      <c r="X71" s="205"/>
      <c r="Y71" s="205"/>
      <c r="Z71" s="205"/>
      <c r="AA71" s="205"/>
      <c r="AB71" s="205"/>
      <c r="AC71" s="205"/>
    </row>
    <row r="72" spans="1:29">
      <c r="A72" s="205"/>
      <c r="B72" s="289">
        <f>SUM(B2:B70)</f>
        <v>232176627</v>
      </c>
      <c r="C72" s="288">
        <v>47269501</v>
      </c>
      <c r="D72" s="205" t="s">
        <v>4894</v>
      </c>
      <c r="E72" s="205"/>
      <c r="F72" s="205"/>
      <c r="G72" s="205"/>
      <c r="H72" s="205"/>
      <c r="I72" s="205"/>
      <c r="J72" s="205"/>
      <c r="K72" s="205"/>
      <c r="L72" s="205"/>
      <c r="M72" s="205"/>
      <c r="N72" s="205"/>
      <c r="O72" s="205"/>
      <c r="P72" s="205"/>
      <c r="Q72" s="205"/>
      <c r="R72" s="205"/>
      <c r="S72" s="205"/>
      <c r="T72" s="205"/>
      <c r="U72" s="205"/>
      <c r="V72" s="205"/>
      <c r="W72" s="205"/>
      <c r="X72" s="205"/>
      <c r="Y72" s="205"/>
      <c r="Z72" s="205"/>
      <c r="AA72" s="205"/>
      <c r="AB72" s="205"/>
      <c r="AC72" s="205"/>
    </row>
    <row r="73" spans="1:29">
      <c r="A73" s="205"/>
      <c r="B73" s="205"/>
      <c r="C73" s="205"/>
      <c r="D73" s="205"/>
      <c r="E73" s="205"/>
      <c r="F73" s="205"/>
      <c r="G73" s="205"/>
      <c r="H73" s="205"/>
      <c r="I73" s="205"/>
      <c r="J73" s="205"/>
      <c r="K73" s="205"/>
      <c r="L73" s="205"/>
      <c r="M73" s="205"/>
      <c r="N73" s="205"/>
      <c r="O73" s="205"/>
      <c r="P73" s="205"/>
      <c r="Q73" s="205"/>
      <c r="R73" s="205"/>
      <c r="S73" s="205"/>
      <c r="T73" s="205"/>
      <c r="U73" s="205"/>
      <c r="V73" s="205"/>
      <c r="W73" s="205"/>
      <c r="X73" s="205"/>
      <c r="Y73" s="205"/>
      <c r="Z73" s="205"/>
      <c r="AA73" s="205"/>
      <c r="AB73" s="205"/>
      <c r="AC73" s="205"/>
    </row>
    <row r="74" spans="1:29">
      <c r="A74" s="205"/>
      <c r="B74" s="205"/>
      <c r="C74" s="205"/>
      <c r="D74" s="205"/>
      <c r="E74" s="205"/>
      <c r="F74" s="205"/>
      <c r="G74" s="205"/>
      <c r="H74" s="205"/>
      <c r="I74" s="205"/>
      <c r="J74" s="205"/>
      <c r="K74" s="205"/>
      <c r="L74" s="205"/>
      <c r="M74" s="205"/>
      <c r="N74" s="205"/>
      <c r="O74" s="205"/>
      <c r="P74" s="205"/>
      <c r="Q74" s="205"/>
      <c r="R74" s="205"/>
      <c r="S74" s="205"/>
      <c r="T74" s="205"/>
      <c r="U74" s="205"/>
      <c r="V74" s="205"/>
      <c r="W74" s="205"/>
      <c r="X74" s="205"/>
      <c r="Y74" s="205"/>
      <c r="Z74" s="205"/>
      <c r="AA74" s="205"/>
      <c r="AB74" s="205"/>
      <c r="AC74" s="205"/>
    </row>
    <row r="75" spans="1:29">
      <c r="A75" s="205"/>
      <c r="B75" s="205"/>
      <c r="C75" s="205"/>
      <c r="D75" s="205"/>
      <c r="E75" s="205"/>
      <c r="F75" s="205"/>
      <c r="G75" s="205"/>
      <c r="H75" s="205"/>
      <c r="I75" s="205"/>
      <c r="J75" s="205"/>
      <c r="K75" s="205"/>
      <c r="L75" s="205"/>
      <c r="M75" s="205"/>
      <c r="N75" s="205"/>
      <c r="O75" s="205"/>
      <c r="P75" s="205"/>
      <c r="Q75" s="205"/>
      <c r="R75" s="205"/>
      <c r="S75" s="205"/>
      <c r="T75" s="205"/>
      <c r="U75" s="205"/>
      <c r="V75" s="205"/>
      <c r="W75" s="205"/>
      <c r="X75" s="205"/>
      <c r="Y75" s="205"/>
      <c r="Z75" s="205"/>
      <c r="AA75" s="205"/>
      <c r="AB75" s="205"/>
      <c r="AC75" s="205"/>
    </row>
    <row r="76" spans="1:29">
      <c r="A76" s="205"/>
      <c r="B76" s="205"/>
      <c r="C76" s="205"/>
      <c r="D76" s="205"/>
      <c r="E76" s="205"/>
      <c r="F76" s="205"/>
      <c r="G76" s="205"/>
      <c r="H76" s="205"/>
      <c r="I76" s="205"/>
      <c r="J76" s="205"/>
      <c r="K76" s="205"/>
      <c r="L76" s="205"/>
      <c r="M76" s="205"/>
      <c r="N76" s="205"/>
      <c r="O76" s="205"/>
      <c r="P76" s="205"/>
      <c r="Q76" s="205"/>
      <c r="R76" s="205"/>
      <c r="S76" s="205"/>
      <c r="T76" s="205"/>
      <c r="U76" s="205"/>
      <c r="V76" s="205"/>
      <c r="W76" s="205"/>
      <c r="X76" s="205"/>
      <c r="Y76" s="205"/>
      <c r="Z76" s="205"/>
      <c r="AA76" s="205"/>
      <c r="AB76" s="205"/>
      <c r="AC76" s="205"/>
    </row>
    <row r="77" spans="1:29">
      <c r="A77" s="205"/>
      <c r="B77" s="205"/>
      <c r="C77" s="205"/>
      <c r="D77" s="205"/>
      <c r="E77" s="205"/>
      <c r="F77" s="205"/>
      <c r="G77" s="205"/>
      <c r="H77" s="205"/>
      <c r="I77" s="205"/>
      <c r="J77" s="205"/>
      <c r="K77" s="205"/>
      <c r="L77" s="205"/>
      <c r="M77" s="205"/>
      <c r="N77" s="205"/>
      <c r="O77" s="205"/>
      <c r="P77" s="205"/>
      <c r="Q77" s="205"/>
      <c r="R77" s="205"/>
      <c r="S77" s="205"/>
      <c r="T77" s="205"/>
      <c r="U77" s="205"/>
      <c r="V77" s="205"/>
      <c r="W77" s="205"/>
      <c r="X77" s="205"/>
      <c r="Y77" s="205"/>
      <c r="Z77" s="205"/>
      <c r="AA77" s="205"/>
      <c r="AB77" s="205"/>
      <c r="AC77" s="205"/>
    </row>
    <row r="78" spans="1:29">
      <c r="A78" s="205"/>
      <c r="B78" s="205"/>
      <c r="C78" s="205"/>
      <c r="D78" s="205"/>
      <c r="E78" s="205"/>
      <c r="F78" s="205"/>
      <c r="G78" s="205"/>
      <c r="H78" s="205"/>
      <c r="I78" s="205"/>
      <c r="J78" s="205"/>
      <c r="K78" s="205"/>
      <c r="L78" s="205"/>
      <c r="M78" s="205"/>
      <c r="N78" s="205"/>
      <c r="O78" s="205"/>
      <c r="P78" s="205"/>
      <c r="Q78" s="205"/>
      <c r="R78" s="205"/>
      <c r="S78" s="205"/>
      <c r="T78" s="205"/>
      <c r="U78" s="205"/>
      <c r="V78" s="205"/>
      <c r="W78" s="205"/>
      <c r="X78" s="205"/>
      <c r="Y78" s="205"/>
      <c r="Z78" s="205"/>
      <c r="AA78" s="205"/>
      <c r="AB78" s="205"/>
      <c r="AC78" s="205"/>
    </row>
    <row r="79" spans="1:29">
      <c r="A79" s="205"/>
      <c r="B79" s="205"/>
      <c r="C79" s="205"/>
      <c r="D79" s="205"/>
      <c r="E79" s="205"/>
      <c r="F79" s="205"/>
      <c r="G79" s="205"/>
      <c r="H79" s="205"/>
      <c r="I79" s="205"/>
      <c r="J79" s="205"/>
      <c r="K79" s="205"/>
      <c r="L79" s="205"/>
      <c r="M79" s="205"/>
      <c r="N79" s="205"/>
      <c r="O79" s="205"/>
      <c r="P79" s="205"/>
      <c r="Q79" s="205"/>
      <c r="R79" s="205"/>
      <c r="S79" s="205"/>
      <c r="T79" s="205"/>
      <c r="U79" s="205"/>
      <c r="V79" s="205"/>
      <c r="W79" s="205"/>
      <c r="X79" s="205"/>
      <c r="Y79" s="205"/>
      <c r="Z79" s="205"/>
      <c r="AA79" s="205"/>
      <c r="AB79" s="205"/>
      <c r="AC79" s="205"/>
    </row>
    <row r="80" spans="1:29">
      <c r="A80" s="205"/>
      <c r="B80" s="205"/>
      <c r="C80" s="205"/>
      <c r="D80" s="205"/>
      <c r="E80" s="205"/>
      <c r="F80" s="205"/>
      <c r="G80" s="205"/>
      <c r="H80" s="205"/>
      <c r="I80" s="205"/>
      <c r="J80" s="205"/>
      <c r="K80" s="205"/>
      <c r="L80" s="205"/>
      <c r="M80" s="205"/>
      <c r="N80" s="205"/>
      <c r="O80" s="205"/>
      <c r="P80" s="205"/>
      <c r="Q80" s="205"/>
      <c r="R80" s="205"/>
      <c r="S80" s="205"/>
      <c r="T80" s="205"/>
      <c r="U80" s="205"/>
      <c r="V80" s="205"/>
      <c r="W80" s="205"/>
      <c r="X80" s="205"/>
      <c r="Y80" s="205"/>
      <c r="Z80" s="205"/>
      <c r="AA80" s="205"/>
      <c r="AB80" s="205"/>
      <c r="AC80" s="205"/>
    </row>
    <row r="81" spans="1:29">
      <c r="A81" s="205"/>
      <c r="B81" s="205"/>
      <c r="C81" s="205"/>
      <c r="D81" s="205"/>
      <c r="E81" s="205"/>
      <c r="F81" s="205"/>
      <c r="G81" s="205"/>
      <c r="H81" s="205"/>
      <c r="I81" s="205"/>
      <c r="J81" s="205"/>
      <c r="K81" s="205"/>
      <c r="L81" s="205"/>
      <c r="M81" s="205"/>
      <c r="N81" s="205"/>
      <c r="O81" s="205"/>
      <c r="P81" s="205"/>
      <c r="Q81" s="205"/>
      <c r="R81" s="205"/>
      <c r="S81" s="205"/>
      <c r="T81" s="205"/>
      <c r="U81" s="205"/>
      <c r="V81" s="205"/>
      <c r="W81" s="205"/>
      <c r="X81" s="205"/>
      <c r="Y81" s="205"/>
      <c r="Z81" s="205"/>
      <c r="AA81" s="205"/>
      <c r="AB81" s="205"/>
      <c r="AC81" s="205"/>
    </row>
    <row r="82" spans="1:29">
      <c r="A82" s="205"/>
      <c r="B82" s="205"/>
      <c r="C82" s="205"/>
      <c r="D82" s="205"/>
      <c r="E82" s="205"/>
      <c r="F82" s="205"/>
      <c r="G82" s="205"/>
      <c r="H82" s="205" t="s">
        <v>5846</v>
      </c>
      <c r="I82" s="205" t="s">
        <v>191</v>
      </c>
      <c r="J82" s="205" t="s">
        <v>6179</v>
      </c>
      <c r="K82" s="205"/>
      <c r="L82" s="205"/>
      <c r="M82" s="205"/>
      <c r="N82" s="205"/>
      <c r="O82" s="205"/>
      <c r="P82" s="205"/>
      <c r="Q82" s="205"/>
      <c r="R82" s="205"/>
      <c r="S82" s="205"/>
      <c r="T82" s="205"/>
      <c r="U82" s="205"/>
      <c r="V82" s="205"/>
      <c r="W82" s="205"/>
      <c r="X82" s="205"/>
      <c r="Y82" s="205"/>
      <c r="Z82" s="205"/>
      <c r="AA82" s="205"/>
      <c r="AB82" s="205"/>
      <c r="AC82" s="205"/>
    </row>
    <row r="83" spans="1:29">
      <c r="A83" s="205"/>
      <c r="B83" s="205"/>
      <c r="C83" s="205">
        <f>D83+E83</f>
        <v>0</v>
      </c>
      <c r="D83" s="205"/>
      <c r="E83" s="205"/>
      <c r="F83" s="205"/>
      <c r="G83" s="205"/>
      <c r="H83" s="205"/>
      <c r="I83" s="205"/>
      <c r="J83" s="205"/>
      <c r="K83" s="205"/>
      <c r="L83" s="205"/>
      <c r="M83" s="205"/>
      <c r="N83" s="205"/>
      <c r="O83" s="205"/>
      <c r="P83" s="205"/>
      <c r="Q83" s="205"/>
      <c r="R83" s="205"/>
      <c r="S83" s="205"/>
      <c r="T83" s="205"/>
      <c r="U83" s="205"/>
      <c r="V83" s="205"/>
      <c r="W83" s="205"/>
      <c r="X83" s="205"/>
      <c r="Y83" s="205"/>
      <c r="Z83" s="205"/>
      <c r="AA83" s="205"/>
      <c r="AB83" s="205"/>
      <c r="AC83" s="205"/>
    </row>
    <row r="84" spans="1:29">
      <c r="A84" s="205"/>
      <c r="B84" s="205"/>
      <c r="C84" s="205">
        <f>D84+E84</f>
        <v>0</v>
      </c>
      <c r="D84" s="205"/>
      <c r="E84" s="205"/>
      <c r="F84" s="205"/>
      <c r="G84" s="205"/>
      <c r="H84" s="205"/>
      <c r="I84" s="205"/>
      <c r="J84" s="205"/>
      <c r="K84" s="205"/>
      <c r="L84" s="205"/>
      <c r="M84" s="205"/>
      <c r="N84" s="205"/>
      <c r="O84" s="205"/>
      <c r="P84" s="205"/>
      <c r="Q84" s="205"/>
      <c r="R84" s="205"/>
      <c r="S84" s="205"/>
      <c r="T84" s="205"/>
      <c r="U84" s="205"/>
      <c r="V84" s="205"/>
      <c r="W84" s="205"/>
      <c r="X84" s="205"/>
      <c r="Y84" s="205"/>
      <c r="Z84" s="205"/>
      <c r="AA84" s="205"/>
      <c r="AB84" s="205"/>
      <c r="AC84" s="205"/>
    </row>
    <row r="85" spans="1:29">
      <c r="A85" s="205"/>
      <c r="B85" s="205"/>
      <c r="C85" s="205"/>
      <c r="D85" s="205"/>
      <c r="E85" s="205"/>
      <c r="F85" s="205"/>
      <c r="G85" s="205"/>
      <c r="H85" s="205"/>
      <c r="I85" s="205"/>
      <c r="J85" s="205"/>
      <c r="K85" s="205"/>
      <c r="L85" s="205"/>
      <c r="M85" s="205"/>
      <c r="N85" s="205"/>
      <c r="O85" s="205"/>
      <c r="P85" s="205"/>
      <c r="Q85" s="205"/>
      <c r="R85" s="205"/>
      <c r="S85" s="205"/>
      <c r="T85" s="205"/>
      <c r="U85" s="205"/>
      <c r="V85" s="205"/>
      <c r="W85" s="205"/>
      <c r="X85" s="205"/>
      <c r="Y85" s="205"/>
      <c r="Z85" s="205"/>
      <c r="AA85" s="205"/>
      <c r="AB85" s="205"/>
      <c r="AC85" s="205"/>
    </row>
    <row r="86" spans="1:29">
      <c r="A86" s="205"/>
      <c r="B86" s="205"/>
      <c r="C86" s="205"/>
      <c r="D86" s="205" t="s">
        <v>25</v>
      </c>
      <c r="E86" s="205"/>
      <c r="F86" s="205"/>
      <c r="G86" s="205"/>
      <c r="H86" s="205"/>
      <c r="I86" s="205"/>
      <c r="J86" s="205"/>
      <c r="K86" s="205"/>
      <c r="L86" s="205"/>
      <c r="M86" s="205"/>
      <c r="N86" s="205"/>
      <c r="O86" s="205"/>
      <c r="P86" s="205"/>
      <c r="Q86" s="205"/>
      <c r="R86" s="205"/>
      <c r="S86" s="205"/>
      <c r="T86" s="205"/>
      <c r="U86" s="205"/>
      <c r="V86" s="205"/>
      <c r="W86" s="205"/>
      <c r="X86" s="205"/>
      <c r="Y86" s="205"/>
      <c r="Z86" s="205"/>
      <c r="AA86" s="205"/>
      <c r="AB86" s="205"/>
      <c r="AC86" s="205"/>
    </row>
    <row r="87" spans="1:29">
      <c r="A87" s="205"/>
      <c r="B87" s="205"/>
      <c r="C87" s="205"/>
      <c r="D87" s="205"/>
      <c r="E87" s="205"/>
      <c r="F87" s="205"/>
      <c r="G87" s="205"/>
      <c r="H87" s="205"/>
      <c r="I87" s="205"/>
      <c r="J87" s="205"/>
      <c r="K87" s="205"/>
      <c r="L87" s="205"/>
      <c r="M87" s="205"/>
      <c r="N87" s="205"/>
      <c r="O87" s="205"/>
      <c r="P87" s="205"/>
      <c r="Q87" s="205"/>
      <c r="R87" s="205"/>
      <c r="S87" s="205"/>
      <c r="T87" s="205"/>
      <c r="U87" s="205"/>
      <c r="V87" s="205"/>
      <c r="W87" s="205"/>
      <c r="X87" s="205"/>
      <c r="Y87" s="205"/>
      <c r="Z87" s="205"/>
      <c r="AA87" s="205"/>
      <c r="AB87" s="205"/>
      <c r="AC87" s="205"/>
    </row>
    <row r="88" spans="1:29">
      <c r="A88" s="205"/>
      <c r="B88" s="205"/>
      <c r="C88" s="205"/>
      <c r="D88" s="205"/>
      <c r="E88" s="205"/>
      <c r="F88" s="205"/>
      <c r="G88" s="205"/>
      <c r="H88" s="205"/>
      <c r="I88" s="205"/>
      <c r="J88" s="205"/>
      <c r="K88" s="205"/>
      <c r="L88" s="205"/>
      <c r="M88" s="205"/>
      <c r="N88" s="205"/>
      <c r="O88" s="205"/>
      <c r="P88" s="205"/>
      <c r="Q88" s="205"/>
      <c r="R88" s="205"/>
      <c r="S88" s="205"/>
      <c r="T88" s="205"/>
      <c r="U88" s="205"/>
      <c r="V88" s="205"/>
      <c r="W88" s="205"/>
      <c r="X88" s="205"/>
      <c r="Y88" s="205"/>
      <c r="Z88" s="205"/>
      <c r="AA88" s="205"/>
      <c r="AB88" s="205"/>
      <c r="AC88" s="205"/>
    </row>
    <row r="89" spans="1:29">
      <c r="A89" s="205"/>
      <c r="B89" s="205"/>
      <c r="C89" s="205"/>
      <c r="D89" s="205"/>
      <c r="E89" s="205"/>
      <c r="F89" s="205"/>
      <c r="G89" s="205"/>
      <c r="H89" s="205"/>
      <c r="I89" s="205"/>
      <c r="J89" s="205"/>
      <c r="K89" s="205"/>
      <c r="L89" s="205"/>
      <c r="M89" s="205"/>
      <c r="N89" s="205"/>
      <c r="O89" s="205"/>
      <c r="P89" s="205"/>
      <c r="Q89" s="205"/>
      <c r="R89" s="205"/>
      <c r="S89" s="205"/>
      <c r="T89" s="205"/>
      <c r="U89" s="205"/>
      <c r="V89" s="205"/>
      <c r="W89" s="205"/>
      <c r="X89" s="205"/>
      <c r="Y89" s="205"/>
      <c r="Z89" s="205"/>
      <c r="AA89" s="205"/>
      <c r="AB89" s="205"/>
      <c r="AC89" s="205"/>
    </row>
    <row r="90" spans="1:29">
      <c r="A90" s="205"/>
      <c r="B90" s="205"/>
      <c r="C90" s="205"/>
      <c r="D90" s="205"/>
      <c r="E90" s="205"/>
      <c r="F90" s="205"/>
      <c r="G90" s="205"/>
      <c r="H90" s="205"/>
      <c r="I90" s="205"/>
      <c r="J90" s="205"/>
      <c r="K90" s="205"/>
      <c r="L90" s="205"/>
      <c r="M90" s="205"/>
      <c r="N90" s="205"/>
      <c r="O90" s="205"/>
      <c r="P90" s="205"/>
      <c r="Q90" s="205"/>
      <c r="R90" s="205"/>
      <c r="S90" s="205"/>
      <c r="T90" s="205"/>
      <c r="U90" s="205"/>
      <c r="V90" s="205"/>
      <c r="W90" s="205"/>
      <c r="X90" s="205"/>
      <c r="Y90" s="205"/>
      <c r="Z90" s="205"/>
      <c r="AA90" s="205"/>
      <c r="AB90" s="205"/>
      <c r="AC90" s="205"/>
    </row>
  </sheetData>
  <sortState ref="A1:J90">
    <sortCondition descending="1" ref="B1:B90"/>
  </sortState>
  <pageMargins left="0.7" right="0.7" top="0.75" bottom="0.75" header="0.3" footer="0.3"/>
  <pageSetup orientation="portrait" horizontalDpi="1200" verticalDpi="1200"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4636</v>
      </c>
      <c r="C1" s="97" t="s">
        <v>3917</v>
      </c>
      <c r="D1" s="97" t="s">
        <v>8</v>
      </c>
      <c r="E1" s="94"/>
      <c r="F1" s="94"/>
      <c r="G1" s="94"/>
    </row>
    <row r="2" spans="1:7">
      <c r="A2" s="97" t="s">
        <v>4627</v>
      </c>
      <c r="B2" s="93">
        <v>10300</v>
      </c>
      <c r="C2" s="93">
        <v>0</v>
      </c>
      <c r="D2" s="97" t="s">
        <v>4637</v>
      </c>
      <c r="E2" s="94"/>
      <c r="F2" s="94"/>
      <c r="G2" s="94"/>
    </row>
    <row r="3" spans="1:7">
      <c r="A3" s="97" t="s">
        <v>4627</v>
      </c>
      <c r="B3" s="93">
        <v>0</v>
      </c>
      <c r="C3" s="93">
        <v>5500</v>
      </c>
      <c r="D3" s="97" t="s">
        <v>4638</v>
      </c>
      <c r="E3" s="94"/>
      <c r="F3" s="94"/>
      <c r="G3" s="94"/>
    </row>
    <row r="4" spans="1:7">
      <c r="A4" s="97" t="s">
        <v>3666</v>
      </c>
      <c r="B4" s="93">
        <v>0</v>
      </c>
      <c r="C4" s="93">
        <v>1000</v>
      </c>
      <c r="D4" s="97" t="s">
        <v>315</v>
      </c>
      <c r="E4" s="94"/>
      <c r="F4" s="94"/>
      <c r="G4" s="94"/>
    </row>
    <row r="5" spans="1:7">
      <c r="A5" s="97" t="s">
        <v>4642</v>
      </c>
      <c r="B5" s="93">
        <v>0</v>
      </c>
      <c r="C5" s="93">
        <v>1000</v>
      </c>
      <c r="D5" s="97" t="s">
        <v>315</v>
      </c>
      <c r="E5" s="94"/>
      <c r="F5" s="94"/>
      <c r="G5" s="94"/>
    </row>
    <row r="6" spans="1:7">
      <c r="A6" s="97" t="s">
        <v>4652</v>
      </c>
      <c r="B6" s="93">
        <v>0</v>
      </c>
      <c r="C6" s="93">
        <v>3000</v>
      </c>
      <c r="D6" s="97" t="s">
        <v>4656</v>
      </c>
      <c r="E6" s="94"/>
      <c r="F6" s="94"/>
      <c r="G6" s="94"/>
    </row>
    <row r="7" spans="1:7">
      <c r="A7" s="97" t="s">
        <v>4652</v>
      </c>
      <c r="B7" s="93">
        <v>9200</v>
      </c>
      <c r="C7" s="93">
        <v>0</v>
      </c>
      <c r="D7" s="97" t="s">
        <v>4637</v>
      </c>
      <c r="E7" s="94"/>
      <c r="F7" s="94"/>
      <c r="G7" s="94"/>
    </row>
    <row r="8" spans="1:7">
      <c r="A8" s="97" t="s">
        <v>4654</v>
      </c>
      <c r="B8" s="93">
        <v>0</v>
      </c>
      <c r="C8" s="93">
        <v>1000</v>
      </c>
      <c r="D8" s="97" t="s">
        <v>315</v>
      </c>
      <c r="E8" s="94"/>
      <c r="F8" s="94"/>
      <c r="G8" s="94"/>
    </row>
    <row r="9" spans="1:7">
      <c r="A9" s="97" t="s">
        <v>4661</v>
      </c>
      <c r="B9" s="97">
        <v>0</v>
      </c>
      <c r="C9" s="97">
        <v>1000</v>
      </c>
      <c r="D9" s="97" t="s">
        <v>315</v>
      </c>
      <c r="E9" s="94"/>
      <c r="F9" s="94"/>
      <c r="G9" s="94"/>
    </row>
    <row r="10" spans="1:7">
      <c r="A10" s="97" t="s">
        <v>4661</v>
      </c>
      <c r="B10" s="93">
        <v>10200</v>
      </c>
      <c r="C10" s="93">
        <v>0</v>
      </c>
      <c r="D10" s="97" t="s">
        <v>4637</v>
      </c>
      <c r="E10" s="94"/>
      <c r="F10" s="94"/>
      <c r="G10" s="94"/>
    </row>
    <row r="11" spans="1:7">
      <c r="A11" s="97" t="s">
        <v>4673</v>
      </c>
      <c r="B11" s="93">
        <v>0</v>
      </c>
      <c r="C11" s="93">
        <v>1000</v>
      </c>
      <c r="D11" s="97" t="s">
        <v>315</v>
      </c>
      <c r="E11" s="94"/>
      <c r="F11" s="94"/>
      <c r="G11" s="94"/>
    </row>
    <row r="12" spans="1:7">
      <c r="A12" s="97" t="s">
        <v>4690</v>
      </c>
      <c r="B12" s="93">
        <v>0</v>
      </c>
      <c r="C12" s="93">
        <v>1000</v>
      </c>
      <c r="D12" s="97" t="s">
        <v>315</v>
      </c>
      <c r="E12" s="94"/>
      <c r="F12" s="94"/>
      <c r="G12" s="94"/>
    </row>
    <row r="13" spans="1:7">
      <c r="A13" s="97" t="s">
        <v>4691</v>
      </c>
      <c r="B13" s="93">
        <v>0</v>
      </c>
      <c r="C13" s="93">
        <v>1000</v>
      </c>
      <c r="D13" s="97" t="s">
        <v>315</v>
      </c>
      <c r="E13" s="94"/>
      <c r="F13" s="94"/>
      <c r="G13" s="94"/>
    </row>
    <row r="14" spans="1:7">
      <c r="A14" s="97" t="s">
        <v>4714</v>
      </c>
      <c r="B14" s="93">
        <v>0</v>
      </c>
      <c r="C14" s="93">
        <v>1000</v>
      </c>
      <c r="D14" s="97" t="s">
        <v>315</v>
      </c>
      <c r="E14" s="94"/>
      <c r="F14" s="94"/>
      <c r="G14" s="94"/>
    </row>
    <row r="15" spans="1:7">
      <c r="A15" s="97" t="s">
        <v>4700</v>
      </c>
      <c r="B15" s="93">
        <v>0</v>
      </c>
      <c r="C15" s="93">
        <v>1000</v>
      </c>
      <c r="D15" s="97" t="s">
        <v>315</v>
      </c>
      <c r="E15" s="94"/>
      <c r="F15" s="94"/>
      <c r="G15" s="94"/>
    </row>
    <row r="16" spans="1:7">
      <c r="A16" s="97" t="s">
        <v>957</v>
      </c>
      <c r="B16" s="93">
        <v>10200</v>
      </c>
      <c r="C16" s="93">
        <v>0</v>
      </c>
      <c r="D16" s="97" t="s">
        <v>4637</v>
      </c>
      <c r="E16" s="94"/>
      <c r="F16" s="94"/>
      <c r="G16" s="94"/>
    </row>
    <row r="17" spans="1:9">
      <c r="A17" s="97" t="s">
        <v>957</v>
      </c>
      <c r="B17" s="93">
        <v>0</v>
      </c>
      <c r="C17" s="93">
        <v>1500</v>
      </c>
      <c r="D17" s="97" t="s">
        <v>315</v>
      </c>
      <c r="E17" s="94"/>
      <c r="F17" s="94"/>
      <c r="G17" s="94"/>
    </row>
    <row r="18" spans="1:9">
      <c r="A18" s="97" t="s">
        <v>4719</v>
      </c>
      <c r="B18" s="93">
        <v>0</v>
      </c>
      <c r="C18" s="93">
        <v>1000</v>
      </c>
      <c r="D18" s="97" t="s">
        <v>315</v>
      </c>
      <c r="E18" s="94"/>
      <c r="F18" s="94"/>
      <c r="G18" s="94"/>
    </row>
    <row r="19" spans="1:9">
      <c r="A19" s="97" t="s">
        <v>4721</v>
      </c>
      <c r="B19" s="93">
        <v>0</v>
      </c>
      <c r="C19" s="93">
        <v>1000</v>
      </c>
      <c r="D19" s="97" t="s">
        <v>315</v>
      </c>
      <c r="E19" s="94"/>
      <c r="F19" s="94"/>
      <c r="G19" s="94"/>
    </row>
    <row r="20" spans="1:9">
      <c r="A20" s="97" t="s">
        <v>4723</v>
      </c>
      <c r="B20" s="93">
        <v>0</v>
      </c>
      <c r="C20" s="93">
        <v>1000</v>
      </c>
      <c r="D20" s="97" t="s">
        <v>315</v>
      </c>
      <c r="E20" s="94"/>
      <c r="F20" s="94"/>
      <c r="G20" s="94"/>
    </row>
    <row r="21" spans="1:9">
      <c r="A21" s="97" t="s">
        <v>4726</v>
      </c>
      <c r="B21" s="93">
        <v>0</v>
      </c>
      <c r="C21" s="93">
        <v>1000</v>
      </c>
      <c r="D21" s="97" t="s">
        <v>315</v>
      </c>
      <c r="E21" s="94"/>
      <c r="F21" s="94"/>
      <c r="G21" s="94"/>
    </row>
    <row r="22" spans="1:9">
      <c r="A22" s="97" t="s">
        <v>4726</v>
      </c>
      <c r="B22" s="93">
        <v>9600</v>
      </c>
      <c r="C22" s="93">
        <v>0</v>
      </c>
      <c r="D22" s="97" t="s">
        <v>4637</v>
      </c>
      <c r="E22" s="94"/>
      <c r="F22" s="94"/>
      <c r="G22" s="94"/>
      <c r="I22" t="s">
        <v>25</v>
      </c>
    </row>
    <row r="23" spans="1:9">
      <c r="A23" s="97" t="s">
        <v>4732</v>
      </c>
      <c r="B23" s="93">
        <v>0</v>
      </c>
      <c r="C23" s="93">
        <v>1000</v>
      </c>
      <c r="D23" s="97" t="s">
        <v>315</v>
      </c>
      <c r="E23" s="94"/>
      <c r="F23" s="94"/>
      <c r="G23" s="94"/>
    </row>
    <row r="24" spans="1:9">
      <c r="A24" s="97" t="s">
        <v>4737</v>
      </c>
      <c r="B24" s="93">
        <v>0</v>
      </c>
      <c r="C24" s="93">
        <v>1000</v>
      </c>
      <c r="D24" s="97" t="s">
        <v>315</v>
      </c>
      <c r="E24" s="94"/>
      <c r="F24" s="94"/>
      <c r="G24" s="94"/>
    </row>
    <row r="25" spans="1:9">
      <c r="A25" s="97" t="s">
        <v>4746</v>
      </c>
      <c r="B25" s="93">
        <v>0</v>
      </c>
      <c r="C25" s="93">
        <v>1000</v>
      </c>
      <c r="D25" s="97" t="s">
        <v>315</v>
      </c>
    </row>
    <row r="26" spans="1:9">
      <c r="A26" s="97" t="s">
        <v>4772</v>
      </c>
      <c r="B26" s="93">
        <v>0</v>
      </c>
      <c r="C26" s="93">
        <v>12000</v>
      </c>
      <c r="D26" s="97" t="s">
        <v>4779</v>
      </c>
    </row>
    <row r="27" spans="1:9">
      <c r="A27" s="97" t="s">
        <v>4773</v>
      </c>
      <c r="B27" s="93">
        <v>0</v>
      </c>
      <c r="C27" s="93">
        <v>1000</v>
      </c>
      <c r="D27" s="97" t="s">
        <v>315</v>
      </c>
    </row>
    <row r="28" spans="1:9">
      <c r="A28" s="97" t="s">
        <v>4780</v>
      </c>
      <c r="B28" s="93">
        <v>0</v>
      </c>
      <c r="C28" s="93">
        <v>1000</v>
      </c>
      <c r="D28" s="97" t="s">
        <v>315</v>
      </c>
    </row>
    <row r="29" spans="1:9">
      <c r="A29" s="97" t="s">
        <v>4781</v>
      </c>
      <c r="B29" s="93">
        <v>0</v>
      </c>
      <c r="C29" s="93">
        <v>1000</v>
      </c>
      <c r="D29" s="97" t="s">
        <v>315</v>
      </c>
    </row>
    <row r="30" spans="1:9">
      <c r="A30" s="97" t="s">
        <v>4782</v>
      </c>
      <c r="B30" s="93">
        <v>0</v>
      </c>
      <c r="C30" s="93">
        <v>5500</v>
      </c>
      <c r="D30" s="97" t="s">
        <v>4638</v>
      </c>
    </row>
    <row r="31" spans="1:9">
      <c r="A31" s="97" t="s">
        <v>4782</v>
      </c>
      <c r="B31" s="93">
        <v>11000</v>
      </c>
      <c r="C31" s="93">
        <v>0</v>
      </c>
      <c r="D31" s="97" t="s">
        <v>4637</v>
      </c>
    </row>
    <row r="32" spans="1:9">
      <c r="A32" s="97" t="s">
        <v>4790</v>
      </c>
      <c r="B32" s="93">
        <v>0</v>
      </c>
      <c r="C32" s="93">
        <v>1000</v>
      </c>
      <c r="D32" s="97" t="s">
        <v>315</v>
      </c>
      <c r="H32" t="s">
        <v>25</v>
      </c>
    </row>
    <row r="33" spans="1:10">
      <c r="A33" s="97" t="s">
        <v>4791</v>
      </c>
      <c r="B33" s="93">
        <v>0</v>
      </c>
      <c r="C33" s="93">
        <v>1000</v>
      </c>
      <c r="D33" s="97" t="s">
        <v>315</v>
      </c>
      <c r="H33" t="s">
        <v>25</v>
      </c>
    </row>
    <row r="34" spans="1:10">
      <c r="A34" s="97" t="s">
        <v>4793</v>
      </c>
      <c r="B34" s="93">
        <v>0</v>
      </c>
      <c r="C34" s="93">
        <v>1000</v>
      </c>
      <c r="D34" s="97" t="s">
        <v>315</v>
      </c>
    </row>
    <row r="35" spans="1:10">
      <c r="A35" s="97" t="s">
        <v>4794</v>
      </c>
      <c r="B35" s="93">
        <v>0</v>
      </c>
      <c r="C35" s="93">
        <v>1000</v>
      </c>
      <c r="D35" s="97" t="s">
        <v>315</v>
      </c>
      <c r="J35" t="s">
        <v>25</v>
      </c>
    </row>
    <row r="36" spans="1:10">
      <c r="A36" s="97" t="s">
        <v>4799</v>
      </c>
      <c r="B36" s="93">
        <v>1000</v>
      </c>
      <c r="C36" s="93">
        <v>0</v>
      </c>
      <c r="D36" s="97" t="s">
        <v>315</v>
      </c>
    </row>
    <row r="37" spans="1:10">
      <c r="A37" s="97" t="s">
        <v>4799</v>
      </c>
      <c r="B37" s="93">
        <v>0</v>
      </c>
      <c r="C37" s="93">
        <v>11200</v>
      </c>
      <c r="D37" s="97" t="s">
        <v>4637</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4654</v>
      </c>
      <c r="B48" s="213">
        <v>6700</v>
      </c>
      <c r="C48" s="213">
        <v>0</v>
      </c>
      <c r="D48" s="23" t="s">
        <v>4657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L200"/>
  <sheetViews>
    <sheetView zoomScaleNormal="100" workbookViewId="0">
      <selection activeCell="F7" sqref="F7"/>
    </sheetView>
  </sheetViews>
  <sheetFormatPr defaultRowHeight="15"/>
  <cols>
    <col min="1" max="1" width="31.140625" customWidth="1"/>
    <col min="2" max="2" width="21.5703125" customWidth="1"/>
    <col min="3" max="3" width="25.140625" style="94" customWidth="1"/>
    <col min="4" max="4" width="22.7109375" style="94" customWidth="1"/>
    <col min="5" max="5" width="26.7109375" bestFit="1" customWidth="1"/>
    <col min="6" max="6" width="21.140625" customWidth="1"/>
    <col min="7" max="7" width="27.5703125" bestFit="1" customWidth="1"/>
    <col min="8" max="8" width="28.28515625" bestFit="1" customWidth="1"/>
    <col min="9" max="9" width="29.42578125" bestFit="1" customWidth="1"/>
    <col min="10" max="10" width="19.85546875" customWidth="1"/>
    <col min="11" max="11" width="23.42578125" bestFit="1" customWidth="1"/>
    <col min="12" max="12" width="18.85546875" bestFit="1" customWidth="1"/>
    <col min="13" max="13" width="22.5703125"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9.71093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4" ht="15.75">
      <c r="A1" s="360" t="s">
        <v>4821</v>
      </c>
      <c r="B1" s="360" t="s">
        <v>4822</v>
      </c>
      <c r="C1" s="435" t="s">
        <v>6904</v>
      </c>
      <c r="D1" s="360" t="s">
        <v>6903</v>
      </c>
      <c r="E1" s="435" t="s">
        <v>6905</v>
      </c>
      <c r="F1" s="360" t="s">
        <v>6906</v>
      </c>
      <c r="G1" s="360" t="s">
        <v>6907</v>
      </c>
      <c r="H1" s="360" t="s">
        <v>6908</v>
      </c>
      <c r="I1" s="360" t="s">
        <v>6704</v>
      </c>
      <c r="J1" s="360" t="s">
        <v>4905</v>
      </c>
      <c r="K1" s="318">
        <v>72000000000</v>
      </c>
      <c r="L1" s="317"/>
      <c r="P1" t="s">
        <v>4825</v>
      </c>
      <c r="Q1" t="s">
        <v>4826</v>
      </c>
    </row>
    <row r="2" spans="1:24" ht="17.25">
      <c r="A2" s="442" t="s">
        <v>4823</v>
      </c>
      <c r="B2" s="443">
        <v>88414000000</v>
      </c>
      <c r="C2" s="444">
        <f>'سهام بنیادی'!B2</f>
        <v>25.67</v>
      </c>
      <c r="D2" s="444">
        <f>B2*C2/$K$1</f>
        <v>31.522046944444444</v>
      </c>
      <c r="E2" s="444">
        <f>'سهام بنیادی'!C2</f>
        <v>25.2</v>
      </c>
      <c r="F2" s="444">
        <f>B2*E2/$K$1</f>
        <v>30.944900000000001</v>
      </c>
      <c r="G2" s="444">
        <f>'سهام بنیادی'!D2</f>
        <v>37.799999999999997</v>
      </c>
      <c r="H2" s="444">
        <f>B2*G2/$K$1</f>
        <v>46.417349999999992</v>
      </c>
      <c r="I2" s="444">
        <f>'سهام بنیادی'!F2</f>
        <v>280</v>
      </c>
      <c r="J2" s="444">
        <f>B2*I2/$K$1</f>
        <v>343.83222222222224</v>
      </c>
      <c r="K2" s="317"/>
      <c r="L2" s="317"/>
    </row>
    <row r="3" spans="1:24" ht="34.5">
      <c r="A3" s="445" t="s">
        <v>6225</v>
      </c>
      <c r="B3" s="443">
        <v>3217000000</v>
      </c>
      <c r="C3" s="444">
        <f>'سهام بنیادی'!B46</f>
        <v>141</v>
      </c>
      <c r="D3" s="444">
        <f>B3*C3/$K$1</f>
        <v>6.2999583333333335</v>
      </c>
      <c r="E3" s="444">
        <f>'سهام بنیادی'!C46</f>
        <v>125</v>
      </c>
      <c r="F3" s="444">
        <f>B3*E3/$K$1</f>
        <v>5.5850694444444446</v>
      </c>
      <c r="G3" s="444">
        <f>'سهام بنیادی'!D46</f>
        <v>160</v>
      </c>
      <c r="H3" s="444">
        <f>B3*G3/$K$1</f>
        <v>7.1488888888888891</v>
      </c>
      <c r="I3" s="444">
        <f>'سهام بنیادی'!F46</f>
        <v>1244</v>
      </c>
      <c r="J3" s="444">
        <f>B3*I3/$K$1</f>
        <v>55.582611111111113</v>
      </c>
    </row>
    <row r="4" spans="1:24" ht="17.25">
      <c r="A4" s="442" t="s">
        <v>5834</v>
      </c>
      <c r="B4" s="443">
        <v>27416800780</v>
      </c>
      <c r="C4" s="446">
        <f>D26</f>
        <v>559.70801327393576</v>
      </c>
      <c r="D4" s="444">
        <f>B4*C4/$K$1</f>
        <v>213.13059854029294</v>
      </c>
      <c r="E4" s="442">
        <f>'سهام بنیادی'!C28</f>
        <v>353</v>
      </c>
      <c r="F4" s="444">
        <f>B4*E4/$K$1</f>
        <v>134.41848160194445</v>
      </c>
      <c r="G4" s="444">
        <f>H26</f>
        <v>807.22008381528394</v>
      </c>
      <c r="H4" s="444">
        <f>B4*G4/$K$1</f>
        <v>307.38044754970201</v>
      </c>
      <c r="I4" s="444">
        <f>J26</f>
        <v>4725.6396276791102</v>
      </c>
      <c r="J4" s="444">
        <f>B4*I4/$K$1</f>
        <v>1799.4711143076602</v>
      </c>
    </row>
    <row r="5" spans="1:24" ht="17.25">
      <c r="A5" s="445" t="s">
        <v>6876</v>
      </c>
      <c r="B5" s="443">
        <v>18000000000</v>
      </c>
      <c r="C5" s="444">
        <f>D50</f>
        <v>201.73422115388888</v>
      </c>
      <c r="D5" s="444">
        <f>B5*C5/$K$1</f>
        <v>50.43355528847222</v>
      </c>
      <c r="E5" s="444">
        <v>106</v>
      </c>
      <c r="F5" s="444">
        <f>B5*E5/$K$1</f>
        <v>26.5</v>
      </c>
      <c r="G5" s="444">
        <f>H50</f>
        <v>371.4996896972778</v>
      </c>
      <c r="H5" s="444">
        <f>B5*G5/$K$1</f>
        <v>92.87492242431945</v>
      </c>
      <c r="I5" s="444">
        <f>L50</f>
        <v>3414.6897142824441</v>
      </c>
      <c r="J5" s="444">
        <f>B5*I5/$K$1</f>
        <v>853.67242857061103</v>
      </c>
      <c r="M5" s="94"/>
      <c r="N5" s="94"/>
      <c r="O5" s="94"/>
      <c r="P5" s="94"/>
      <c r="Q5" s="94"/>
      <c r="R5" s="94"/>
      <c r="S5" s="94"/>
      <c r="T5" s="94"/>
      <c r="U5" s="94"/>
    </row>
    <row r="6" spans="1:24" ht="17.25">
      <c r="A6" s="445"/>
      <c r="B6" s="443"/>
      <c r="C6" s="444"/>
      <c r="D6" s="444"/>
      <c r="E6" s="444"/>
      <c r="F6" s="444"/>
      <c r="G6" s="444"/>
      <c r="H6" s="444"/>
      <c r="I6" s="444"/>
      <c r="J6" s="444"/>
      <c r="L6" s="320"/>
      <c r="M6" s="94"/>
      <c r="N6" s="94"/>
      <c r="O6" s="94"/>
      <c r="P6" s="94"/>
      <c r="Q6" s="94"/>
      <c r="R6" s="94"/>
      <c r="S6" s="94"/>
      <c r="T6" s="94"/>
      <c r="U6" s="94"/>
      <c r="V6" s="94"/>
      <c r="W6" s="94"/>
      <c r="X6" s="94"/>
    </row>
    <row r="7" spans="1:24" ht="17.25">
      <c r="A7" s="442" t="s">
        <v>5810</v>
      </c>
      <c r="B7" s="442"/>
      <c r="C7" s="442"/>
      <c r="D7" s="444">
        <v>52</v>
      </c>
      <c r="E7" s="442"/>
      <c r="F7" s="444">
        <v>27</v>
      </c>
      <c r="G7" s="444"/>
      <c r="H7" s="444">
        <v>45</v>
      </c>
      <c r="I7" s="444" t="s">
        <v>5392</v>
      </c>
      <c r="J7" s="444">
        <v>370</v>
      </c>
      <c r="K7" s="94"/>
      <c r="L7" s="320"/>
      <c r="M7" s="94"/>
      <c r="N7" s="94"/>
      <c r="O7" s="94"/>
      <c r="P7" s="94"/>
      <c r="Q7" s="94"/>
      <c r="R7" s="94"/>
      <c r="S7" s="94"/>
      <c r="T7" s="94"/>
      <c r="U7" s="94"/>
      <c r="V7" s="94"/>
      <c r="W7" s="94"/>
      <c r="X7" s="94"/>
    </row>
    <row r="8" spans="1:24" ht="17.25">
      <c r="A8" s="442" t="s">
        <v>6895</v>
      </c>
      <c r="B8" s="442"/>
      <c r="C8" s="442"/>
      <c r="D8" s="444">
        <v>15</v>
      </c>
      <c r="E8" s="444"/>
      <c r="F8" s="444">
        <v>0</v>
      </c>
      <c r="G8" s="444"/>
      <c r="H8" s="444">
        <v>31</v>
      </c>
      <c r="I8" s="444" t="s">
        <v>5590</v>
      </c>
      <c r="J8" s="444">
        <v>230</v>
      </c>
      <c r="K8" s="94"/>
      <c r="L8" s="320" t="s">
        <v>25</v>
      </c>
      <c r="M8" s="94"/>
      <c r="N8" s="94"/>
      <c r="O8" s="94"/>
      <c r="P8" s="94"/>
      <c r="Q8" s="94"/>
      <c r="R8" s="94"/>
      <c r="S8" s="94"/>
      <c r="T8" s="94"/>
      <c r="U8" s="94"/>
      <c r="V8" s="94"/>
      <c r="W8" s="94"/>
      <c r="X8" s="94"/>
    </row>
    <row r="9" spans="1:24" ht="17.25">
      <c r="A9" s="442"/>
      <c r="B9" s="442"/>
      <c r="C9" s="442"/>
      <c r="D9" s="442">
        <f>B9*C9*$K$16/$K$1</f>
        <v>0</v>
      </c>
      <c r="E9" s="442"/>
      <c r="F9" s="442"/>
      <c r="G9" s="442"/>
      <c r="H9" s="442"/>
      <c r="I9" s="444" t="s">
        <v>5393</v>
      </c>
      <c r="J9" s="444">
        <v>140</v>
      </c>
      <c r="K9" s="94"/>
      <c r="L9" s="320"/>
      <c r="M9" s="94"/>
      <c r="N9" s="94"/>
      <c r="O9" s="94"/>
      <c r="P9" s="94"/>
      <c r="Q9" s="94"/>
      <c r="R9" s="94"/>
      <c r="S9" s="94"/>
      <c r="T9" s="94"/>
      <c r="U9" s="94"/>
      <c r="V9" s="94"/>
    </row>
    <row r="10" spans="1:24" ht="17.25">
      <c r="A10" s="442"/>
      <c r="B10" s="442"/>
      <c r="C10" s="442"/>
      <c r="D10" s="444">
        <f>SUM(D2:D9)</f>
        <v>368.38615910654295</v>
      </c>
      <c r="E10" s="442"/>
      <c r="F10" s="444">
        <f>SUM(F2:F8)</f>
        <v>224.4484510463889</v>
      </c>
      <c r="G10" s="442"/>
      <c r="H10" s="444">
        <f>SUM(H2:H9)</f>
        <v>529.82160886291035</v>
      </c>
      <c r="I10" s="442" t="s">
        <v>4432</v>
      </c>
      <c r="J10" s="444">
        <f>SUM(J2:J9)</f>
        <v>3792.5583762116044</v>
      </c>
      <c r="K10" s="94"/>
      <c r="L10" s="320"/>
      <c r="M10" s="94"/>
      <c r="N10" s="94"/>
      <c r="O10" s="94"/>
      <c r="P10" s="94"/>
      <c r="Q10" s="94"/>
      <c r="R10" s="94"/>
      <c r="S10" s="94"/>
      <c r="T10" s="94"/>
      <c r="U10" s="94"/>
      <c r="V10" s="94"/>
    </row>
    <row r="11" spans="1:24" ht="17.25">
      <c r="A11" s="442"/>
      <c r="B11" s="442"/>
      <c r="C11" s="442"/>
      <c r="D11" s="442" t="s">
        <v>6819</v>
      </c>
      <c r="E11" s="442"/>
      <c r="F11" s="442" t="s">
        <v>6389</v>
      </c>
      <c r="G11" s="442"/>
      <c r="H11" s="442" t="s">
        <v>6705</v>
      </c>
      <c r="I11" s="442" t="s">
        <v>5007</v>
      </c>
      <c r="J11" s="444">
        <v>1465</v>
      </c>
      <c r="K11" s="94"/>
      <c r="L11" s="320"/>
      <c r="M11" s="94"/>
      <c r="N11" s="94"/>
      <c r="O11" s="94"/>
      <c r="P11" s="94"/>
      <c r="Q11" s="94"/>
      <c r="R11" s="94"/>
      <c r="S11" s="94"/>
      <c r="T11" s="94"/>
      <c r="U11" s="94"/>
      <c r="V11" s="94"/>
    </row>
    <row r="12" spans="1:24" ht="17.25">
      <c r="A12" s="442"/>
      <c r="B12" s="442"/>
      <c r="C12" s="442"/>
      <c r="D12" s="442"/>
      <c r="E12" s="442"/>
      <c r="F12" s="442"/>
      <c r="G12" s="442" t="s">
        <v>6909</v>
      </c>
      <c r="H12" s="442">
        <f>F10*H10/D10</f>
        <v>322.80702328393704</v>
      </c>
      <c r="I12" s="442" t="s">
        <v>5008</v>
      </c>
      <c r="J12" s="442">
        <f>J11/J10</f>
        <v>0.38628278187859882</v>
      </c>
      <c r="K12" s="94"/>
      <c r="L12" s="320"/>
      <c r="M12" s="94"/>
      <c r="N12" s="94"/>
      <c r="O12" s="94"/>
      <c r="P12" s="94"/>
      <c r="Q12" s="94"/>
      <c r="R12" s="94"/>
      <c r="S12" s="94"/>
      <c r="T12" s="94"/>
      <c r="U12" s="94"/>
      <c r="V12" s="94"/>
    </row>
    <row r="13" spans="1:24">
      <c r="K13" s="94"/>
      <c r="L13" s="320"/>
      <c r="M13" s="94"/>
      <c r="N13" s="94"/>
      <c r="O13" s="94"/>
      <c r="P13" s="94"/>
      <c r="Q13" s="94" t="s">
        <v>25</v>
      </c>
      <c r="R13" s="94"/>
      <c r="S13" s="94"/>
      <c r="T13" s="94"/>
      <c r="U13" s="94"/>
      <c r="V13" s="94"/>
    </row>
    <row r="14" spans="1:24" ht="15.75">
      <c r="A14" s="360" t="s">
        <v>6893</v>
      </c>
      <c r="B14" s="360" t="s">
        <v>4822</v>
      </c>
      <c r="C14" s="435" t="s">
        <v>6898</v>
      </c>
      <c r="D14" s="360" t="s">
        <v>6899</v>
      </c>
      <c r="E14" s="435" t="s">
        <v>6900</v>
      </c>
      <c r="F14" s="360" t="s">
        <v>6901</v>
      </c>
      <c r="G14" s="360" t="s">
        <v>6902</v>
      </c>
      <c r="H14" s="360" t="s">
        <v>6899</v>
      </c>
      <c r="I14" s="360" t="s">
        <v>4245</v>
      </c>
      <c r="J14" s="360" t="s">
        <v>4905</v>
      </c>
      <c r="K14" s="318">
        <v>40500000000</v>
      </c>
      <c r="M14" s="94"/>
      <c r="N14" s="94"/>
      <c r="O14" s="94"/>
      <c r="P14" s="94"/>
      <c r="Q14" s="94"/>
      <c r="R14" s="94"/>
      <c r="S14" s="94"/>
      <c r="T14" s="94"/>
      <c r="U14" s="94"/>
      <c r="V14" s="94"/>
    </row>
    <row r="15" spans="1:24" ht="17.25">
      <c r="A15" s="439" t="s">
        <v>4823</v>
      </c>
      <c r="B15" s="440">
        <v>89305000000</v>
      </c>
      <c r="C15" s="441">
        <f>'سهام بنیادی'!B2</f>
        <v>25.67</v>
      </c>
      <c r="D15" s="441">
        <f t="shared" ref="D15:D23" si="0">B15*C15/$K$14</f>
        <v>56.603934567901234</v>
      </c>
      <c r="E15" s="441">
        <f>'سهام بنیادی'!C2</f>
        <v>25.2</v>
      </c>
      <c r="F15" s="441">
        <f t="shared" ref="F15:F23" si="1">B15*E15/$K$14</f>
        <v>55.567555555555558</v>
      </c>
      <c r="G15" s="441">
        <f>'سهام بنیادی'!D2</f>
        <v>37.799999999999997</v>
      </c>
      <c r="H15" s="441">
        <f t="shared" ref="H15:H23" si="2">B15*G15/$K$14</f>
        <v>83.351333333333315</v>
      </c>
      <c r="I15" s="441">
        <f>'سهام بنیادی'!F2</f>
        <v>280</v>
      </c>
      <c r="J15" s="441">
        <f t="shared" ref="J15:J23" si="3">B15*I15/$K$14</f>
        <v>617.41728395061727</v>
      </c>
      <c r="N15" s="94"/>
      <c r="O15" s="94"/>
      <c r="P15" s="94"/>
      <c r="Q15" s="94"/>
      <c r="R15" s="94"/>
      <c r="S15" s="94"/>
      <c r="T15" s="94"/>
      <c r="U15" s="94"/>
    </row>
    <row r="16" spans="1:24" ht="17.25">
      <c r="A16" s="439" t="s">
        <v>6361</v>
      </c>
      <c r="B16" s="440">
        <v>556303872</v>
      </c>
      <c r="C16" s="441">
        <f>'سهام بنیادی'!B15</f>
        <v>2017</v>
      </c>
      <c r="D16" s="441">
        <f t="shared" si="0"/>
        <v>27.705306415407406</v>
      </c>
      <c r="E16" s="441">
        <f>'سهام بنیادی'!C15</f>
        <v>1413</v>
      </c>
      <c r="F16" s="441">
        <f t="shared" si="1"/>
        <v>19.408823978666668</v>
      </c>
      <c r="G16" s="441">
        <f>'سهام بنیادی'!D15</f>
        <v>2243</v>
      </c>
      <c r="H16" s="441">
        <f t="shared" si="2"/>
        <v>30.809619380148149</v>
      </c>
      <c r="I16" s="441">
        <f>'سهام بنیادی'!F15</f>
        <v>14455</v>
      </c>
      <c r="J16" s="441">
        <f t="shared" si="3"/>
        <v>198.55240666074073</v>
      </c>
      <c r="N16" s="94"/>
      <c r="O16" s="94"/>
      <c r="P16" s="94"/>
      <c r="Q16" s="94" t="s">
        <v>25</v>
      </c>
      <c r="R16" s="94"/>
      <c r="S16" s="94"/>
      <c r="T16" s="94"/>
      <c r="U16" s="94"/>
    </row>
    <row r="17" spans="1:34" ht="17.25">
      <c r="A17" s="439" t="s">
        <v>6360</v>
      </c>
      <c r="B17" s="440">
        <v>20476832589</v>
      </c>
      <c r="C17" s="441">
        <f>'سهام بنیادی'!B13</f>
        <v>100</v>
      </c>
      <c r="D17" s="441">
        <f t="shared" si="0"/>
        <v>50.560080466666669</v>
      </c>
      <c r="E17" s="441">
        <f>'سهام بنیادی'!C13</f>
        <v>82</v>
      </c>
      <c r="F17" s="441">
        <f t="shared" si="1"/>
        <v>41.459265982666665</v>
      </c>
      <c r="G17" s="441">
        <f>'سهام بنیادی'!D13</f>
        <v>140</v>
      </c>
      <c r="H17" s="441">
        <f t="shared" si="2"/>
        <v>70.784112653333338</v>
      </c>
      <c r="I17" s="441">
        <f>'سهام بنیادی'!F13</f>
        <v>823</v>
      </c>
      <c r="J17" s="441">
        <f t="shared" si="3"/>
        <v>416.10946224066669</v>
      </c>
      <c r="K17" s="94"/>
      <c r="L17" s="94" t="s">
        <v>25</v>
      </c>
      <c r="M17" s="94"/>
      <c r="N17" s="94"/>
      <c r="O17" s="94"/>
      <c r="P17" s="94"/>
      <c r="Q17" s="94"/>
      <c r="R17" s="94"/>
      <c r="S17" s="94"/>
      <c r="T17" s="94"/>
      <c r="U17" s="94"/>
      <c r="V17" s="94"/>
      <c r="W17" s="94"/>
      <c r="X17" s="94"/>
      <c r="Y17" s="94"/>
      <c r="Z17" s="94"/>
      <c r="AA17" s="94"/>
      <c r="AB17" s="94"/>
      <c r="AC17" s="94"/>
      <c r="AD17" s="94"/>
      <c r="AE17" s="94"/>
    </row>
    <row r="18" spans="1:34" ht="17.25">
      <c r="A18" s="439" t="s">
        <v>4827</v>
      </c>
      <c r="B18" s="440">
        <v>4127266661</v>
      </c>
      <c r="C18" s="441">
        <f>'سهام بنیادی'!B3</f>
        <v>2100</v>
      </c>
      <c r="D18" s="441">
        <f t="shared" si="0"/>
        <v>214.00641945925926</v>
      </c>
      <c r="E18" s="441">
        <f>'سهام بنیادی'!C3</f>
        <v>1350</v>
      </c>
      <c r="F18" s="441">
        <f t="shared" si="1"/>
        <v>137.57555536666666</v>
      </c>
      <c r="G18" s="441">
        <f>'سهام بنیادی'!D3</f>
        <v>3600</v>
      </c>
      <c r="H18" s="441">
        <f t="shared" si="2"/>
        <v>366.86814764444443</v>
      </c>
      <c r="I18" s="441">
        <f>'سهام بنیادی'!F3</f>
        <v>16501</v>
      </c>
      <c r="J18" s="441">
        <f t="shared" si="3"/>
        <v>1681.5809178558272</v>
      </c>
      <c r="K18" s="94"/>
      <c r="L18" s="94"/>
      <c r="M18" s="94"/>
      <c r="N18" s="94"/>
      <c r="O18" s="94"/>
      <c r="P18" s="94"/>
      <c r="Q18" s="94"/>
      <c r="R18" s="94"/>
      <c r="S18" s="94"/>
      <c r="T18" s="94"/>
      <c r="U18" s="94"/>
      <c r="V18" s="94"/>
      <c r="W18" s="94"/>
      <c r="X18" s="94"/>
      <c r="Y18" s="94"/>
      <c r="Z18" s="94"/>
      <c r="AA18" s="94"/>
      <c r="AB18" s="94"/>
      <c r="AC18" s="94"/>
      <c r="AD18" s="94"/>
    </row>
    <row r="19" spans="1:34" ht="17.25">
      <c r="A19" s="439" t="s">
        <v>4828</v>
      </c>
      <c r="B19" s="440">
        <v>2693179034</v>
      </c>
      <c r="C19" s="441">
        <f>'سهام بنیادی'!B4</f>
        <v>608.1</v>
      </c>
      <c r="D19" s="441">
        <f t="shared" si="0"/>
        <v>40.437584458651855</v>
      </c>
      <c r="E19" s="441">
        <f>'سهام بنیادی'!C4</f>
        <v>122</v>
      </c>
      <c r="F19" s="441">
        <f t="shared" si="1"/>
        <v>8.112786225876544</v>
      </c>
      <c r="G19" s="441">
        <f>'سهام بنیادی'!D4</f>
        <v>750</v>
      </c>
      <c r="H19" s="441">
        <f t="shared" si="2"/>
        <v>49.873685814814813</v>
      </c>
      <c r="I19" s="441">
        <f>'سهام بنیادی'!F4</f>
        <v>6934</v>
      </c>
      <c r="J19" s="441">
        <f t="shared" si="3"/>
        <v>461.09884991990123</v>
      </c>
      <c r="K19" s="94"/>
      <c r="L19" s="94"/>
      <c r="M19" s="94"/>
      <c r="N19" s="94"/>
      <c r="O19" s="94"/>
      <c r="P19" s="94"/>
      <c r="Q19" s="94"/>
      <c r="R19" s="94"/>
      <c r="S19" s="94"/>
      <c r="T19" s="94"/>
      <c r="U19" s="94"/>
      <c r="V19" s="94"/>
      <c r="W19" s="94"/>
      <c r="X19" s="94"/>
      <c r="Y19" s="94"/>
      <c r="Z19" s="94"/>
      <c r="AA19" s="94"/>
      <c r="AB19" s="94"/>
      <c r="AC19" s="94"/>
      <c r="AD19" s="94"/>
    </row>
    <row r="20" spans="1:34" ht="17.25">
      <c r="A20" s="439" t="s">
        <v>6362</v>
      </c>
      <c r="B20" s="440">
        <v>4953996962</v>
      </c>
      <c r="C20" s="441">
        <f>'سهام بنیادی'!B14</f>
        <v>556</v>
      </c>
      <c r="D20" s="441">
        <f t="shared" si="0"/>
        <v>68.010427428938272</v>
      </c>
      <c r="E20" s="441">
        <f>'سهام بنیادی'!C14</f>
        <v>417.5</v>
      </c>
      <c r="F20" s="441">
        <f t="shared" si="1"/>
        <v>51.068981028024695</v>
      </c>
      <c r="G20" s="441">
        <f>'سهام بنیادی'!D14</f>
        <v>600</v>
      </c>
      <c r="H20" s="441">
        <f t="shared" si="2"/>
        <v>73.392547585185184</v>
      </c>
      <c r="I20" s="441">
        <f>'سهام بنیادی'!F14</f>
        <v>4245</v>
      </c>
      <c r="J20" s="441">
        <f t="shared" si="3"/>
        <v>519.25227416518521</v>
      </c>
      <c r="K20" s="94"/>
      <c r="L20" s="94"/>
      <c r="M20" s="94"/>
      <c r="N20" s="94"/>
      <c r="O20" s="94"/>
      <c r="P20" s="94"/>
      <c r="Q20" s="94"/>
      <c r="R20" s="94"/>
      <c r="S20" s="94"/>
      <c r="T20" s="94"/>
      <c r="U20" s="94"/>
      <c r="V20" s="94"/>
      <c r="W20" s="94"/>
      <c r="X20" s="94"/>
      <c r="Y20" s="94"/>
      <c r="Z20" s="94"/>
      <c r="AA20" s="94"/>
      <c r="AB20" s="94"/>
      <c r="AC20" s="94"/>
      <c r="AD20" s="94"/>
    </row>
    <row r="21" spans="1:34" ht="17.25">
      <c r="A21" s="439" t="s">
        <v>5480</v>
      </c>
      <c r="B21" s="440">
        <v>1636875595</v>
      </c>
      <c r="C21" s="441">
        <f>'سهام بنیادی'!B5</f>
        <v>352</v>
      </c>
      <c r="D21" s="441">
        <f t="shared" si="0"/>
        <v>14.226671838024691</v>
      </c>
      <c r="E21" s="441">
        <f>'سهام بنیادی'!C5</f>
        <v>110</v>
      </c>
      <c r="F21" s="441">
        <f t="shared" si="1"/>
        <v>4.4458349493827161</v>
      </c>
      <c r="G21" s="441">
        <f>'سهام بنیادی'!D5</f>
        <v>1113</v>
      </c>
      <c r="H21" s="441">
        <f t="shared" si="2"/>
        <v>44.983766351481485</v>
      </c>
      <c r="I21" s="441">
        <f>'سهام بنیادی'!F5</f>
        <v>6480</v>
      </c>
      <c r="J21" s="441">
        <f t="shared" si="3"/>
        <v>261.90009520000001</v>
      </c>
      <c r="K21" s="94"/>
      <c r="L21" s="94"/>
      <c r="M21" t="s">
        <v>25</v>
      </c>
      <c r="N21" s="94"/>
      <c r="O21" s="94"/>
      <c r="P21" s="94"/>
      <c r="Q21" s="94"/>
      <c r="R21" s="94"/>
      <c r="S21" s="94"/>
      <c r="T21" s="94"/>
      <c r="U21" s="94"/>
    </row>
    <row r="22" spans="1:34" ht="17.25">
      <c r="A22" s="439" t="s">
        <v>4358</v>
      </c>
      <c r="B22" s="440">
        <v>813683684</v>
      </c>
      <c r="C22" s="441">
        <f>'سهام بنیادی'!B6</f>
        <v>2412</v>
      </c>
      <c r="D22" s="441">
        <f t="shared" si="0"/>
        <v>48.459383847111113</v>
      </c>
      <c r="E22" s="441">
        <f>'سهام بنیادی'!C6</f>
        <v>2300</v>
      </c>
      <c r="F22" s="441">
        <f t="shared" si="1"/>
        <v>46.209196869135802</v>
      </c>
      <c r="G22" s="441">
        <f>'سهام بنیادی'!D6</f>
        <v>1267</v>
      </c>
      <c r="H22" s="441">
        <f t="shared" si="2"/>
        <v>25.45524018834568</v>
      </c>
      <c r="I22" s="441">
        <f>'سهام بنیادی'!F6</f>
        <v>19935</v>
      </c>
      <c r="J22" s="441">
        <f t="shared" si="3"/>
        <v>400.51319112444446</v>
      </c>
      <c r="K22" s="94"/>
      <c r="L22" s="94"/>
      <c r="N22" s="94"/>
      <c r="O22" s="94"/>
      <c r="P22" s="94"/>
      <c r="Q22" s="94"/>
      <c r="R22" s="94"/>
      <c r="S22" s="94"/>
      <c r="T22" s="94"/>
      <c r="U22" s="94"/>
    </row>
    <row r="23" spans="1:34" ht="17.25">
      <c r="A23" s="439" t="s">
        <v>4829</v>
      </c>
      <c r="B23" s="440">
        <v>236958025</v>
      </c>
      <c r="C23" s="441">
        <f>'سهام بنیادی'!B7</f>
        <v>803</v>
      </c>
      <c r="D23" s="441">
        <f t="shared" si="0"/>
        <v>4.6982047919753089</v>
      </c>
      <c r="E23" s="441">
        <f>'سهام بنیادی'!C7</f>
        <v>590</v>
      </c>
      <c r="F23" s="441">
        <f t="shared" si="1"/>
        <v>3.4519811049382718</v>
      </c>
      <c r="G23" s="441">
        <f>'سهام بنیادی'!D7</f>
        <v>2000</v>
      </c>
      <c r="H23" s="441">
        <f t="shared" si="2"/>
        <v>11.701630864197531</v>
      </c>
      <c r="I23" s="441">
        <f>'سهام بنیادی'!F7</f>
        <v>11830</v>
      </c>
      <c r="J23" s="441">
        <f t="shared" si="3"/>
        <v>69.215146561728389</v>
      </c>
      <c r="M23" t="s">
        <v>25</v>
      </c>
    </row>
    <row r="24" spans="1:34" ht="17.25">
      <c r="A24" s="439" t="s">
        <v>6894</v>
      </c>
      <c r="B24" s="440"/>
      <c r="C24" s="441"/>
      <c r="D24" s="441">
        <v>35</v>
      </c>
      <c r="E24" s="441"/>
      <c r="F24" s="441">
        <v>24</v>
      </c>
      <c r="G24" s="441"/>
      <c r="H24" s="441">
        <v>50</v>
      </c>
      <c r="I24" s="441"/>
      <c r="J24" s="441">
        <v>100</v>
      </c>
      <c r="K24" s="429"/>
      <c r="AD24" t="s">
        <v>25</v>
      </c>
    </row>
    <row r="25" spans="1:34">
      <c r="A25" s="436"/>
      <c r="B25" s="437"/>
      <c r="C25" s="438"/>
      <c r="D25" s="438"/>
      <c r="E25" s="438"/>
      <c r="F25" s="438"/>
      <c r="G25" s="438"/>
      <c r="H25" s="438"/>
      <c r="I25" s="438"/>
      <c r="J25" s="438"/>
      <c r="K25" s="429"/>
      <c r="L25" t="s">
        <v>25</v>
      </c>
      <c r="T25" t="s">
        <v>25</v>
      </c>
    </row>
    <row r="26" spans="1:34">
      <c r="A26" s="242"/>
      <c r="B26" s="318"/>
      <c r="C26" s="319"/>
      <c r="D26" s="319">
        <f>SUM(D15:D24)</f>
        <v>559.70801327393576</v>
      </c>
      <c r="E26" s="319"/>
      <c r="F26" s="319">
        <f>SUM(F15:F24)</f>
        <v>391.29998106091358</v>
      </c>
      <c r="G26" s="319"/>
      <c r="H26" s="319">
        <f>SUM(H15:H24)</f>
        <v>807.22008381528394</v>
      </c>
      <c r="I26" s="319"/>
      <c r="J26" s="319">
        <f>SUM(J15:J24)</f>
        <v>4725.6396276791102</v>
      </c>
      <c r="K26" s="429"/>
      <c r="N26" t="s">
        <v>25</v>
      </c>
    </row>
    <row r="27" spans="1:34">
      <c r="A27" s="242"/>
      <c r="B27" s="318"/>
      <c r="C27" s="319"/>
      <c r="D27" s="319" t="s">
        <v>6819</v>
      </c>
      <c r="E27" s="319"/>
      <c r="F27" s="319" t="s">
        <v>6389</v>
      </c>
      <c r="G27" s="319"/>
      <c r="H27" s="319">
        <f>F26*H26/D26</f>
        <v>564.3392555009159</v>
      </c>
      <c r="I27" s="319"/>
      <c r="J27" s="319" t="s">
        <v>4531</v>
      </c>
      <c r="K27" s="429"/>
      <c r="L27" s="94"/>
    </row>
    <row r="28" spans="1:34">
      <c r="A28" s="94"/>
      <c r="B28" s="94"/>
      <c r="E28" s="94"/>
      <c r="F28" s="94"/>
      <c r="G28" s="94"/>
      <c r="H28" s="94"/>
      <c r="I28" s="94"/>
      <c r="J28" s="94"/>
      <c r="K28" s="429"/>
      <c r="L28" s="94"/>
    </row>
    <row r="29" spans="1:34">
      <c r="A29" s="256" t="s">
        <v>6224</v>
      </c>
      <c r="B29" s="256" t="s">
        <v>4822</v>
      </c>
      <c r="C29" s="256" t="s">
        <v>6218</v>
      </c>
      <c r="D29" s="256" t="s">
        <v>5509</v>
      </c>
      <c r="E29" s="256" t="s">
        <v>6217</v>
      </c>
      <c r="F29" s="256" t="s">
        <v>6227</v>
      </c>
      <c r="H29" s="94"/>
      <c r="I29" s="94"/>
      <c r="J29" s="94"/>
      <c r="K29" s="429"/>
      <c r="L29" s="94"/>
    </row>
    <row r="30" spans="1:34">
      <c r="A30" s="256" t="s">
        <v>6216</v>
      </c>
      <c r="B30" s="256">
        <v>880639000</v>
      </c>
      <c r="C30" s="256">
        <v>110</v>
      </c>
      <c r="D30" s="256">
        <f t="shared" ref="D30:D36" si="4">B30*C30/$K$1</f>
        <v>1.3454206944444445</v>
      </c>
      <c r="E30" s="256">
        <v>952</v>
      </c>
      <c r="F30" s="256">
        <f t="shared" ref="F30:F36" si="5">B30*E30/$K$1</f>
        <v>11.644004555555556</v>
      </c>
      <c r="H30" s="112"/>
      <c r="I30" s="94"/>
      <c r="J30" s="94"/>
      <c r="K30" s="429" t="s">
        <v>25</v>
      </c>
      <c r="L30" s="94"/>
    </row>
    <row r="31" spans="1:34">
      <c r="A31" s="256" t="s">
        <v>6219</v>
      </c>
      <c r="B31" s="256">
        <v>1175000000</v>
      </c>
      <c r="C31" s="256">
        <v>30</v>
      </c>
      <c r="D31" s="256">
        <f t="shared" si="4"/>
        <v>0.48958333333333331</v>
      </c>
      <c r="E31" s="256">
        <v>628</v>
      </c>
      <c r="F31" s="256">
        <f t="shared" si="5"/>
        <v>10.248611111111112</v>
      </c>
      <c r="H31" s="94"/>
      <c r="I31" s="94"/>
      <c r="J31" s="94"/>
      <c r="K31" s="429"/>
      <c r="L31" s="94"/>
      <c r="U31" s="94"/>
      <c r="V31" s="94"/>
      <c r="W31" s="418"/>
      <c r="X31" s="418"/>
      <c r="Y31" s="418"/>
      <c r="Z31" s="418"/>
      <c r="AA31" s="418"/>
      <c r="AB31" s="418"/>
      <c r="AC31" s="418"/>
      <c r="AD31" s="418"/>
      <c r="AE31" s="418"/>
      <c r="AF31" s="418"/>
      <c r="AH31" t="s">
        <v>25</v>
      </c>
    </row>
    <row r="32" spans="1:34">
      <c r="A32" s="256" t="s">
        <v>6220</v>
      </c>
      <c r="B32" s="256">
        <v>1120000000</v>
      </c>
      <c r="C32" s="256">
        <v>100</v>
      </c>
      <c r="D32" s="256">
        <f t="shared" si="4"/>
        <v>1.5555555555555556</v>
      </c>
      <c r="E32" s="256">
        <v>893</v>
      </c>
      <c r="F32" s="256">
        <f t="shared" si="5"/>
        <v>13.891111111111112</v>
      </c>
      <c r="H32" s="94"/>
      <c r="I32" s="94"/>
      <c r="J32" s="94"/>
      <c r="K32" s="429"/>
      <c r="L32" s="94"/>
      <c r="U32" s="94"/>
      <c r="V32" s="94"/>
      <c r="W32" s="418"/>
      <c r="X32" s="418"/>
      <c r="Y32" s="418"/>
      <c r="Z32" s="418"/>
      <c r="AA32" s="418"/>
      <c r="AB32" s="418"/>
      <c r="AC32" s="418"/>
      <c r="AD32" s="418"/>
      <c r="AE32" s="418"/>
      <c r="AF32" s="418"/>
    </row>
    <row r="33" spans="1:38">
      <c r="A33" s="256" t="s">
        <v>6221</v>
      </c>
      <c r="B33" s="256">
        <v>468000000</v>
      </c>
      <c r="C33" s="256">
        <v>180</v>
      </c>
      <c r="D33" s="256">
        <f t="shared" si="4"/>
        <v>1.17</v>
      </c>
      <c r="E33" s="256">
        <v>4566</v>
      </c>
      <c r="F33" s="256">
        <f t="shared" si="5"/>
        <v>29.678999999999998</v>
      </c>
      <c r="H33" s="94"/>
      <c r="I33" s="94"/>
      <c r="J33" s="94"/>
      <c r="K33" s="429"/>
      <c r="L33" s="94"/>
      <c r="U33" s="94"/>
      <c r="V33" s="94"/>
      <c r="W33" s="418"/>
      <c r="X33" s="418"/>
      <c r="Y33" s="418"/>
      <c r="Z33" s="418"/>
      <c r="AA33" s="418"/>
      <c r="AB33" s="418"/>
      <c r="AC33" s="418"/>
      <c r="AD33" s="418"/>
      <c r="AE33" s="418"/>
      <c r="AF33" s="418"/>
    </row>
    <row r="34" spans="1:38">
      <c r="A34" s="256" t="s">
        <v>6222</v>
      </c>
      <c r="B34" s="256">
        <v>393000000</v>
      </c>
      <c r="C34" s="399">
        <v>185</v>
      </c>
      <c r="D34" s="256">
        <f t="shared" si="4"/>
        <v>1.0097916666666666</v>
      </c>
      <c r="E34" s="256">
        <v>1573</v>
      </c>
      <c r="F34" s="256">
        <f t="shared" si="5"/>
        <v>8.585958333333334</v>
      </c>
      <c r="H34" s="94"/>
      <c r="I34" s="94" t="s">
        <v>25</v>
      </c>
      <c r="J34" s="94"/>
      <c r="K34" s="429"/>
      <c r="L34" s="94"/>
      <c r="U34" s="94"/>
      <c r="V34" s="94"/>
      <c r="W34" s="418"/>
      <c r="X34" s="418"/>
      <c r="Y34" s="418"/>
      <c r="Z34" s="418"/>
      <c r="AA34" s="418"/>
      <c r="AB34" s="418"/>
      <c r="AC34" s="418"/>
      <c r="AD34" s="418"/>
      <c r="AE34" s="418"/>
      <c r="AF34" s="418"/>
      <c r="AG34" t="s">
        <v>25</v>
      </c>
    </row>
    <row r="35" spans="1:38">
      <c r="A35" s="256" t="s">
        <v>6223</v>
      </c>
      <c r="B35" s="256">
        <v>4360000</v>
      </c>
      <c r="C35" s="256">
        <v>347</v>
      </c>
      <c r="D35" s="256">
        <f t="shared" si="4"/>
        <v>2.1012777777777776E-2</v>
      </c>
      <c r="E35" s="256">
        <v>11399</v>
      </c>
      <c r="F35" s="256">
        <f t="shared" si="5"/>
        <v>0.69027277777777774</v>
      </c>
      <c r="H35" s="94" t="s">
        <v>25</v>
      </c>
      <c r="I35" s="94"/>
      <c r="J35" s="94"/>
      <c r="K35" s="429"/>
      <c r="L35" s="94"/>
      <c r="U35" s="94"/>
      <c r="V35" s="94"/>
      <c r="W35" s="418"/>
      <c r="X35" s="418"/>
      <c r="Y35" s="418"/>
      <c r="Z35" s="418"/>
      <c r="AA35" s="418"/>
      <c r="AB35" s="418"/>
      <c r="AC35" s="418"/>
      <c r="AD35" s="418"/>
      <c r="AE35" s="418"/>
      <c r="AF35" s="418"/>
    </row>
    <row r="36" spans="1:38">
      <c r="A36" s="256" t="s">
        <v>6226</v>
      </c>
      <c r="B36" s="256">
        <v>1</v>
      </c>
      <c r="C36" s="256">
        <v>80000000000</v>
      </c>
      <c r="D36" s="256">
        <f t="shared" si="4"/>
        <v>1.1111111111111112</v>
      </c>
      <c r="E36" s="256">
        <v>703000000000</v>
      </c>
      <c r="F36" s="256">
        <f t="shared" si="5"/>
        <v>9.7638888888888893</v>
      </c>
      <c r="G36" s="94"/>
      <c r="H36" s="94"/>
      <c r="I36" s="94"/>
      <c r="J36" s="94"/>
      <c r="K36" s="429"/>
      <c r="L36" s="94"/>
      <c r="U36" s="94"/>
      <c r="V36" s="94"/>
      <c r="W36" s="418"/>
      <c r="X36" s="418"/>
      <c r="Y36" s="418"/>
      <c r="Z36" s="418"/>
      <c r="AA36" s="418"/>
      <c r="AB36" s="418"/>
      <c r="AC36" s="418"/>
      <c r="AD36" s="418"/>
      <c r="AE36" s="418"/>
      <c r="AF36" s="418"/>
    </row>
    <row r="37" spans="1:38">
      <c r="A37" s="256"/>
      <c r="B37" s="256"/>
      <c r="C37" s="256"/>
      <c r="D37" s="256"/>
      <c r="E37" s="256"/>
      <c r="F37" s="256"/>
      <c r="H37" s="94"/>
      <c r="I37" s="94"/>
      <c r="J37" s="94"/>
      <c r="K37" s="429"/>
      <c r="L37" s="418"/>
      <c r="M37" s="418"/>
      <c r="N37" s="94"/>
      <c r="O37" s="94"/>
      <c r="X37" s="94"/>
      <c r="Y37" s="94"/>
      <c r="Z37" s="418"/>
      <c r="AA37" s="418"/>
      <c r="AB37" s="418"/>
      <c r="AC37" s="418"/>
      <c r="AD37" s="418"/>
      <c r="AE37" s="418"/>
      <c r="AF37" s="418"/>
      <c r="AG37" s="418"/>
      <c r="AH37" s="418"/>
      <c r="AI37" s="418"/>
    </row>
    <row r="38" spans="1:38">
      <c r="A38" s="256"/>
      <c r="B38" s="256"/>
      <c r="C38" s="256"/>
      <c r="D38" s="256">
        <f>SUM(D30:D36)</f>
        <v>6.7024751388888895</v>
      </c>
      <c r="E38" s="256" t="s">
        <v>6</v>
      </c>
      <c r="F38" s="256">
        <f>SUM(F30:F36)</f>
        <v>84.502846777777776</v>
      </c>
      <c r="H38" s="94"/>
      <c r="I38" s="94"/>
      <c r="J38" s="94"/>
      <c r="L38" s="418"/>
      <c r="M38" s="418"/>
      <c r="N38" s="94"/>
      <c r="O38" s="94"/>
      <c r="X38" s="94"/>
      <c r="Y38" s="94"/>
      <c r="Z38" s="418"/>
      <c r="AA38" s="418"/>
      <c r="AB38" s="418"/>
      <c r="AC38" s="418"/>
      <c r="AD38" s="418"/>
      <c r="AE38" s="418"/>
      <c r="AF38" s="418"/>
      <c r="AG38" s="418"/>
      <c r="AH38" s="418"/>
      <c r="AI38" s="418"/>
    </row>
    <row r="39" spans="1:38">
      <c r="A39" s="94"/>
      <c r="B39" s="94"/>
      <c r="E39" s="94"/>
      <c r="F39" s="94"/>
      <c r="H39" s="94"/>
      <c r="I39" s="94"/>
      <c r="J39" s="94"/>
      <c r="L39" s="418"/>
      <c r="M39" s="418"/>
      <c r="N39" s="418"/>
      <c r="O39" s="418"/>
      <c r="P39" s="418"/>
      <c r="X39" s="94"/>
      <c r="Y39" s="94"/>
      <c r="Z39" s="418"/>
      <c r="AA39" s="418"/>
      <c r="AB39" s="418"/>
      <c r="AC39" s="418"/>
      <c r="AD39" s="418"/>
      <c r="AE39" s="418"/>
      <c r="AF39" s="418"/>
      <c r="AG39" s="418"/>
      <c r="AH39" s="418"/>
      <c r="AI39" s="418"/>
    </row>
    <row r="40" spans="1:38">
      <c r="A40" s="418"/>
      <c r="B40" s="418"/>
      <c r="C40" s="418"/>
      <c r="D40" s="418"/>
      <c r="E40" s="418"/>
      <c r="F40" s="418"/>
      <c r="G40" s="418"/>
      <c r="H40" s="418"/>
      <c r="I40" s="418"/>
      <c r="J40" s="418"/>
      <c r="L40" s="418"/>
      <c r="M40" s="418"/>
      <c r="N40" s="418"/>
      <c r="O40" s="418"/>
      <c r="P40" s="418"/>
      <c r="Q40" s="418"/>
      <c r="Y40" s="94"/>
      <c r="Z40" s="94"/>
      <c r="AA40" s="418"/>
      <c r="AB40" s="418"/>
      <c r="AC40" s="418"/>
      <c r="AD40" s="418"/>
      <c r="AE40" s="418"/>
      <c r="AF40" s="418"/>
      <c r="AG40" s="418"/>
      <c r="AH40" s="418"/>
      <c r="AI40" s="418"/>
      <c r="AJ40" s="418"/>
    </row>
    <row r="41" spans="1:38" ht="17.25">
      <c r="A41" s="448" t="s">
        <v>6873</v>
      </c>
      <c r="B41" s="448" t="s">
        <v>4822</v>
      </c>
      <c r="C41" s="448" t="s">
        <v>6898</v>
      </c>
      <c r="D41" s="448" t="s">
        <v>6910</v>
      </c>
      <c r="E41" s="448" t="s">
        <v>6871</v>
      </c>
      <c r="F41" s="448" t="s">
        <v>6911</v>
      </c>
      <c r="G41" s="448" t="s">
        <v>6902</v>
      </c>
      <c r="H41" s="448" t="s">
        <v>6910</v>
      </c>
      <c r="I41" s="448" t="s">
        <v>6974</v>
      </c>
      <c r="J41" s="448" t="s">
        <v>6911</v>
      </c>
      <c r="K41" s="448" t="s">
        <v>4245</v>
      </c>
      <c r="L41" s="448" t="s">
        <v>6896</v>
      </c>
      <c r="M41" s="447">
        <v>18000000000</v>
      </c>
      <c r="N41" s="418"/>
      <c r="O41" s="418"/>
      <c r="P41" s="418"/>
      <c r="Q41" s="418"/>
      <c r="R41" s="418"/>
      <c r="S41" s="418"/>
      <c r="AA41" s="94"/>
      <c r="AB41" s="94"/>
      <c r="AC41" s="418"/>
      <c r="AD41" s="418"/>
      <c r="AE41" s="418"/>
      <c r="AF41" s="418"/>
      <c r="AG41" s="418"/>
      <c r="AH41" s="418"/>
      <c r="AI41" s="418"/>
      <c r="AJ41" s="418"/>
      <c r="AK41" s="418"/>
      <c r="AL41" s="418"/>
    </row>
    <row r="42" spans="1:38" ht="17.25">
      <c r="A42" s="448" t="s">
        <v>5786</v>
      </c>
      <c r="B42" s="449">
        <v>4733791436</v>
      </c>
      <c r="C42" s="450">
        <f>'سهام بنیادی'!B18</f>
        <v>173</v>
      </c>
      <c r="D42" s="450">
        <v>0</v>
      </c>
      <c r="E42" s="450">
        <f>'سهام بنیادی'!C18</f>
        <v>170</v>
      </c>
      <c r="F42" s="450">
        <v>0</v>
      </c>
      <c r="G42" s="450">
        <f>'سهام بنیادی'!D18</f>
        <v>440</v>
      </c>
      <c r="H42" s="450">
        <f t="shared" ref="H42:H47" si="6">B42*G42/$M$41</f>
        <v>115.71490176888889</v>
      </c>
      <c r="I42" s="450">
        <f>'سهام بنیادی'!E18</f>
        <v>400</v>
      </c>
      <c r="J42" s="450">
        <f>B42*I42/$M$41</f>
        <v>105.19536524444445</v>
      </c>
      <c r="K42" s="450">
        <f>'سهام بنیادی'!F18</f>
        <v>4850</v>
      </c>
      <c r="L42" s="450">
        <f t="shared" ref="L42:L47" si="7">B42*K42/$M$41</f>
        <v>1275.4938035888888</v>
      </c>
      <c r="M42" s="94"/>
      <c r="N42" s="418"/>
      <c r="O42" s="418"/>
      <c r="P42" s="418"/>
      <c r="Q42" s="418"/>
      <c r="R42" s="418"/>
      <c r="S42" s="418"/>
      <c r="AA42" s="94"/>
      <c r="AB42" s="94"/>
      <c r="AC42" s="418"/>
      <c r="AD42" s="418"/>
      <c r="AE42" s="418"/>
      <c r="AF42" s="418"/>
      <c r="AG42" s="418"/>
      <c r="AH42" s="418"/>
      <c r="AI42" s="418"/>
      <c r="AJ42" s="418"/>
      <c r="AK42" s="418"/>
      <c r="AL42" s="418"/>
    </row>
    <row r="43" spans="1:38" ht="17.25">
      <c r="A43" s="448" t="s">
        <v>6874</v>
      </c>
      <c r="B43" s="449">
        <v>7228254280</v>
      </c>
      <c r="C43" s="450">
        <f>'سهام بنیادی'!B24</f>
        <v>109</v>
      </c>
      <c r="D43" s="450">
        <f>B43*C43/$M$41</f>
        <v>43.771095362222219</v>
      </c>
      <c r="E43" s="450">
        <f>'سهام بنیادی'!C24</f>
        <v>47</v>
      </c>
      <c r="F43" s="450">
        <f>B43*E43/$M$41</f>
        <v>18.873775064444445</v>
      </c>
      <c r="G43" s="450">
        <f>'سهام بنیادی'!D24</f>
        <v>104.7</v>
      </c>
      <c r="H43" s="450">
        <f t="shared" si="6"/>
        <v>42.04434572866667</v>
      </c>
      <c r="I43" s="450"/>
      <c r="J43" s="450">
        <f t="shared" ref="J43:J48" si="8">B43*I43/$M$41</f>
        <v>0</v>
      </c>
      <c r="K43" s="450">
        <f>'سهام بنیادی'!F24</f>
        <v>839</v>
      </c>
      <c r="L43" s="450">
        <f t="shared" si="7"/>
        <v>336.91696338444444</v>
      </c>
      <c r="M43" s="94"/>
      <c r="N43" s="418"/>
      <c r="O43" s="418"/>
      <c r="P43" s="418"/>
      <c r="Q43" s="418"/>
      <c r="R43" s="418"/>
      <c r="S43" s="418"/>
      <c r="AA43" s="94"/>
      <c r="AB43" s="94"/>
      <c r="AC43" s="418"/>
      <c r="AD43" s="418"/>
      <c r="AE43" s="418"/>
      <c r="AF43" s="418"/>
      <c r="AG43" s="418"/>
      <c r="AH43" s="418"/>
      <c r="AI43" s="418"/>
      <c r="AJ43" s="418"/>
      <c r="AK43" s="418"/>
      <c r="AL43" s="418"/>
    </row>
    <row r="44" spans="1:38" ht="17.25">
      <c r="A44" s="448" t="s">
        <v>6877</v>
      </c>
      <c r="B44" s="449">
        <v>6050000000</v>
      </c>
      <c r="C44" s="450">
        <f>'سهام بنیادی'!B25</f>
        <v>39.299999999999997</v>
      </c>
      <c r="D44" s="450">
        <f>B44*C44/$M$41</f>
        <v>13.209166666666665</v>
      </c>
      <c r="E44" s="450">
        <f>'سهام بنیادی'!C25</f>
        <v>35.700000000000003</v>
      </c>
      <c r="F44" s="450">
        <f>B44*E44/$M$41</f>
        <v>11.999166666666669</v>
      </c>
      <c r="G44" s="450">
        <f>'سهام بنیادی'!D25</f>
        <v>47</v>
      </c>
      <c r="H44" s="450">
        <f t="shared" si="6"/>
        <v>15.797222222222222</v>
      </c>
      <c r="I44" s="450"/>
      <c r="J44" s="450">
        <f t="shared" si="8"/>
        <v>0</v>
      </c>
      <c r="K44" s="450">
        <f>'سهام بنیادی'!F25</f>
        <v>370</v>
      </c>
      <c r="L44" s="450">
        <f t="shared" si="7"/>
        <v>124.36111111111111</v>
      </c>
      <c r="M44" s="94"/>
      <c r="N44" s="418"/>
      <c r="O44" s="418"/>
      <c r="P44" s="418"/>
      <c r="Q44" s="418"/>
      <c r="R44" s="418"/>
      <c r="S44" s="418"/>
      <c r="AA44" s="94"/>
      <c r="AB44" s="94"/>
      <c r="AC44" s="418"/>
      <c r="AD44" s="418"/>
      <c r="AE44" s="418"/>
      <c r="AF44" s="418"/>
      <c r="AG44" s="418"/>
      <c r="AH44" s="418"/>
      <c r="AI44" s="418"/>
      <c r="AJ44" s="418"/>
      <c r="AK44" s="418"/>
      <c r="AL44" s="418"/>
    </row>
    <row r="45" spans="1:38" ht="17.25">
      <c r="A45" s="448" t="s">
        <v>6875</v>
      </c>
      <c r="B45" s="449">
        <v>324970000</v>
      </c>
      <c r="C45" s="450">
        <f>'سهام بنیادی'!B26</f>
        <v>2959</v>
      </c>
      <c r="D45" s="450">
        <f>B45*C45/$M$41</f>
        <v>53.421457222222223</v>
      </c>
      <c r="E45" s="450">
        <f>'سهام بنیادی'!C26</f>
        <v>2400</v>
      </c>
      <c r="F45" s="450">
        <f>B45*E45/$M$41</f>
        <v>43.329333333333331</v>
      </c>
      <c r="G45" s="450">
        <f>'سهام بنیادی'!D26</f>
        <v>3500</v>
      </c>
      <c r="H45" s="450">
        <f t="shared" si="6"/>
        <v>63.188611111111108</v>
      </c>
      <c r="I45" s="450"/>
      <c r="J45" s="450">
        <f t="shared" si="8"/>
        <v>0</v>
      </c>
      <c r="K45" s="450">
        <f>'سهام بنیادی'!F26</f>
        <v>25000</v>
      </c>
      <c r="L45" s="450">
        <f t="shared" si="7"/>
        <v>451.34722222222223</v>
      </c>
      <c r="M45" s="94"/>
      <c r="N45" s="418"/>
      <c r="O45" s="418"/>
      <c r="P45" s="418"/>
      <c r="Q45" s="418"/>
      <c r="R45" s="418"/>
      <c r="S45" s="418"/>
      <c r="AA45" s="94"/>
      <c r="AB45" s="94"/>
      <c r="AC45" s="418"/>
      <c r="AD45" s="418"/>
      <c r="AE45" s="418"/>
      <c r="AF45" s="418"/>
      <c r="AG45" s="418"/>
      <c r="AH45" s="418"/>
      <c r="AI45" s="418"/>
      <c r="AJ45" s="418"/>
      <c r="AK45" s="418"/>
      <c r="AL45" s="418"/>
    </row>
    <row r="46" spans="1:38" ht="17.25">
      <c r="A46" s="448" t="s">
        <v>6972</v>
      </c>
      <c r="B46" s="449">
        <v>5382680274</v>
      </c>
      <c r="C46" s="450">
        <f>'سهام بنیادی'!B27</f>
        <v>125</v>
      </c>
      <c r="D46" s="450">
        <f>B46*C46/$M$41</f>
        <v>37.379724125000003</v>
      </c>
      <c r="E46" s="450">
        <f>'سهام بنیادی'!C27</f>
        <v>100</v>
      </c>
      <c r="F46" s="450">
        <f>B46*E46/$M$41</f>
        <v>29.9037793</v>
      </c>
      <c r="G46" s="450">
        <f>'سهام بنیادی'!D27</f>
        <v>217.5</v>
      </c>
      <c r="H46" s="450">
        <f t="shared" si="6"/>
        <v>65.040719977500004</v>
      </c>
      <c r="I46" s="450">
        <f>'سهام بنیادی'!E27</f>
        <v>170</v>
      </c>
      <c r="J46" s="450">
        <f t="shared" si="8"/>
        <v>50.836424809999997</v>
      </c>
      <c r="K46" s="450">
        <f>'سهام بنیادی'!F27</f>
        <v>2086</v>
      </c>
      <c r="L46" s="450">
        <f t="shared" si="7"/>
        <v>623.79283619800003</v>
      </c>
      <c r="M46" s="94" t="s">
        <v>25</v>
      </c>
      <c r="N46" s="94"/>
      <c r="O46" s="94"/>
      <c r="P46" s="418"/>
      <c r="Q46" s="418"/>
      <c r="R46" s="418"/>
      <c r="S46" s="418"/>
      <c r="AA46" s="94"/>
      <c r="AB46" s="94"/>
      <c r="AC46" s="418"/>
      <c r="AD46" s="418"/>
      <c r="AE46" s="418"/>
      <c r="AF46" s="418"/>
      <c r="AG46" s="418"/>
      <c r="AH46" s="418"/>
      <c r="AI46" s="418"/>
      <c r="AJ46" s="418"/>
      <c r="AK46" s="418"/>
      <c r="AL46" s="418"/>
    </row>
    <row r="47" spans="1:38" ht="17.25">
      <c r="A47" s="448" t="s">
        <v>6878</v>
      </c>
      <c r="B47" s="449">
        <v>14500000000</v>
      </c>
      <c r="C47" s="450">
        <v>34.700000000000003</v>
      </c>
      <c r="D47" s="450">
        <f>B47*C47/$M$41</f>
        <v>27.952777777777783</v>
      </c>
      <c r="E47" s="450">
        <v>3.47</v>
      </c>
      <c r="F47" s="450">
        <f>B47*E47/$M$41</f>
        <v>2.7952777777777778</v>
      </c>
      <c r="G47" s="450">
        <v>49.3</v>
      </c>
      <c r="H47" s="450">
        <f t="shared" si="6"/>
        <v>39.713888888888889</v>
      </c>
      <c r="I47" s="450"/>
      <c r="J47" s="450">
        <f t="shared" si="8"/>
        <v>0</v>
      </c>
      <c r="K47" s="450">
        <v>500</v>
      </c>
      <c r="L47" s="450">
        <f t="shared" si="7"/>
        <v>402.77777777777777</v>
      </c>
      <c r="M47" s="94"/>
      <c r="N47" s="94"/>
      <c r="O47" s="94"/>
      <c r="P47" s="418"/>
      <c r="Q47" s="418"/>
      <c r="R47" s="418"/>
      <c r="S47" s="418"/>
      <c r="AA47" s="94"/>
      <c r="AB47" s="94"/>
      <c r="AC47" s="418"/>
      <c r="AD47" s="418"/>
      <c r="AE47" s="418"/>
      <c r="AF47" s="418"/>
      <c r="AG47" s="418"/>
      <c r="AH47" s="418"/>
      <c r="AI47" s="418"/>
      <c r="AJ47" s="418"/>
      <c r="AK47" s="418"/>
      <c r="AL47" s="418"/>
    </row>
    <row r="48" spans="1:38" ht="17.25">
      <c r="A48" s="448" t="s">
        <v>5810</v>
      </c>
      <c r="B48" s="449"/>
      <c r="C48" s="450"/>
      <c r="D48" s="450">
        <v>26</v>
      </c>
      <c r="E48" s="450"/>
      <c r="F48" s="450">
        <v>26</v>
      </c>
      <c r="G48" s="450"/>
      <c r="H48" s="450">
        <v>30</v>
      </c>
      <c r="I48" s="450"/>
      <c r="J48" s="450">
        <f t="shared" si="8"/>
        <v>0</v>
      </c>
      <c r="K48" s="450"/>
      <c r="L48" s="450">
        <v>200</v>
      </c>
      <c r="M48" s="94"/>
      <c r="N48" s="418" t="s">
        <v>25</v>
      </c>
      <c r="O48" s="418"/>
      <c r="P48" s="418"/>
      <c r="X48" s="94"/>
      <c r="Y48" s="94"/>
      <c r="Z48" s="418"/>
      <c r="AA48" s="418"/>
      <c r="AB48" s="418"/>
      <c r="AC48" s="418"/>
      <c r="AD48" s="418"/>
      <c r="AE48" s="418"/>
      <c r="AF48" s="418"/>
      <c r="AG48" s="418"/>
      <c r="AH48" s="418"/>
      <c r="AI48" s="418"/>
    </row>
    <row r="49" spans="1:35" ht="17.25">
      <c r="A49" s="439"/>
      <c r="B49" s="440"/>
      <c r="C49" s="441"/>
      <c r="D49" s="441"/>
      <c r="E49" s="441"/>
      <c r="F49" s="441"/>
      <c r="G49" s="441"/>
      <c r="H49" s="441"/>
      <c r="I49" s="441"/>
      <c r="J49" s="441"/>
      <c r="K49" s="441"/>
      <c r="L49" s="441"/>
      <c r="M49" s="94"/>
      <c r="N49" s="112"/>
      <c r="O49" s="94"/>
      <c r="X49" s="94"/>
      <c r="Y49" s="94"/>
      <c r="Z49" s="418"/>
      <c r="AA49" s="418"/>
      <c r="AB49" s="418"/>
      <c r="AC49" s="418"/>
      <c r="AD49" s="418"/>
      <c r="AE49" s="418"/>
      <c r="AF49" s="418"/>
      <c r="AG49" s="418"/>
      <c r="AH49" s="418"/>
      <c r="AI49" s="418"/>
    </row>
    <row r="50" spans="1:35" ht="17.25">
      <c r="A50" s="448"/>
      <c r="B50" s="449"/>
      <c r="C50" s="450"/>
      <c r="D50" s="451">
        <f>SUM(D42:D48)</f>
        <v>201.73422115388888</v>
      </c>
      <c r="E50" s="450"/>
      <c r="F50" s="451">
        <f>SUM(F42:F48)</f>
        <v>132.90133214222223</v>
      </c>
      <c r="G50" s="450"/>
      <c r="H50" s="451">
        <f>SUM(H42:H48)</f>
        <v>371.4996896972778</v>
      </c>
      <c r="I50" s="451"/>
      <c r="J50" s="451">
        <f>SUM(J42:J48)</f>
        <v>156.03179005444446</v>
      </c>
      <c r="K50" s="449">
        <f>L50*M41/1000000000000</f>
        <v>61.464414857083995</v>
      </c>
      <c r="L50" s="450">
        <f>SUM(L42:L48)</f>
        <v>3414.6897142824441</v>
      </c>
      <c r="M50" s="94"/>
      <c r="N50" s="94"/>
      <c r="O50" s="94"/>
      <c r="X50" s="94"/>
      <c r="Y50" s="94"/>
      <c r="Z50" s="418"/>
      <c r="AA50" s="418"/>
      <c r="AB50" s="418"/>
      <c r="AC50" s="418"/>
      <c r="AD50" s="418"/>
      <c r="AE50" s="418"/>
      <c r="AF50" s="418"/>
      <c r="AG50" s="418"/>
      <c r="AH50" s="418"/>
      <c r="AI50" s="418"/>
    </row>
    <row r="51" spans="1:35" ht="34.5">
      <c r="A51" s="448"/>
      <c r="B51" s="448"/>
      <c r="C51" s="448"/>
      <c r="D51" s="450" t="s">
        <v>6</v>
      </c>
      <c r="E51" s="451"/>
      <c r="F51" s="450" t="s">
        <v>6</v>
      </c>
      <c r="G51" s="448"/>
      <c r="H51" s="450" t="s">
        <v>6</v>
      </c>
      <c r="I51" s="450"/>
      <c r="J51" s="450" t="s">
        <v>6</v>
      </c>
      <c r="K51" s="478" t="s">
        <v>6973</v>
      </c>
      <c r="L51" s="450" t="s">
        <v>4531</v>
      </c>
      <c r="N51" s="94"/>
      <c r="W51" s="94"/>
      <c r="X51" s="94"/>
    </row>
    <row r="52" spans="1:35">
      <c r="A52" s="94"/>
      <c r="B52" s="94"/>
      <c r="E52" s="94"/>
      <c r="F52" s="94"/>
      <c r="G52" s="94"/>
      <c r="H52" s="94"/>
      <c r="I52" s="94"/>
      <c r="J52" s="94"/>
      <c r="K52" s="418"/>
      <c r="U52" s="94"/>
      <c r="V52" s="94"/>
    </row>
    <row r="53" spans="1:35">
      <c r="A53" s="94"/>
      <c r="B53" s="94"/>
      <c r="E53" s="94"/>
      <c r="F53" s="94"/>
      <c r="K53" s="418"/>
      <c r="L53" s="94"/>
      <c r="U53" s="94"/>
      <c r="V53" s="94"/>
    </row>
    <row r="54" spans="1:35">
      <c r="C54" s="94" t="s">
        <v>25</v>
      </c>
      <c r="G54" s="94"/>
      <c r="H54" s="94"/>
      <c r="I54" s="94"/>
      <c r="J54" s="94"/>
      <c r="K54" s="418"/>
      <c r="U54" s="94"/>
      <c r="V54" s="94"/>
    </row>
    <row r="55" spans="1:35">
      <c r="A55" s="94"/>
      <c r="B55" s="94"/>
      <c r="E55" s="94"/>
      <c r="F55" s="94"/>
      <c r="K55" s="418"/>
      <c r="N55" t="s">
        <v>25</v>
      </c>
      <c r="U55" s="94"/>
      <c r="V55" s="94"/>
    </row>
    <row r="56" spans="1:35">
      <c r="G56" t="s">
        <v>5081</v>
      </c>
      <c r="H56" t="s">
        <v>25</v>
      </c>
      <c r="K56" s="418"/>
      <c r="U56" s="94"/>
      <c r="V56" s="94"/>
    </row>
    <row r="57" spans="1:35">
      <c r="C57" s="94" t="s">
        <v>5071</v>
      </c>
      <c r="D57" s="94" t="s">
        <v>5077</v>
      </c>
      <c r="E57" t="s">
        <v>5078</v>
      </c>
      <c r="F57" t="s">
        <v>5080</v>
      </c>
      <c r="G57">
        <f t="shared" ref="G57:G63" si="9">F58*11400/1000000000</f>
        <v>7965.2939999999999</v>
      </c>
      <c r="J57" t="s">
        <v>25</v>
      </c>
      <c r="K57" s="418"/>
      <c r="U57" s="94"/>
      <c r="V57" s="94"/>
    </row>
    <row r="58" spans="1:35">
      <c r="C58" s="94" t="s">
        <v>5076</v>
      </c>
      <c r="D58" s="94">
        <v>1306</v>
      </c>
      <c r="E58">
        <v>0.53500000000000003</v>
      </c>
      <c r="F58">
        <f t="shared" ref="F58:F64" si="10">D58*E58*$D$69</f>
        <v>698710000</v>
      </c>
      <c r="G58" s="94">
        <f t="shared" si="9"/>
        <v>57</v>
      </c>
      <c r="K58" s="418"/>
      <c r="L58" t="s">
        <v>25</v>
      </c>
      <c r="U58" s="94"/>
      <c r="V58" s="94"/>
    </row>
    <row r="59" spans="1:35">
      <c r="B59" s="94"/>
      <c r="C59" s="94" t="s">
        <v>5082</v>
      </c>
      <c r="D59" s="94">
        <v>10</v>
      </c>
      <c r="E59" s="94">
        <v>0.5</v>
      </c>
      <c r="F59" s="94">
        <f t="shared" si="10"/>
        <v>5000000</v>
      </c>
      <c r="G59" s="94">
        <f t="shared" si="9"/>
        <v>3645.72</v>
      </c>
      <c r="J59" t="s">
        <v>25</v>
      </c>
      <c r="K59" s="418"/>
      <c r="U59" s="94"/>
      <c r="V59" s="94"/>
    </row>
    <row r="60" spans="1:35">
      <c r="B60" s="94"/>
      <c r="C60" s="94" t="s">
        <v>5083</v>
      </c>
      <c r="D60" s="94">
        <v>492</v>
      </c>
      <c r="E60" s="94">
        <v>0.65</v>
      </c>
      <c r="F60" s="94">
        <f t="shared" si="10"/>
        <v>319800000</v>
      </c>
      <c r="G60" s="94">
        <f t="shared" si="9"/>
        <v>2679</v>
      </c>
      <c r="U60" s="94"/>
      <c r="V60" s="94"/>
    </row>
    <row r="61" spans="1:35">
      <c r="A61" t="s">
        <v>5759</v>
      </c>
      <c r="B61" s="94"/>
      <c r="C61" s="94" t="s">
        <v>5084</v>
      </c>
      <c r="D61" s="94">
        <v>235</v>
      </c>
      <c r="E61" s="94">
        <v>1</v>
      </c>
      <c r="F61" s="94">
        <f t="shared" si="10"/>
        <v>235000000</v>
      </c>
      <c r="G61" s="94">
        <f t="shared" si="9"/>
        <v>3420</v>
      </c>
      <c r="K61" s="94"/>
      <c r="U61" s="94"/>
      <c r="V61" s="94"/>
    </row>
    <row r="62" spans="1:35">
      <c r="A62" s="94" t="s">
        <v>5760</v>
      </c>
      <c r="B62" s="94">
        <v>0.3</v>
      </c>
      <c r="C62" s="94" t="s">
        <v>5085</v>
      </c>
      <c r="D62" s="94">
        <v>500</v>
      </c>
      <c r="E62" s="94">
        <v>0.6</v>
      </c>
      <c r="F62" s="94">
        <f t="shared" si="10"/>
        <v>300000000</v>
      </c>
      <c r="G62" s="94">
        <f t="shared" si="9"/>
        <v>10294.200000000001</v>
      </c>
      <c r="H62">
        <v>1</v>
      </c>
      <c r="K62" s="418"/>
      <c r="L62" t="s">
        <v>25</v>
      </c>
      <c r="U62" s="94"/>
      <c r="V62" s="94"/>
    </row>
    <row r="63" spans="1:35">
      <c r="A63" s="94" t="s">
        <v>5289</v>
      </c>
      <c r="B63" s="18">
        <v>36000000000000</v>
      </c>
      <c r="C63" s="94" t="s">
        <v>5086</v>
      </c>
      <c r="D63" s="94">
        <v>903</v>
      </c>
      <c r="E63" s="94">
        <v>1</v>
      </c>
      <c r="F63" s="94">
        <f t="shared" si="10"/>
        <v>903000000</v>
      </c>
      <c r="G63" s="94">
        <f t="shared" si="9"/>
        <v>0</v>
      </c>
      <c r="K63" s="94"/>
      <c r="U63" s="94"/>
      <c r="V63" s="94"/>
    </row>
    <row r="64" spans="1:35">
      <c r="A64" s="120" t="s">
        <v>4822</v>
      </c>
      <c r="B64" s="94">
        <v>18000000000</v>
      </c>
      <c r="E64" s="94"/>
      <c r="F64" s="94">
        <f t="shared" si="10"/>
        <v>0</v>
      </c>
      <c r="G64" s="94"/>
      <c r="K64" s="94"/>
      <c r="U64" s="94"/>
      <c r="V64" s="94"/>
    </row>
    <row r="65" spans="1:22">
      <c r="A65" s="120" t="s">
        <v>5761</v>
      </c>
      <c r="B65" s="18">
        <f>B62*B63/B64</f>
        <v>600</v>
      </c>
      <c r="E65" s="94"/>
      <c r="F65" s="94"/>
      <c r="G65" s="94"/>
      <c r="K65" s="94"/>
      <c r="U65" s="94"/>
      <c r="V65" s="94"/>
    </row>
    <row r="66" spans="1:22">
      <c r="A66" s="120" t="s">
        <v>5762</v>
      </c>
      <c r="B66" s="120">
        <v>872000000</v>
      </c>
      <c r="E66" s="94"/>
      <c r="F66" s="94"/>
      <c r="U66" s="94"/>
      <c r="V66" s="94"/>
    </row>
    <row r="67" spans="1:22">
      <c r="A67" s="120" t="s">
        <v>5763</v>
      </c>
      <c r="B67" s="18">
        <v>750</v>
      </c>
      <c r="E67" s="94"/>
      <c r="F67" s="94"/>
      <c r="K67" s="94"/>
      <c r="U67" s="94"/>
      <c r="V67" s="94"/>
    </row>
    <row r="68" spans="1:22">
      <c r="A68" s="120" t="s">
        <v>5764</v>
      </c>
      <c r="B68" s="94">
        <f>B66*B67/B64</f>
        <v>36.333333333333336</v>
      </c>
      <c r="C68" s="94" t="s">
        <v>5072</v>
      </c>
      <c r="D68" s="94" t="s">
        <v>5073</v>
      </c>
      <c r="E68" s="94"/>
      <c r="F68" s="94"/>
      <c r="U68" s="94"/>
      <c r="V68" s="94"/>
    </row>
    <row r="69" spans="1:22">
      <c r="A69" s="120"/>
      <c r="B69" s="120"/>
      <c r="C69" s="94" t="s">
        <v>5079</v>
      </c>
      <c r="D69" s="94">
        <v>1000000</v>
      </c>
      <c r="E69" s="94"/>
      <c r="F69" s="94"/>
      <c r="U69" s="94"/>
      <c r="V69" s="94"/>
    </row>
    <row r="70" spans="1:22">
      <c r="A70" s="120"/>
      <c r="B70" s="18"/>
      <c r="C70" s="94" t="s">
        <v>5074</v>
      </c>
      <c r="D70" s="94" t="s">
        <v>5075</v>
      </c>
      <c r="E70" s="94"/>
      <c r="F70" s="94"/>
      <c r="M70" t="s">
        <v>25</v>
      </c>
    </row>
    <row r="71" spans="1:22">
      <c r="A71" s="120"/>
      <c r="B71" s="94"/>
      <c r="E71" s="94"/>
      <c r="F71" s="94"/>
      <c r="M71" t="s">
        <v>25</v>
      </c>
    </row>
    <row r="72" spans="1:22">
      <c r="A72" s="94"/>
      <c r="B72" s="94"/>
      <c r="E72" s="94"/>
      <c r="F72" s="94"/>
    </row>
    <row r="73" spans="1:22">
      <c r="A73" s="94"/>
      <c r="B73" s="94"/>
      <c r="E73" s="94"/>
      <c r="F73" s="94"/>
    </row>
    <row r="74" spans="1:22">
      <c r="A74" s="94"/>
      <c r="B74" s="94"/>
      <c r="E74" s="94"/>
      <c r="F74" s="94"/>
    </row>
    <row r="75" spans="1:22">
      <c r="A75" s="94"/>
      <c r="B75" s="94" t="s">
        <v>4822</v>
      </c>
      <c r="C75" s="94" t="s">
        <v>4245</v>
      </c>
      <c r="D75" s="94" t="s">
        <v>4418</v>
      </c>
      <c r="E75" s="94" t="s">
        <v>5077</v>
      </c>
      <c r="F75" s="94" t="s">
        <v>5383</v>
      </c>
      <c r="U75" t="s">
        <v>25</v>
      </c>
    </row>
    <row r="76" spans="1:22">
      <c r="A76" s="94" t="s">
        <v>4827</v>
      </c>
      <c r="B76" s="94">
        <v>6</v>
      </c>
      <c r="C76" s="94">
        <v>4125</v>
      </c>
      <c r="D76" s="94">
        <f>B76*C76</f>
        <v>24750</v>
      </c>
      <c r="E76" s="94">
        <v>3</v>
      </c>
      <c r="F76" s="94">
        <f>D76/E76</f>
        <v>8250</v>
      </c>
    </row>
    <row r="77" spans="1:22">
      <c r="A77" s="94" t="s">
        <v>4502</v>
      </c>
      <c r="B77" s="94">
        <v>9</v>
      </c>
      <c r="C77" s="94">
        <v>439</v>
      </c>
      <c r="D77" s="94">
        <f>B77*C77</f>
        <v>3951</v>
      </c>
      <c r="E77" s="94">
        <v>1.073</v>
      </c>
      <c r="F77" s="94">
        <f>D77/E77</f>
        <v>3682.1994408201308</v>
      </c>
    </row>
    <row r="78" spans="1:22">
      <c r="A78" s="94"/>
      <c r="B78" s="94"/>
      <c r="E78" s="94"/>
      <c r="F78" s="94"/>
    </row>
    <row r="79" spans="1:22">
      <c r="A79" s="94"/>
      <c r="B79" s="94"/>
      <c r="E79" s="94"/>
      <c r="F79" s="94"/>
      <c r="N79" t="s">
        <v>25</v>
      </c>
    </row>
    <row r="80" spans="1:22">
      <c r="A80" s="94"/>
      <c r="B80" s="94"/>
      <c r="E80" s="94"/>
      <c r="F80" s="94"/>
    </row>
    <row r="81" spans="1:23">
      <c r="A81" s="94"/>
      <c r="B81" s="94"/>
      <c r="E81" s="94"/>
      <c r="F81" s="94"/>
      <c r="W81" t="s">
        <v>25</v>
      </c>
    </row>
    <row r="82" spans="1:23">
      <c r="A82" s="94" t="s">
        <v>5783</v>
      </c>
      <c r="B82" s="94"/>
      <c r="E82" s="94"/>
      <c r="F82" s="94"/>
    </row>
    <row r="83" spans="1:23">
      <c r="A83" s="94" t="s">
        <v>5775</v>
      </c>
      <c r="B83" s="94"/>
      <c r="E83" s="94"/>
      <c r="F83" s="94"/>
    </row>
    <row r="84" spans="1:23">
      <c r="A84" s="94" t="s">
        <v>5776</v>
      </c>
      <c r="B84" s="94"/>
      <c r="E84" s="94"/>
      <c r="F84" s="94"/>
    </row>
    <row r="85" spans="1:23">
      <c r="A85" t="s">
        <v>5784</v>
      </c>
      <c r="B85" s="94"/>
      <c r="E85" s="94"/>
      <c r="F85" s="94"/>
    </row>
    <row r="86" spans="1:23">
      <c r="A86" t="s">
        <v>5480</v>
      </c>
      <c r="B86" s="94"/>
      <c r="E86" s="94"/>
      <c r="F86" s="94"/>
    </row>
    <row r="87" spans="1:23">
      <c r="A87" s="94" t="s">
        <v>4829</v>
      </c>
      <c r="B87" s="94"/>
      <c r="E87" s="94"/>
      <c r="F87" s="94"/>
    </row>
    <row r="88" spans="1:23">
      <c r="A88" s="94" t="s">
        <v>4828</v>
      </c>
      <c r="B88" s="94"/>
      <c r="E88" s="94"/>
      <c r="F88" s="94"/>
    </row>
    <row r="89" spans="1:23">
      <c r="A89" s="94" t="s">
        <v>5778</v>
      </c>
      <c r="B89" s="94"/>
      <c r="C89" s="94" t="s">
        <v>25</v>
      </c>
      <c r="E89" s="94"/>
      <c r="F89" s="94"/>
    </row>
    <row r="90" spans="1:23">
      <c r="A90" s="94" t="s">
        <v>5779</v>
      </c>
      <c r="B90" s="94"/>
      <c r="E90" s="94"/>
      <c r="F90" s="94"/>
    </row>
    <row r="91" spans="1:23">
      <c r="A91" t="s">
        <v>5795</v>
      </c>
      <c r="B91" s="94"/>
      <c r="E91" s="94"/>
      <c r="F91" s="94"/>
    </row>
    <row r="92" spans="1:23">
      <c r="A92" t="s">
        <v>4475</v>
      </c>
      <c r="B92" s="94"/>
      <c r="E92" s="94"/>
      <c r="F92" s="94"/>
    </row>
    <row r="93" spans="1:23">
      <c r="A93" s="94" t="s">
        <v>4502</v>
      </c>
      <c r="B93" s="94"/>
      <c r="E93" s="94"/>
      <c r="F93" s="94"/>
    </row>
    <row r="94" spans="1:23">
      <c r="A94" s="94"/>
      <c r="B94" s="94"/>
      <c r="C94" s="94" t="s">
        <v>25</v>
      </c>
      <c r="E94" s="94"/>
      <c r="F94" s="94"/>
      <c r="K94" t="s">
        <v>25</v>
      </c>
      <c r="M94" t="s">
        <v>25</v>
      </c>
    </row>
    <row r="95" spans="1:23">
      <c r="B95" s="94"/>
      <c r="E95" s="94"/>
      <c r="F95" s="94"/>
      <c r="W95" t="s">
        <v>25</v>
      </c>
    </row>
    <row r="96" spans="1:23">
      <c r="A96" s="94" t="s">
        <v>5777</v>
      </c>
      <c r="B96" s="94"/>
      <c r="E96" s="94"/>
      <c r="F96" s="94"/>
    </row>
    <row r="97" spans="1:28">
      <c r="A97" s="94" t="s">
        <v>5259</v>
      </c>
      <c r="B97" s="94"/>
      <c r="E97" s="94"/>
      <c r="F97" s="94"/>
    </row>
    <row r="98" spans="1:28">
      <c r="A98" s="94" t="s">
        <v>5268</v>
      </c>
      <c r="B98" s="94"/>
      <c r="E98" s="94"/>
      <c r="F98" s="94"/>
    </row>
    <row r="99" spans="1:28">
      <c r="A99" s="94" t="s">
        <v>5788</v>
      </c>
      <c r="B99" s="94"/>
      <c r="E99" s="94"/>
      <c r="F99" s="94"/>
      <c r="AB99" t="s">
        <v>25</v>
      </c>
    </row>
    <row r="100" spans="1:28">
      <c r="A100" s="94" t="s">
        <v>5273</v>
      </c>
      <c r="B100" s="94"/>
      <c r="E100" s="94"/>
      <c r="F100" s="94"/>
    </row>
    <row r="101" spans="1:28">
      <c r="A101" s="94" t="s">
        <v>5789</v>
      </c>
      <c r="B101" s="94"/>
      <c r="E101" s="94"/>
      <c r="F101" s="94"/>
      <c r="M101" t="s">
        <v>25</v>
      </c>
    </row>
    <row r="102" spans="1:28">
      <c r="A102" s="94" t="s">
        <v>5790</v>
      </c>
      <c r="B102" s="94"/>
      <c r="E102" s="94"/>
      <c r="F102" s="94"/>
    </row>
    <row r="103" spans="1:28">
      <c r="A103" s="94" t="s">
        <v>5791</v>
      </c>
      <c r="B103" s="94"/>
      <c r="E103" s="94"/>
      <c r="F103" s="94"/>
    </row>
    <row r="104" spans="1:28">
      <c r="A104" s="94" t="s">
        <v>4477</v>
      </c>
      <c r="B104" s="94"/>
      <c r="E104" s="94"/>
      <c r="F104" s="94"/>
    </row>
    <row r="105" spans="1:28">
      <c r="A105" s="94" t="s">
        <v>4553</v>
      </c>
      <c r="B105" s="94" t="s">
        <v>25</v>
      </c>
      <c r="E105" s="94"/>
      <c r="F105" s="94"/>
      <c r="U105" t="s">
        <v>25</v>
      </c>
    </row>
    <row r="106" spans="1:28">
      <c r="A106" s="94" t="s">
        <v>4707</v>
      </c>
      <c r="B106" s="94"/>
      <c r="E106" s="94"/>
      <c r="F106" s="94"/>
      <c r="L106" s="112"/>
    </row>
    <row r="107" spans="1:28">
      <c r="A107" s="94" t="s">
        <v>4651</v>
      </c>
      <c r="B107" s="94"/>
      <c r="E107" s="94"/>
      <c r="F107" s="94"/>
    </row>
    <row r="108" spans="1:28">
      <c r="A108" s="94"/>
      <c r="B108" s="94"/>
      <c r="E108" s="94"/>
      <c r="F108" s="94"/>
      <c r="M108" t="s">
        <v>25</v>
      </c>
    </row>
    <row r="109" spans="1:28">
      <c r="A109" s="94"/>
      <c r="B109" s="94"/>
      <c r="E109" s="94"/>
      <c r="F109" s="94"/>
    </row>
    <row r="110" spans="1:28">
      <c r="B110" s="94"/>
      <c r="E110" s="94"/>
      <c r="F110" s="94"/>
      <c r="V110" t="s">
        <v>25</v>
      </c>
    </row>
    <row r="111" spans="1:28">
      <c r="A111" s="94" t="s">
        <v>5782</v>
      </c>
      <c r="E111" s="94"/>
      <c r="F111" s="94"/>
    </row>
    <row r="112" spans="1:28">
      <c r="A112" s="94" t="s">
        <v>5780</v>
      </c>
      <c r="E112" s="94"/>
      <c r="F112" s="94"/>
      <c r="V112" t="s">
        <v>25</v>
      </c>
    </row>
    <row r="113" spans="1:25">
      <c r="A113" s="94" t="s">
        <v>5781</v>
      </c>
      <c r="E113" s="94"/>
      <c r="F113" s="94"/>
    </row>
    <row r="114" spans="1:25">
      <c r="A114" s="94" t="s">
        <v>5792</v>
      </c>
      <c r="E114" s="94"/>
      <c r="F114" s="94"/>
    </row>
    <row r="115" spans="1:25">
      <c r="A115" s="94" t="s">
        <v>5793</v>
      </c>
      <c r="E115" s="94"/>
      <c r="F115" s="94"/>
      <c r="Y115" t="s">
        <v>25</v>
      </c>
    </row>
    <row r="116" spans="1:25">
      <c r="A116" s="94" t="s">
        <v>5794</v>
      </c>
    </row>
    <row r="117" spans="1:25">
      <c r="A117" s="94"/>
    </row>
    <row r="118" spans="1:25">
      <c r="A118" s="94" t="s">
        <v>5785</v>
      </c>
    </row>
    <row r="119" spans="1:25">
      <c r="A119" t="s">
        <v>5786</v>
      </c>
      <c r="L119" s="94"/>
      <c r="M119" s="94"/>
    </row>
    <row r="120" spans="1:25">
      <c r="A120" s="94" t="s">
        <v>5787</v>
      </c>
      <c r="G120" s="94"/>
      <c r="H120" s="94"/>
      <c r="I120" s="94"/>
      <c r="J120" s="94"/>
      <c r="L120" s="94"/>
      <c r="M120" s="94"/>
    </row>
    <row r="121" spans="1:25">
      <c r="A121" s="94"/>
      <c r="B121" s="94"/>
      <c r="E121" s="94"/>
      <c r="F121" s="94"/>
      <c r="G121" s="94"/>
      <c r="H121" s="94"/>
      <c r="I121" s="94"/>
      <c r="J121" s="94"/>
    </row>
    <row r="122" spans="1:25">
      <c r="A122" s="94"/>
      <c r="B122" s="94"/>
      <c r="E122" s="94"/>
      <c r="F122" s="94"/>
      <c r="N122" t="s">
        <v>25</v>
      </c>
    </row>
    <row r="123" spans="1:25">
      <c r="G123" s="408"/>
      <c r="H123" s="408"/>
      <c r="I123" s="408"/>
      <c r="J123" s="408"/>
    </row>
    <row r="124" spans="1:25">
      <c r="A124" s="407" t="s">
        <v>4245</v>
      </c>
      <c r="B124" s="407">
        <v>17800</v>
      </c>
      <c r="C124" s="408"/>
      <c r="D124" s="408"/>
      <c r="E124" s="408"/>
      <c r="F124" s="408"/>
      <c r="G124" s="408"/>
      <c r="H124" s="408"/>
      <c r="I124" s="408"/>
      <c r="J124" s="408"/>
    </row>
    <row r="125" spans="1:25">
      <c r="A125" s="407" t="s">
        <v>6847</v>
      </c>
      <c r="B125" s="407">
        <v>4000</v>
      </c>
      <c r="C125" s="408"/>
      <c r="D125" s="408"/>
      <c r="E125" s="408"/>
      <c r="F125" s="408"/>
      <c r="G125" s="408"/>
      <c r="H125" s="408"/>
      <c r="I125" s="408"/>
      <c r="J125" s="408"/>
    </row>
    <row r="126" spans="1:25" ht="30">
      <c r="A126" s="407" t="s">
        <v>6846</v>
      </c>
      <c r="B126" s="407">
        <v>2134</v>
      </c>
      <c r="C126" s="408"/>
      <c r="D126" s="408"/>
      <c r="E126" s="408"/>
      <c r="F126" s="408"/>
      <c r="G126" s="409" t="s">
        <v>6843</v>
      </c>
      <c r="H126" s="412" t="s">
        <v>6844</v>
      </c>
      <c r="I126" s="410" t="s">
        <v>6845</v>
      </c>
      <c r="J126" s="410" t="s">
        <v>6848</v>
      </c>
    </row>
    <row r="127" spans="1:25" ht="15.75">
      <c r="A127" s="409"/>
      <c r="B127" s="407" t="s">
        <v>6841</v>
      </c>
      <c r="C127" s="407" t="s">
        <v>4827</v>
      </c>
      <c r="D127" s="407" t="s">
        <v>5834</v>
      </c>
      <c r="E127" s="409" t="s">
        <v>4216</v>
      </c>
      <c r="F127" s="409" t="s">
        <v>6842</v>
      </c>
      <c r="G127" s="411"/>
      <c r="H127" s="411"/>
      <c r="I127" s="411"/>
      <c r="J127" s="411"/>
    </row>
    <row r="128" spans="1:25" ht="15.75">
      <c r="A128" s="407" t="s">
        <v>4827</v>
      </c>
      <c r="B128" s="411">
        <v>6000000000</v>
      </c>
      <c r="C128" s="411">
        <v>0</v>
      </c>
      <c r="D128" s="411">
        <v>0</v>
      </c>
      <c r="E128" s="411">
        <v>0</v>
      </c>
      <c r="F128" s="411"/>
      <c r="G128" s="411">
        <f>F129*$B$124</f>
        <v>73465346565800</v>
      </c>
      <c r="H128" s="411">
        <f>G128/B129</f>
        <v>1813.9591744641975</v>
      </c>
      <c r="I128" s="411">
        <f>F129*$B$126/B129</f>
        <v>217.47128529812346</v>
      </c>
      <c r="J128" s="411">
        <f>F129*$B$125/B129</f>
        <v>407.63127516049383</v>
      </c>
    </row>
    <row r="129" spans="1:23" ht="15.75">
      <c r="A129" s="407" t="s">
        <v>5834</v>
      </c>
      <c r="B129" s="411">
        <v>40500000000</v>
      </c>
      <c r="C129" s="411">
        <v>4127266661</v>
      </c>
      <c r="D129" s="411">
        <v>0</v>
      </c>
      <c r="E129" s="411">
        <v>0</v>
      </c>
      <c r="F129" s="411">
        <f>C129</f>
        <v>4127266661</v>
      </c>
      <c r="G129" s="411">
        <f>F130*$B$124</f>
        <v>49884019697765.43</v>
      </c>
      <c r="H129" s="411">
        <f>G129/B130</f>
        <v>692.83360691340874</v>
      </c>
      <c r="I129" s="411">
        <f>F130*$B$126/B130</f>
        <v>83.06218635692214</v>
      </c>
      <c r="J129" s="411">
        <f>F130*$B$125/B130</f>
        <v>155.69294537379972</v>
      </c>
    </row>
    <row r="130" spans="1:23" ht="15.75">
      <c r="A130" s="407" t="s">
        <v>4216</v>
      </c>
      <c r="B130" s="411">
        <v>72000000000</v>
      </c>
      <c r="C130" s="411">
        <v>8000</v>
      </c>
      <c r="D130" s="411">
        <v>27500000000</v>
      </c>
      <c r="E130" s="411">
        <v>0</v>
      </c>
      <c r="F130" s="411">
        <f>C130+(D130/B129)*F129</f>
        <v>2802473016.728395</v>
      </c>
      <c r="G130" s="411">
        <f>F131*$B$124</f>
        <v>2127959166161.2981</v>
      </c>
      <c r="H130" s="411">
        <f>G130/B131</f>
        <v>177.3299305134415</v>
      </c>
      <c r="I130" s="411">
        <f>F131*$B$126/B131</f>
        <v>21.259666950319335</v>
      </c>
      <c r="J130" s="411">
        <f>F131*$B$125/B131</f>
        <v>39.849422587290228</v>
      </c>
    </row>
    <row r="131" spans="1:23" ht="15.75">
      <c r="A131" s="407" t="s">
        <v>4651</v>
      </c>
      <c r="B131" s="411">
        <v>12000000000</v>
      </c>
      <c r="C131" s="411">
        <v>84902942</v>
      </c>
      <c r="D131" s="411">
        <v>296603601</v>
      </c>
      <c r="E131" s="411">
        <v>113533718</v>
      </c>
      <c r="F131" s="411">
        <f>C131+(D131/B129)*F129+(E131/B130)*F130</f>
        <v>119548267.76187068</v>
      </c>
      <c r="G131" s="411">
        <f>F132*$B$124</f>
        <v>2325261683893.3311</v>
      </c>
      <c r="H131" s="411">
        <f>G131/B132</f>
        <v>77.508722796444374</v>
      </c>
      <c r="I131" s="411">
        <f>F132*$B$126/B132</f>
        <v>9.2923378903152969</v>
      </c>
      <c r="J131" s="411">
        <f>F132*$B$125/B132</f>
        <v>17.417690516054915</v>
      </c>
      <c r="W131" t="s">
        <v>25</v>
      </c>
    </row>
    <row r="132" spans="1:23" ht="15.75">
      <c r="A132" s="407" t="s">
        <v>5259</v>
      </c>
      <c r="B132" s="411">
        <v>30000000000</v>
      </c>
      <c r="C132" s="411">
        <v>0</v>
      </c>
      <c r="D132" s="411">
        <v>0</v>
      </c>
      <c r="E132" s="411">
        <v>3356161798</v>
      </c>
      <c r="F132" s="411">
        <f>(E132/B130)*F130</f>
        <v>130632678.87041186</v>
      </c>
    </row>
    <row r="133" spans="1:23">
      <c r="K133" s="94"/>
    </row>
    <row r="134" spans="1:23">
      <c r="K134" s="94"/>
    </row>
    <row r="140" spans="1:23">
      <c r="V140" t="s">
        <v>25</v>
      </c>
    </row>
    <row r="143" spans="1:23">
      <c r="V143" t="s">
        <v>25</v>
      </c>
    </row>
    <row r="148" spans="23:25">
      <c r="W148" t="s">
        <v>25</v>
      </c>
    </row>
    <row r="151" spans="23:25">
      <c r="Y151" t="s">
        <v>25</v>
      </c>
    </row>
    <row r="154" spans="23:25">
      <c r="X154" t="s">
        <v>25</v>
      </c>
      <c r="Y154" t="s">
        <v>25</v>
      </c>
    </row>
    <row r="158" spans="23:25">
      <c r="Y158" t="s">
        <v>25</v>
      </c>
    </row>
    <row r="161" spans="16:25">
      <c r="X161" t="s">
        <v>25</v>
      </c>
    </row>
    <row r="163" spans="16:25">
      <c r="Y163" t="s">
        <v>25</v>
      </c>
    </row>
    <row r="166" spans="16:25">
      <c r="X166" t="s">
        <v>25</v>
      </c>
    </row>
    <row r="174" spans="16:25">
      <c r="U174" t="s">
        <v>25</v>
      </c>
    </row>
    <row r="176" spans="16:25">
      <c r="P176" s="94"/>
    </row>
    <row r="177" spans="15:21">
      <c r="S177" t="s">
        <v>25</v>
      </c>
    </row>
    <row r="178" spans="15:21">
      <c r="Q178" t="s">
        <v>25</v>
      </c>
      <c r="R178" t="s">
        <v>25</v>
      </c>
    </row>
    <row r="179" spans="15:21">
      <c r="O179" t="s">
        <v>25</v>
      </c>
      <c r="R179" t="s">
        <v>25</v>
      </c>
    </row>
    <row r="180" spans="15:21">
      <c r="P180" t="s">
        <v>25</v>
      </c>
      <c r="R180" t="s">
        <v>25</v>
      </c>
    </row>
    <row r="181" spans="15:21">
      <c r="R181" t="s">
        <v>25</v>
      </c>
      <c r="U181" s="94"/>
    </row>
    <row r="182" spans="15:21">
      <c r="O182" t="s">
        <v>25</v>
      </c>
      <c r="U182" s="94"/>
    </row>
    <row r="183" spans="15:21">
      <c r="T183" t="s">
        <v>25</v>
      </c>
      <c r="U183" s="94"/>
    </row>
    <row r="184" spans="15:21">
      <c r="R184" t="s">
        <v>25</v>
      </c>
      <c r="U184" s="94"/>
    </row>
    <row r="185" spans="15:21">
      <c r="U185" s="94"/>
    </row>
    <row r="187" spans="15:21">
      <c r="Q187" s="94"/>
      <c r="R187" s="94"/>
    </row>
    <row r="188" spans="15:21">
      <c r="Q188" s="94"/>
      <c r="R188" s="94"/>
    </row>
    <row r="189" spans="15:21">
      <c r="Q189" s="94"/>
      <c r="R189" s="94"/>
      <c r="S189" s="94"/>
      <c r="T189" s="94"/>
    </row>
    <row r="190" spans="15:21">
      <c r="S190" s="94"/>
      <c r="T190" s="94"/>
    </row>
    <row r="191" spans="15:21">
      <c r="S191" s="94"/>
      <c r="T191" s="94"/>
    </row>
    <row r="192" spans="15:21">
      <c r="S192" s="94"/>
      <c r="T192" s="94"/>
    </row>
    <row r="193" spans="17:20">
      <c r="S193" s="94"/>
      <c r="T193" s="94"/>
    </row>
    <row r="200" spans="17:20">
      <c r="Q200" t="s">
        <v>25</v>
      </c>
    </row>
  </sheetData>
  <pageMargins left="0.7" right="0.7" top="0.75" bottom="0.75" header="0.3" footer="0.3"/>
  <pageSetup orientation="portrait" horizontalDpi="1200" verticalDpi="1200" r:id="rId1"/>
  <ignoredErrors>
    <ignoredError sqref="K50 H4" formula="1"/>
  </ignoredError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3623</v>
      </c>
      <c r="B1" s="97" t="s">
        <v>180</v>
      </c>
      <c r="C1" s="97" t="s">
        <v>267</v>
      </c>
      <c r="D1" s="97" t="s">
        <v>5264</v>
      </c>
      <c r="E1" s="97"/>
      <c r="F1" s="97"/>
      <c r="G1" s="97"/>
      <c r="H1" s="97"/>
      <c r="I1" s="97"/>
    </row>
    <row r="2" spans="1:15">
      <c r="A2" s="97">
        <v>1</v>
      </c>
      <c r="B2" s="97" t="s">
        <v>5174</v>
      </c>
      <c r="C2" s="93">
        <v>28500</v>
      </c>
      <c r="D2" s="97" t="s">
        <v>5267</v>
      </c>
      <c r="E2" s="97"/>
      <c r="F2" s="97"/>
      <c r="G2" s="97"/>
      <c r="H2" s="97"/>
      <c r="I2" s="97"/>
    </row>
    <row r="3" spans="1:15">
      <c r="A3" s="97">
        <v>2</v>
      </c>
      <c r="B3" s="97" t="s">
        <v>5201</v>
      </c>
      <c r="C3" s="93">
        <v>180200</v>
      </c>
      <c r="D3" s="97" t="s">
        <v>5266</v>
      </c>
      <c r="E3" s="97"/>
      <c r="F3" s="97"/>
      <c r="G3" s="97"/>
      <c r="H3" s="97"/>
      <c r="I3" s="97"/>
    </row>
    <row r="4" spans="1:15">
      <c r="A4" s="97">
        <v>3</v>
      </c>
      <c r="B4" s="97" t="s">
        <v>5260</v>
      </c>
      <c r="C4" s="93">
        <v>187000</v>
      </c>
      <c r="D4" s="97" t="s">
        <v>5265</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1069</v>
      </c>
      <c r="B1" s="97"/>
      <c r="C1" s="97"/>
      <c r="D1" s="97"/>
      <c r="E1" s="97"/>
      <c r="F1" s="97"/>
      <c r="G1" s="97"/>
      <c r="H1" s="97"/>
    </row>
    <row r="2" spans="1:8">
      <c r="A2" s="97"/>
      <c r="B2" s="97"/>
      <c r="C2" s="97" t="s">
        <v>920</v>
      </c>
      <c r="D2" s="97" t="s">
        <v>923</v>
      </c>
      <c r="E2" s="97" t="s">
        <v>5364</v>
      </c>
      <c r="F2" s="67" t="s">
        <v>1218</v>
      </c>
      <c r="G2" s="67" t="s">
        <v>924</v>
      </c>
      <c r="H2" s="67" t="s">
        <v>5381</v>
      </c>
    </row>
    <row r="3" spans="1:8">
      <c r="A3" s="97"/>
      <c r="B3" s="97" t="s">
        <v>4358</v>
      </c>
      <c r="C3" s="97">
        <v>874</v>
      </c>
      <c r="D3" s="115">
        <v>6337102</v>
      </c>
      <c r="E3" s="115">
        <f>D3/C3</f>
        <v>7250.6887871853551</v>
      </c>
      <c r="F3" s="115">
        <f>E3*1.01</f>
        <v>7323.195675057209</v>
      </c>
      <c r="G3" s="97">
        <f>'برنامه 5 ساله'!P55</f>
        <v>19445</v>
      </c>
      <c r="H3" s="115">
        <f>C3*G3</f>
        <v>16994930</v>
      </c>
    </row>
    <row r="4" spans="1:8">
      <c r="A4" s="97"/>
      <c r="B4" s="97" t="s">
        <v>4216</v>
      </c>
      <c r="C4" s="97">
        <v>295000</v>
      </c>
      <c r="D4" s="115">
        <v>148594302</v>
      </c>
      <c r="E4" s="115">
        <f>D4/C4</f>
        <v>503.70949830508476</v>
      </c>
      <c r="F4" s="115">
        <f>E4*1.01</f>
        <v>508.74659328813561</v>
      </c>
      <c r="G4" s="97">
        <f>'برنامه 5 ساله'!P40</f>
        <v>1500</v>
      </c>
      <c r="H4" s="115">
        <f>C4*G4</f>
        <v>442500000</v>
      </c>
    </row>
    <row r="5" spans="1:8">
      <c r="A5" s="97"/>
      <c r="B5" s="97" t="s">
        <v>4371</v>
      </c>
      <c r="C5" s="97">
        <v>2850</v>
      </c>
      <c r="D5" s="115">
        <v>4015726</v>
      </c>
      <c r="E5" s="115">
        <f>D5/C5</f>
        <v>1409.0266666666666</v>
      </c>
      <c r="F5" s="115">
        <f>E5*1.01</f>
        <v>1423.1169333333332</v>
      </c>
      <c r="G5" s="97">
        <v>2600</v>
      </c>
      <c r="H5" s="115">
        <f>C5*G5</f>
        <v>7410000</v>
      </c>
    </row>
    <row r="6" spans="1:8">
      <c r="A6" s="97" t="s">
        <v>5363</v>
      </c>
      <c r="B6" s="97" t="s">
        <v>5273</v>
      </c>
      <c r="C6" s="97">
        <v>0</v>
      </c>
      <c r="D6" s="115">
        <v>683292</v>
      </c>
      <c r="E6" s="115"/>
      <c r="F6" s="115"/>
      <c r="G6" s="97">
        <v>870</v>
      </c>
      <c r="H6" s="115">
        <f>D6</f>
        <v>683292</v>
      </c>
    </row>
    <row r="7" spans="1:8">
      <c r="A7" s="97" t="s">
        <v>5363</v>
      </c>
      <c r="B7" s="97" t="s">
        <v>4508</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467859191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1218</v>
      </c>
      <c r="G16" s="97" t="s">
        <v>924</v>
      </c>
      <c r="H16" s="67" t="s">
        <v>5381</v>
      </c>
    </row>
    <row r="17" spans="1:8">
      <c r="A17" s="97"/>
      <c r="B17" s="97" t="s">
        <v>4358</v>
      </c>
      <c r="C17" s="97">
        <v>4279</v>
      </c>
      <c r="D17" s="115">
        <v>32796123</v>
      </c>
      <c r="E17" s="115">
        <f>D17/C17</f>
        <v>7664.436316896471</v>
      </c>
      <c r="F17" s="115">
        <f>E17*1.01</f>
        <v>7741.0806800654354</v>
      </c>
      <c r="G17" s="97">
        <f>G3</f>
        <v>19445</v>
      </c>
      <c r="H17" s="115">
        <f>C17*G17</f>
        <v>83205155</v>
      </c>
    </row>
    <row r="18" spans="1:8">
      <c r="A18" s="97"/>
      <c r="B18" s="97" t="s">
        <v>4371</v>
      </c>
      <c r="C18" s="97">
        <v>70500</v>
      </c>
      <c r="D18" s="115">
        <v>100609967</v>
      </c>
      <c r="E18" s="115">
        <f>D18/C18</f>
        <v>1427.0917304964539</v>
      </c>
      <c r="F18" s="115">
        <f>E18*1.01</f>
        <v>1441.3626478014185</v>
      </c>
      <c r="G18" s="97">
        <f>G5</f>
        <v>2600</v>
      </c>
      <c r="H18" s="115">
        <f>C18*G18</f>
        <v>183300000</v>
      </c>
    </row>
    <row r="19" spans="1:8">
      <c r="A19" s="97"/>
      <c r="B19" s="97" t="s">
        <v>4216</v>
      </c>
      <c r="C19" s="97">
        <v>12936</v>
      </c>
      <c r="D19" s="115">
        <v>6322162</v>
      </c>
      <c r="E19" s="115">
        <f>D19/C19</f>
        <v>488.72619047619048</v>
      </c>
      <c r="F19" s="115">
        <f>E19*1.01</f>
        <v>493.61345238095237</v>
      </c>
      <c r="G19" s="97">
        <f>G4</f>
        <v>1500</v>
      </c>
      <c r="H19" s="115">
        <f>C19*G19</f>
        <v>19404000</v>
      </c>
    </row>
    <row r="20" spans="1:8">
      <c r="A20" s="97"/>
      <c r="B20" s="97" t="s">
        <v>5273</v>
      </c>
      <c r="C20" s="97">
        <v>4687</v>
      </c>
      <c r="D20" s="115">
        <v>1911597</v>
      </c>
      <c r="E20" s="115">
        <f>D20/C20</f>
        <v>407.85086409216984</v>
      </c>
      <c r="F20" s="115">
        <f>E20*1.01</f>
        <v>411.92937273309155</v>
      </c>
      <c r="G20" s="97">
        <f>G6</f>
        <v>870</v>
      </c>
      <c r="H20" s="115">
        <f>C20*G20</f>
        <v>4077690</v>
      </c>
    </row>
    <row r="21" spans="1:8">
      <c r="A21" s="97" t="s">
        <v>5363</v>
      </c>
      <c r="B21" s="97" t="s">
        <v>4508</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290167283</v>
      </c>
    </row>
    <row r="26" spans="1:8">
      <c r="D26" t="s">
        <v>5382</v>
      </c>
      <c r="E26" s="112">
        <f>'خرید خانه'!H10+'خرید خانه'!H23-'خرید خانه'!D10-'خرید خانه'!D23</f>
        <v>456326474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45"/>
  <sheetViews>
    <sheetView topLeftCell="A108" workbookViewId="0">
      <selection activeCell="E146" sqref="E146"/>
    </sheetView>
  </sheetViews>
  <sheetFormatPr defaultRowHeight="15"/>
  <cols>
    <col min="1" max="1" width="16.140625" style="308" customWidth="1"/>
    <col min="2" max="2" width="19.28515625" style="308" customWidth="1"/>
    <col min="3" max="3" width="12.5703125" style="308" bestFit="1" customWidth="1"/>
    <col min="4" max="4" width="7" style="308" customWidth="1"/>
    <col min="5" max="5" width="18.85546875" style="308" bestFit="1" customWidth="1"/>
    <col min="6" max="6" width="27.42578125" style="308" bestFit="1" customWidth="1"/>
    <col min="7" max="16384" width="9.140625" style="308"/>
  </cols>
  <sheetData>
    <row r="1" spans="1:6">
      <c r="A1" s="308" t="s">
        <v>4895</v>
      </c>
    </row>
    <row r="2" spans="1:6">
      <c r="A2" s="205" t="s">
        <v>180</v>
      </c>
      <c r="B2" s="205" t="s">
        <v>267</v>
      </c>
      <c r="C2" s="205" t="s">
        <v>4893</v>
      </c>
      <c r="D2" s="205"/>
      <c r="E2" s="205"/>
      <c r="F2" s="205"/>
    </row>
    <row r="3" spans="1:6">
      <c r="A3" s="205" t="s">
        <v>4886</v>
      </c>
      <c r="B3" s="18">
        <v>7500000</v>
      </c>
      <c r="C3" s="205">
        <v>4</v>
      </c>
      <c r="D3" s="205">
        <f t="shared" ref="D3:D34" si="0">C3+D4</f>
        <v>1001</v>
      </c>
      <c r="E3" s="205">
        <f t="shared" ref="E3:E34" si="1">B3*D3</f>
        <v>7507500000</v>
      </c>
      <c r="F3" s="205"/>
    </row>
    <row r="4" spans="1:6">
      <c r="A4" s="205" t="s">
        <v>4892</v>
      </c>
      <c r="B4" s="18">
        <v>-500000</v>
      </c>
      <c r="C4" s="205">
        <v>7</v>
      </c>
      <c r="D4" s="205">
        <f t="shared" si="0"/>
        <v>997</v>
      </c>
      <c r="E4" s="205">
        <f t="shared" si="1"/>
        <v>-498500000</v>
      </c>
      <c r="F4" s="205"/>
    </row>
    <row r="5" spans="1:6">
      <c r="A5" s="205" t="s">
        <v>4900</v>
      </c>
      <c r="B5" s="18">
        <v>-7000000</v>
      </c>
      <c r="C5" s="205">
        <v>1</v>
      </c>
      <c r="D5" s="205">
        <f t="shared" si="0"/>
        <v>990</v>
      </c>
      <c r="E5" s="205">
        <f t="shared" si="1"/>
        <v>-6930000000</v>
      </c>
      <c r="F5" s="205"/>
    </row>
    <row r="6" spans="1:6">
      <c r="A6" s="205" t="s">
        <v>4903</v>
      </c>
      <c r="B6" s="18">
        <v>2000000</v>
      </c>
      <c r="C6" s="205">
        <v>6</v>
      </c>
      <c r="D6" s="205">
        <f t="shared" si="0"/>
        <v>989</v>
      </c>
      <c r="E6" s="205">
        <f t="shared" si="1"/>
        <v>1978000000</v>
      </c>
      <c r="F6" s="205"/>
    </row>
    <row r="7" spans="1:6">
      <c r="A7" s="205" t="s">
        <v>4915</v>
      </c>
      <c r="B7" s="18">
        <v>1000000</v>
      </c>
      <c r="C7" s="205">
        <v>3</v>
      </c>
      <c r="D7" s="205">
        <f t="shared" si="0"/>
        <v>983</v>
      </c>
      <c r="E7" s="205">
        <f t="shared" si="1"/>
        <v>983000000</v>
      </c>
      <c r="F7" s="205"/>
    </row>
    <row r="8" spans="1:6">
      <c r="A8" s="205" t="s">
        <v>4922</v>
      </c>
      <c r="B8" s="18">
        <v>200000</v>
      </c>
      <c r="C8" s="205">
        <v>3</v>
      </c>
      <c r="D8" s="205">
        <f t="shared" si="0"/>
        <v>980</v>
      </c>
      <c r="E8" s="205">
        <f t="shared" si="1"/>
        <v>196000000</v>
      </c>
      <c r="F8" s="205"/>
    </row>
    <row r="9" spans="1:6">
      <c r="A9" s="205" t="s">
        <v>4925</v>
      </c>
      <c r="B9" s="18">
        <v>-3200000</v>
      </c>
      <c r="C9" s="205">
        <v>6</v>
      </c>
      <c r="D9" s="205">
        <f t="shared" si="0"/>
        <v>977</v>
      </c>
      <c r="E9" s="205">
        <f t="shared" si="1"/>
        <v>-3126400000</v>
      </c>
      <c r="F9" s="205"/>
    </row>
    <row r="10" spans="1:6">
      <c r="A10" s="205" t="s">
        <v>4937</v>
      </c>
      <c r="B10" s="18">
        <v>6000000</v>
      </c>
      <c r="C10" s="205">
        <v>1</v>
      </c>
      <c r="D10" s="205">
        <f t="shared" si="0"/>
        <v>971</v>
      </c>
      <c r="E10" s="205">
        <f t="shared" si="1"/>
        <v>5826000000</v>
      </c>
      <c r="F10" s="205"/>
    </row>
    <row r="11" spans="1:6">
      <c r="A11" s="205" t="s">
        <v>4938</v>
      </c>
      <c r="B11" s="18">
        <v>2000000</v>
      </c>
      <c r="C11" s="205">
        <v>3</v>
      </c>
      <c r="D11" s="205">
        <f t="shared" si="0"/>
        <v>970</v>
      </c>
      <c r="E11" s="205">
        <f t="shared" si="1"/>
        <v>1940000000</v>
      </c>
      <c r="F11" s="205"/>
    </row>
    <row r="12" spans="1:6">
      <c r="A12" s="205" t="s">
        <v>4945</v>
      </c>
      <c r="B12" s="18">
        <v>-50000</v>
      </c>
      <c r="C12" s="205">
        <v>7</v>
      </c>
      <c r="D12" s="205">
        <f t="shared" si="0"/>
        <v>967</v>
      </c>
      <c r="E12" s="205">
        <f t="shared" si="1"/>
        <v>-48350000</v>
      </c>
      <c r="F12" s="205"/>
    </row>
    <row r="13" spans="1:6">
      <c r="A13" s="205" t="s">
        <v>4951</v>
      </c>
      <c r="B13" s="18">
        <v>-2480000</v>
      </c>
      <c r="C13" s="205">
        <v>5</v>
      </c>
      <c r="D13" s="205">
        <f t="shared" si="0"/>
        <v>960</v>
      </c>
      <c r="E13" s="205">
        <f t="shared" si="1"/>
        <v>-2380800000</v>
      </c>
      <c r="F13" s="205"/>
    </row>
    <row r="14" spans="1:6">
      <c r="A14" s="205" t="s">
        <v>4959</v>
      </c>
      <c r="B14" s="18">
        <v>300000</v>
      </c>
      <c r="C14" s="205">
        <v>1</v>
      </c>
      <c r="D14" s="205">
        <f t="shared" si="0"/>
        <v>955</v>
      </c>
      <c r="E14" s="205">
        <f t="shared" si="1"/>
        <v>286500000</v>
      </c>
      <c r="F14" s="205"/>
    </row>
    <row r="15" spans="1:6">
      <c r="A15" s="205" t="s">
        <v>4210</v>
      </c>
      <c r="B15" s="18">
        <v>300000</v>
      </c>
      <c r="C15" s="205">
        <v>6</v>
      </c>
      <c r="D15" s="205">
        <f t="shared" si="0"/>
        <v>954</v>
      </c>
      <c r="E15" s="205">
        <f t="shared" si="1"/>
        <v>286200000</v>
      </c>
      <c r="F15" s="205"/>
    </row>
    <row r="16" spans="1:6">
      <c r="A16" s="205" t="s">
        <v>4968</v>
      </c>
      <c r="B16" s="18">
        <v>500000</v>
      </c>
      <c r="C16" s="205">
        <v>2</v>
      </c>
      <c r="D16" s="205">
        <f t="shared" si="0"/>
        <v>948</v>
      </c>
      <c r="E16" s="205">
        <f t="shared" si="1"/>
        <v>474000000</v>
      </c>
      <c r="F16" s="205"/>
    </row>
    <row r="17" spans="1:6">
      <c r="A17" s="205" t="s">
        <v>4974</v>
      </c>
      <c r="B17" s="18">
        <v>100000</v>
      </c>
      <c r="C17" s="205">
        <v>1</v>
      </c>
      <c r="D17" s="205">
        <f t="shared" si="0"/>
        <v>946</v>
      </c>
      <c r="E17" s="205">
        <f t="shared" si="1"/>
        <v>94600000</v>
      </c>
      <c r="F17" s="205"/>
    </row>
    <row r="18" spans="1:6">
      <c r="A18" s="205" t="s">
        <v>4975</v>
      </c>
      <c r="B18" s="18">
        <v>-6423626</v>
      </c>
      <c r="C18" s="205">
        <v>1</v>
      </c>
      <c r="D18" s="205">
        <f t="shared" si="0"/>
        <v>945</v>
      </c>
      <c r="E18" s="205">
        <f t="shared" si="1"/>
        <v>-6070326570</v>
      </c>
      <c r="F18" s="205"/>
    </row>
    <row r="19" spans="1:6">
      <c r="A19" s="205" t="s">
        <v>4978</v>
      </c>
      <c r="B19" s="18">
        <v>-4592486</v>
      </c>
      <c r="C19" s="205">
        <v>0</v>
      </c>
      <c r="D19" s="205">
        <f t="shared" si="0"/>
        <v>944</v>
      </c>
      <c r="E19" s="205">
        <f t="shared" si="1"/>
        <v>-4335306784</v>
      </c>
      <c r="F19" s="205"/>
    </row>
    <row r="20" spans="1:6">
      <c r="A20" s="205" t="s">
        <v>4978</v>
      </c>
      <c r="B20" s="18">
        <v>4346112</v>
      </c>
      <c r="C20" s="205">
        <v>11</v>
      </c>
      <c r="D20" s="205">
        <f t="shared" si="0"/>
        <v>944</v>
      </c>
      <c r="E20" s="205">
        <f t="shared" si="1"/>
        <v>4102729728</v>
      </c>
      <c r="F20" s="205"/>
    </row>
    <row r="21" spans="1:6">
      <c r="A21" s="205" t="s">
        <v>4991</v>
      </c>
      <c r="B21" s="18">
        <v>1500000</v>
      </c>
      <c r="C21" s="205">
        <v>16</v>
      </c>
      <c r="D21" s="205">
        <f t="shared" si="0"/>
        <v>933</v>
      </c>
      <c r="E21" s="205">
        <f t="shared" si="1"/>
        <v>1399500000</v>
      </c>
      <c r="F21" s="205"/>
    </row>
    <row r="22" spans="1:6">
      <c r="A22" s="205" t="s">
        <v>4981</v>
      </c>
      <c r="B22" s="18">
        <v>6000000</v>
      </c>
      <c r="C22" s="205">
        <v>8</v>
      </c>
      <c r="D22" s="205">
        <f t="shared" si="0"/>
        <v>917</v>
      </c>
      <c r="E22" s="205">
        <f t="shared" si="1"/>
        <v>5502000000</v>
      </c>
      <c r="F22" s="205"/>
    </row>
    <row r="23" spans="1:6">
      <c r="A23" s="205" t="s">
        <v>5031</v>
      </c>
      <c r="B23" s="18">
        <v>-50000</v>
      </c>
      <c r="C23" s="205">
        <v>3</v>
      </c>
      <c r="D23" s="205">
        <f t="shared" si="0"/>
        <v>909</v>
      </c>
      <c r="E23" s="205">
        <f t="shared" si="1"/>
        <v>-45450000</v>
      </c>
      <c r="F23" s="205"/>
    </row>
    <row r="24" spans="1:6">
      <c r="A24" s="205" t="s">
        <v>5034</v>
      </c>
      <c r="B24" s="18">
        <v>-20000</v>
      </c>
      <c r="C24" s="205">
        <v>7</v>
      </c>
      <c r="D24" s="205">
        <f t="shared" si="0"/>
        <v>906</v>
      </c>
      <c r="E24" s="205">
        <f t="shared" si="1"/>
        <v>-18120000</v>
      </c>
      <c r="F24" s="205"/>
    </row>
    <row r="25" spans="1:6">
      <c r="A25" s="205" t="s">
        <v>4993</v>
      </c>
      <c r="B25" s="18">
        <v>6000000</v>
      </c>
      <c r="C25" s="205">
        <v>1</v>
      </c>
      <c r="D25" s="205">
        <f t="shared" si="0"/>
        <v>899</v>
      </c>
      <c r="E25" s="205">
        <f t="shared" si="1"/>
        <v>5394000000</v>
      </c>
      <c r="F25" s="205"/>
    </row>
    <row r="26" spans="1:6">
      <c r="A26" s="205" t="s">
        <v>5050</v>
      </c>
      <c r="B26" s="18">
        <v>-2302282</v>
      </c>
      <c r="C26" s="205">
        <v>6</v>
      </c>
      <c r="D26" s="205">
        <f t="shared" si="0"/>
        <v>898</v>
      </c>
      <c r="E26" s="205">
        <f t="shared" si="1"/>
        <v>-2067449236</v>
      </c>
      <c r="F26" s="205"/>
    </row>
    <row r="27" spans="1:6">
      <c r="A27" s="205" t="s">
        <v>5055</v>
      </c>
      <c r="B27" s="18">
        <v>100000</v>
      </c>
      <c r="C27" s="205">
        <v>1</v>
      </c>
      <c r="D27" s="205">
        <f t="shared" si="0"/>
        <v>892</v>
      </c>
      <c r="E27" s="205">
        <f t="shared" si="1"/>
        <v>89200000</v>
      </c>
      <c r="F27" s="205"/>
    </row>
    <row r="28" spans="1:6">
      <c r="A28" s="205" t="s">
        <v>5058</v>
      </c>
      <c r="B28" s="18">
        <v>-1727718</v>
      </c>
      <c r="C28" s="205">
        <v>2</v>
      </c>
      <c r="D28" s="205">
        <f t="shared" si="0"/>
        <v>891</v>
      </c>
      <c r="E28" s="205">
        <f t="shared" si="1"/>
        <v>-1539396738</v>
      </c>
      <c r="F28" s="205"/>
    </row>
    <row r="29" spans="1:6">
      <c r="A29" s="205" t="s">
        <v>5062</v>
      </c>
      <c r="B29" s="18">
        <v>-1000000</v>
      </c>
      <c r="C29" s="205">
        <v>0</v>
      </c>
      <c r="D29" s="205">
        <f t="shared" si="0"/>
        <v>889</v>
      </c>
      <c r="E29" s="205">
        <f t="shared" si="1"/>
        <v>-889000000</v>
      </c>
      <c r="F29" s="205"/>
    </row>
    <row r="30" spans="1:6">
      <c r="A30" s="205" t="s">
        <v>5062</v>
      </c>
      <c r="B30" s="18">
        <v>-439200</v>
      </c>
      <c r="C30" s="205">
        <v>1</v>
      </c>
      <c r="D30" s="205">
        <f t="shared" si="0"/>
        <v>889</v>
      </c>
      <c r="E30" s="205">
        <f t="shared" si="1"/>
        <v>-390448800</v>
      </c>
      <c r="F30" s="205"/>
    </row>
    <row r="31" spans="1:6">
      <c r="A31" s="205" t="s">
        <v>5065</v>
      </c>
      <c r="B31" s="18">
        <v>-3631879</v>
      </c>
      <c r="C31" s="205">
        <v>3</v>
      </c>
      <c r="D31" s="205">
        <f t="shared" si="0"/>
        <v>888</v>
      </c>
      <c r="E31" s="205">
        <f t="shared" si="1"/>
        <v>-3225108552</v>
      </c>
      <c r="F31" s="205"/>
    </row>
    <row r="32" spans="1:6">
      <c r="A32" s="205" t="s">
        <v>5090</v>
      </c>
      <c r="B32" s="18">
        <v>-2428921</v>
      </c>
      <c r="C32" s="205">
        <v>9</v>
      </c>
      <c r="D32" s="205">
        <f t="shared" si="0"/>
        <v>885</v>
      </c>
      <c r="E32" s="205">
        <f t="shared" si="1"/>
        <v>-2149595085</v>
      </c>
      <c r="F32" s="205"/>
    </row>
    <row r="33" spans="1:6">
      <c r="A33" s="205" t="s">
        <v>5109</v>
      </c>
      <c r="B33" s="18">
        <v>-500000</v>
      </c>
      <c r="C33" s="205">
        <v>1</v>
      </c>
      <c r="D33" s="205">
        <f t="shared" si="0"/>
        <v>876</v>
      </c>
      <c r="E33" s="205">
        <f t="shared" si="1"/>
        <v>-438000000</v>
      </c>
      <c r="F33" s="205"/>
    </row>
    <row r="34" spans="1:6">
      <c r="A34" s="205" t="s">
        <v>5110</v>
      </c>
      <c r="B34" s="18">
        <v>-2603</v>
      </c>
      <c r="C34" s="205">
        <v>0</v>
      </c>
      <c r="D34" s="205">
        <f t="shared" si="0"/>
        <v>875</v>
      </c>
      <c r="E34" s="205">
        <f t="shared" si="1"/>
        <v>-2277625</v>
      </c>
      <c r="F34" s="205" t="s">
        <v>5111</v>
      </c>
    </row>
    <row r="35" spans="1:6">
      <c r="A35" s="205" t="s">
        <v>5110</v>
      </c>
      <c r="B35" s="18">
        <v>-250000</v>
      </c>
      <c r="C35" s="205">
        <v>7</v>
      </c>
      <c r="D35" s="205">
        <f t="shared" ref="D35:D66" si="2">C35+D36</f>
        <v>875</v>
      </c>
      <c r="E35" s="205">
        <f t="shared" ref="E35:E66" si="3">B35*D35</f>
        <v>-218750000</v>
      </c>
      <c r="F35" s="205"/>
    </row>
    <row r="36" spans="1:6">
      <c r="A36" s="205" t="s">
        <v>4253</v>
      </c>
      <c r="B36" s="18">
        <v>185749</v>
      </c>
      <c r="C36" s="205">
        <v>5</v>
      </c>
      <c r="D36" s="205">
        <f t="shared" si="2"/>
        <v>868</v>
      </c>
      <c r="E36" s="205">
        <f t="shared" si="3"/>
        <v>161230132</v>
      </c>
      <c r="F36" s="205"/>
    </row>
    <row r="37" spans="1:6">
      <c r="A37" s="205" t="s">
        <v>5124</v>
      </c>
      <c r="B37" s="18">
        <v>300000</v>
      </c>
      <c r="C37" s="205">
        <v>3</v>
      </c>
      <c r="D37" s="205">
        <f t="shared" si="2"/>
        <v>863</v>
      </c>
      <c r="E37" s="205">
        <f t="shared" si="3"/>
        <v>258900000</v>
      </c>
      <c r="F37" s="205"/>
    </row>
    <row r="38" spans="1:6">
      <c r="A38" s="205" t="s">
        <v>5130</v>
      </c>
      <c r="B38" s="18">
        <v>-50000</v>
      </c>
      <c r="C38" s="205">
        <v>3</v>
      </c>
      <c r="D38" s="205">
        <f t="shared" si="2"/>
        <v>860</v>
      </c>
      <c r="E38" s="205">
        <f t="shared" si="3"/>
        <v>-43000000</v>
      </c>
      <c r="F38" s="205"/>
    </row>
    <row r="39" spans="1:6">
      <c r="A39" s="205" t="s">
        <v>5135</v>
      </c>
      <c r="B39" s="18">
        <v>-1683146</v>
      </c>
      <c r="C39" s="205">
        <v>10</v>
      </c>
      <c r="D39" s="205">
        <f t="shared" si="2"/>
        <v>857</v>
      </c>
      <c r="E39" s="205">
        <f t="shared" si="3"/>
        <v>-1442456122</v>
      </c>
      <c r="F39" s="205"/>
    </row>
    <row r="40" spans="1:6">
      <c r="A40" s="205" t="s">
        <v>5147</v>
      </c>
      <c r="B40" s="18">
        <v>700000</v>
      </c>
      <c r="C40" s="205">
        <v>18</v>
      </c>
      <c r="D40" s="205">
        <f t="shared" si="2"/>
        <v>847</v>
      </c>
      <c r="E40" s="205">
        <f t="shared" si="3"/>
        <v>592900000</v>
      </c>
      <c r="F40" s="205"/>
    </row>
    <row r="41" spans="1:6">
      <c r="A41" s="205" t="s">
        <v>5160</v>
      </c>
      <c r="B41" s="18">
        <v>-700000</v>
      </c>
      <c r="C41" s="205">
        <v>46</v>
      </c>
      <c r="D41" s="205">
        <f t="shared" si="2"/>
        <v>829</v>
      </c>
      <c r="E41" s="205">
        <f t="shared" si="3"/>
        <v>-580300000</v>
      </c>
      <c r="F41" s="205"/>
    </row>
    <row r="42" spans="1:6">
      <c r="A42" s="205" t="s">
        <v>5210</v>
      </c>
      <c r="B42" s="18">
        <v>1000000</v>
      </c>
      <c r="C42" s="205">
        <v>4</v>
      </c>
      <c r="D42" s="205">
        <f t="shared" si="2"/>
        <v>783</v>
      </c>
      <c r="E42" s="205">
        <f t="shared" si="3"/>
        <v>783000000</v>
      </c>
      <c r="F42" s="205"/>
    </row>
    <row r="43" spans="1:6">
      <c r="A43" s="205" t="s">
        <v>5214</v>
      </c>
      <c r="B43" s="18">
        <v>1500000</v>
      </c>
      <c r="C43" s="205">
        <v>1</v>
      </c>
      <c r="D43" s="205">
        <f t="shared" si="2"/>
        <v>779</v>
      </c>
      <c r="E43" s="205">
        <f t="shared" si="3"/>
        <v>1168500000</v>
      </c>
      <c r="F43" s="205"/>
    </row>
    <row r="44" spans="1:6">
      <c r="A44" s="205" t="s">
        <v>5215</v>
      </c>
      <c r="B44" s="18">
        <v>-1500000</v>
      </c>
      <c r="C44" s="205">
        <v>15</v>
      </c>
      <c r="D44" s="205">
        <f t="shared" si="2"/>
        <v>778</v>
      </c>
      <c r="E44" s="205">
        <f t="shared" si="3"/>
        <v>-1167000000</v>
      </c>
      <c r="F44" s="205"/>
    </row>
    <row r="45" spans="1:6">
      <c r="A45" s="205" t="s">
        <v>5238</v>
      </c>
      <c r="B45" s="18">
        <v>-100000</v>
      </c>
      <c r="C45" s="205">
        <v>5</v>
      </c>
      <c r="D45" s="205">
        <f t="shared" si="2"/>
        <v>763</v>
      </c>
      <c r="E45" s="205">
        <f t="shared" si="3"/>
        <v>-76300000</v>
      </c>
      <c r="F45" s="205"/>
    </row>
    <row r="46" spans="1:6">
      <c r="A46" s="205" t="s">
        <v>5242</v>
      </c>
      <c r="B46" s="18">
        <v>1164690</v>
      </c>
      <c r="C46" s="205">
        <v>4</v>
      </c>
      <c r="D46" s="205">
        <f t="shared" si="2"/>
        <v>758</v>
      </c>
      <c r="E46" s="205">
        <f t="shared" si="3"/>
        <v>882835020</v>
      </c>
      <c r="F46" s="205"/>
    </row>
    <row r="47" spans="1:6">
      <c r="A47" s="205" t="s">
        <v>5251</v>
      </c>
      <c r="B47" s="18">
        <v>1000000</v>
      </c>
      <c r="C47" s="205">
        <v>4</v>
      </c>
      <c r="D47" s="205">
        <f t="shared" si="2"/>
        <v>754</v>
      </c>
      <c r="E47" s="205">
        <f t="shared" si="3"/>
        <v>754000000</v>
      </c>
      <c r="F47" s="205"/>
    </row>
    <row r="48" spans="1:6">
      <c r="A48" s="205" t="s">
        <v>5256</v>
      </c>
      <c r="B48" s="18">
        <v>-264690</v>
      </c>
      <c r="C48" s="205">
        <v>7</v>
      </c>
      <c r="D48" s="205">
        <f t="shared" si="2"/>
        <v>750</v>
      </c>
      <c r="E48" s="205">
        <f t="shared" si="3"/>
        <v>-198517500</v>
      </c>
      <c r="F48" s="205"/>
    </row>
    <row r="49" spans="1:6">
      <c r="A49" s="205" t="s">
        <v>5272</v>
      </c>
      <c r="B49" s="18">
        <v>2700000</v>
      </c>
      <c r="C49" s="205">
        <v>0</v>
      </c>
      <c r="D49" s="205">
        <f t="shared" si="2"/>
        <v>743</v>
      </c>
      <c r="E49" s="205">
        <f t="shared" si="3"/>
        <v>2006100000</v>
      </c>
      <c r="F49" s="205"/>
    </row>
    <row r="50" spans="1:6">
      <c r="A50" s="205" t="s">
        <v>5272</v>
      </c>
      <c r="B50" s="18">
        <v>-1000000</v>
      </c>
      <c r="C50" s="205">
        <v>1</v>
      </c>
      <c r="D50" s="205">
        <f t="shared" si="2"/>
        <v>743</v>
      </c>
      <c r="E50" s="205">
        <f t="shared" si="3"/>
        <v>-743000000</v>
      </c>
      <c r="F50" s="205" t="s">
        <v>5274</v>
      </c>
    </row>
    <row r="51" spans="1:6">
      <c r="A51" s="205" t="s">
        <v>5276</v>
      </c>
      <c r="B51" s="18">
        <v>-75616</v>
      </c>
      <c r="C51" s="205">
        <v>2</v>
      </c>
      <c r="D51" s="205">
        <f t="shared" si="2"/>
        <v>742</v>
      </c>
      <c r="E51" s="205">
        <f t="shared" si="3"/>
        <v>-56107072</v>
      </c>
      <c r="F51" s="205" t="s">
        <v>5277</v>
      </c>
    </row>
    <row r="52" spans="1:6">
      <c r="A52" s="205" t="s">
        <v>961</v>
      </c>
      <c r="B52" s="18">
        <v>-2424384</v>
      </c>
      <c r="C52" s="205">
        <v>2</v>
      </c>
      <c r="D52" s="205">
        <f t="shared" si="2"/>
        <v>740</v>
      </c>
      <c r="E52" s="205">
        <f t="shared" si="3"/>
        <v>-1794044160</v>
      </c>
      <c r="F52" s="205"/>
    </row>
    <row r="53" spans="1:6">
      <c r="A53" s="205" t="s">
        <v>5290</v>
      </c>
      <c r="B53" s="18">
        <v>-2000000</v>
      </c>
      <c r="C53" s="205">
        <v>6</v>
      </c>
      <c r="D53" s="205">
        <f t="shared" si="2"/>
        <v>738</v>
      </c>
      <c r="E53" s="205">
        <f t="shared" si="3"/>
        <v>-1476000000</v>
      </c>
      <c r="F53" s="205"/>
    </row>
    <row r="54" spans="1:6">
      <c r="A54" s="205" t="s">
        <v>5322</v>
      </c>
      <c r="B54" s="18">
        <v>2500000</v>
      </c>
      <c r="C54" s="205">
        <v>1</v>
      </c>
      <c r="D54" s="205">
        <f t="shared" si="2"/>
        <v>732</v>
      </c>
      <c r="E54" s="205">
        <f t="shared" si="3"/>
        <v>1830000000</v>
      </c>
      <c r="F54" s="205"/>
    </row>
    <row r="55" spans="1:6">
      <c r="A55" s="205" t="s">
        <v>5325</v>
      </c>
      <c r="B55" s="18">
        <v>3000000</v>
      </c>
      <c r="C55" s="205">
        <v>3</v>
      </c>
      <c r="D55" s="205">
        <f t="shared" si="2"/>
        <v>731</v>
      </c>
      <c r="E55" s="205">
        <f t="shared" si="3"/>
        <v>2193000000</v>
      </c>
      <c r="F55" s="205"/>
    </row>
    <row r="56" spans="1:6">
      <c r="A56" s="205" t="s">
        <v>5331</v>
      </c>
      <c r="B56" s="18">
        <v>-300000</v>
      </c>
      <c r="C56" s="205">
        <v>5</v>
      </c>
      <c r="D56" s="205">
        <f t="shared" si="2"/>
        <v>728</v>
      </c>
      <c r="E56" s="205">
        <f t="shared" si="3"/>
        <v>-218400000</v>
      </c>
      <c r="F56" s="205"/>
    </row>
    <row r="57" spans="1:6">
      <c r="A57" s="205" t="s">
        <v>5342</v>
      </c>
      <c r="B57" s="18">
        <v>500000</v>
      </c>
      <c r="C57" s="205">
        <v>1</v>
      </c>
      <c r="D57" s="205">
        <f t="shared" si="2"/>
        <v>723</v>
      </c>
      <c r="E57" s="205">
        <f t="shared" si="3"/>
        <v>361500000</v>
      </c>
      <c r="F57" s="205"/>
    </row>
    <row r="58" spans="1:6">
      <c r="A58" s="205" t="s">
        <v>5344</v>
      </c>
      <c r="B58" s="18">
        <v>1000000</v>
      </c>
      <c r="C58" s="205">
        <v>5</v>
      </c>
      <c r="D58" s="205">
        <f t="shared" si="2"/>
        <v>722</v>
      </c>
      <c r="E58" s="205">
        <f t="shared" si="3"/>
        <v>722000000</v>
      </c>
      <c r="F58" s="205"/>
    </row>
    <row r="59" spans="1:6">
      <c r="A59" s="205" t="s">
        <v>5349</v>
      </c>
      <c r="B59" s="18">
        <v>-2700000</v>
      </c>
      <c r="C59" s="205">
        <v>1</v>
      </c>
      <c r="D59" s="205">
        <f t="shared" si="2"/>
        <v>717</v>
      </c>
      <c r="E59" s="205">
        <f t="shared" si="3"/>
        <v>-1935900000</v>
      </c>
      <c r="F59" s="205"/>
    </row>
    <row r="60" spans="1:6">
      <c r="A60" s="205" t="s">
        <v>5350</v>
      </c>
      <c r="B60" s="18">
        <v>-3600000</v>
      </c>
      <c r="C60" s="205">
        <v>1</v>
      </c>
      <c r="D60" s="205">
        <f t="shared" si="2"/>
        <v>716</v>
      </c>
      <c r="E60" s="205">
        <f t="shared" si="3"/>
        <v>-2577600000</v>
      </c>
      <c r="F60" s="205"/>
    </row>
    <row r="61" spans="1:6">
      <c r="A61" s="205" t="s">
        <v>985</v>
      </c>
      <c r="B61" s="18">
        <v>-400000</v>
      </c>
      <c r="C61" s="205">
        <v>17</v>
      </c>
      <c r="D61" s="205">
        <f t="shared" si="2"/>
        <v>715</v>
      </c>
      <c r="E61" s="205">
        <f t="shared" si="3"/>
        <v>-286000000</v>
      </c>
      <c r="F61" s="205"/>
    </row>
    <row r="62" spans="1:6">
      <c r="A62" s="205" t="s">
        <v>5370</v>
      </c>
      <c r="B62" s="18">
        <v>1000000</v>
      </c>
      <c r="C62" s="205">
        <v>20</v>
      </c>
      <c r="D62" s="205">
        <f t="shared" si="2"/>
        <v>698</v>
      </c>
      <c r="E62" s="205">
        <f t="shared" si="3"/>
        <v>698000000</v>
      </c>
      <c r="F62" s="205"/>
    </row>
    <row r="63" spans="1:6">
      <c r="A63" s="205" t="s">
        <v>5389</v>
      </c>
      <c r="B63" s="18">
        <v>-1000000</v>
      </c>
      <c r="C63" s="205">
        <v>25</v>
      </c>
      <c r="D63" s="205">
        <f t="shared" si="2"/>
        <v>678</v>
      </c>
      <c r="E63" s="205">
        <f t="shared" si="3"/>
        <v>-678000000</v>
      </c>
      <c r="F63" s="205"/>
    </row>
    <row r="64" spans="1:6">
      <c r="A64" s="205" t="s">
        <v>5418</v>
      </c>
      <c r="B64" s="18">
        <v>300000</v>
      </c>
      <c r="C64" s="205">
        <v>3</v>
      </c>
      <c r="D64" s="205">
        <f t="shared" si="2"/>
        <v>653</v>
      </c>
      <c r="E64" s="205">
        <f t="shared" si="3"/>
        <v>195900000</v>
      </c>
      <c r="F64" s="205"/>
    </row>
    <row r="65" spans="1:6">
      <c r="A65" s="205" t="s">
        <v>5423</v>
      </c>
      <c r="B65" s="18">
        <v>-300000</v>
      </c>
      <c r="C65" s="205">
        <v>9</v>
      </c>
      <c r="D65" s="205">
        <f t="shared" si="2"/>
        <v>650</v>
      </c>
      <c r="E65" s="205">
        <f t="shared" si="3"/>
        <v>-195000000</v>
      </c>
      <c r="F65" s="205"/>
    </row>
    <row r="66" spans="1:6">
      <c r="A66" s="205" t="s">
        <v>5438</v>
      </c>
      <c r="B66" s="18">
        <v>1000000</v>
      </c>
      <c r="C66" s="205">
        <v>24</v>
      </c>
      <c r="D66" s="205">
        <f t="shared" si="2"/>
        <v>641</v>
      </c>
      <c r="E66" s="205">
        <f t="shared" si="3"/>
        <v>641000000</v>
      </c>
      <c r="F66" s="205"/>
    </row>
    <row r="67" spans="1:6">
      <c r="A67" s="205" t="s">
        <v>5475</v>
      </c>
      <c r="B67" s="18">
        <v>-1380100</v>
      </c>
      <c r="C67" s="205">
        <v>11</v>
      </c>
      <c r="D67" s="205">
        <f t="shared" ref="D67:D98" si="4">C67+D68</f>
        <v>617</v>
      </c>
      <c r="E67" s="205">
        <f t="shared" ref="E67:E98" si="5">B67*D67</f>
        <v>-851521700</v>
      </c>
      <c r="F67" s="205"/>
    </row>
    <row r="68" spans="1:6">
      <c r="A68" s="205" t="s">
        <v>5489</v>
      </c>
      <c r="B68" s="18">
        <v>1280015</v>
      </c>
      <c r="C68" s="205">
        <v>0</v>
      </c>
      <c r="D68" s="205">
        <f t="shared" si="4"/>
        <v>606</v>
      </c>
      <c r="E68" s="205">
        <f t="shared" si="5"/>
        <v>775689090</v>
      </c>
      <c r="F68" s="205"/>
    </row>
    <row r="69" spans="1:6">
      <c r="A69" s="205" t="s">
        <v>5489</v>
      </c>
      <c r="B69" s="18">
        <v>300000</v>
      </c>
      <c r="C69" s="205">
        <v>7</v>
      </c>
      <c r="D69" s="205">
        <f t="shared" si="4"/>
        <v>606</v>
      </c>
      <c r="E69" s="205">
        <f t="shared" si="5"/>
        <v>181800000</v>
      </c>
      <c r="F69" s="205"/>
    </row>
    <row r="70" spans="1:6">
      <c r="A70" s="205" t="s">
        <v>5496</v>
      </c>
      <c r="B70" s="18">
        <v>3000000</v>
      </c>
      <c r="C70" s="205">
        <v>3</v>
      </c>
      <c r="D70" s="205">
        <f t="shared" si="4"/>
        <v>599</v>
      </c>
      <c r="E70" s="205">
        <f t="shared" si="5"/>
        <v>1797000000</v>
      </c>
      <c r="F70" s="205"/>
    </row>
    <row r="71" spans="1:6">
      <c r="A71" s="205" t="s">
        <v>5514</v>
      </c>
      <c r="B71" s="18">
        <v>300000</v>
      </c>
      <c r="C71" s="205">
        <v>8</v>
      </c>
      <c r="D71" s="205">
        <f t="shared" si="4"/>
        <v>596</v>
      </c>
      <c r="E71" s="205">
        <f t="shared" si="5"/>
        <v>178800000</v>
      </c>
      <c r="F71" s="205"/>
    </row>
    <row r="72" spans="1:6">
      <c r="A72" s="205" t="s">
        <v>5535</v>
      </c>
      <c r="B72" s="18">
        <v>-3500000</v>
      </c>
      <c r="C72" s="205">
        <v>6</v>
      </c>
      <c r="D72" s="205">
        <f t="shared" si="4"/>
        <v>588</v>
      </c>
      <c r="E72" s="205">
        <f t="shared" si="5"/>
        <v>-2058000000</v>
      </c>
      <c r="F72" s="205"/>
    </row>
    <row r="73" spans="1:6">
      <c r="A73" s="205" t="s">
        <v>5540</v>
      </c>
      <c r="B73" s="18">
        <v>-70000</v>
      </c>
      <c r="C73" s="205">
        <v>1</v>
      </c>
      <c r="D73" s="205">
        <f t="shared" si="4"/>
        <v>582</v>
      </c>
      <c r="E73" s="205">
        <f t="shared" si="5"/>
        <v>-40740000</v>
      </c>
      <c r="F73" s="205"/>
    </row>
    <row r="74" spans="1:6">
      <c r="A74" s="205" t="s">
        <v>5544</v>
      </c>
      <c r="B74" s="18">
        <v>70085</v>
      </c>
      <c r="C74" s="205">
        <v>7</v>
      </c>
      <c r="D74" s="205">
        <f t="shared" si="4"/>
        <v>581</v>
      </c>
      <c r="E74" s="205">
        <f t="shared" si="5"/>
        <v>40719385</v>
      </c>
      <c r="F74" s="205" t="s">
        <v>5545</v>
      </c>
    </row>
    <row r="75" spans="1:6">
      <c r="A75" s="205" t="s">
        <v>5551</v>
      </c>
      <c r="B75" s="18">
        <v>-1000000</v>
      </c>
      <c r="C75" s="205">
        <v>31</v>
      </c>
      <c r="D75" s="205">
        <f t="shared" si="4"/>
        <v>574</v>
      </c>
      <c r="E75" s="205">
        <f t="shared" si="5"/>
        <v>-574000000</v>
      </c>
      <c r="F75" s="205"/>
    </row>
    <row r="76" spans="1:6">
      <c r="A76" s="205" t="s">
        <v>5579</v>
      </c>
      <c r="B76" s="18">
        <v>6000000</v>
      </c>
      <c r="C76" s="205">
        <v>1</v>
      </c>
      <c r="D76" s="205">
        <f t="shared" si="4"/>
        <v>543</v>
      </c>
      <c r="E76" s="205">
        <f t="shared" si="5"/>
        <v>3258000000</v>
      </c>
      <c r="F76" s="205"/>
    </row>
    <row r="77" spans="1:6">
      <c r="A77" s="205" t="s">
        <v>5580</v>
      </c>
      <c r="B77" s="18">
        <v>6000000</v>
      </c>
      <c r="C77" s="205">
        <v>11</v>
      </c>
      <c r="D77" s="205">
        <f t="shared" si="4"/>
        <v>542</v>
      </c>
      <c r="E77" s="205">
        <f t="shared" si="5"/>
        <v>3252000000</v>
      </c>
      <c r="F77" s="205"/>
    </row>
    <row r="78" spans="1:6">
      <c r="A78" s="205" t="s">
        <v>5595</v>
      </c>
      <c r="B78" s="18">
        <v>48000000</v>
      </c>
      <c r="C78" s="205">
        <v>8</v>
      </c>
      <c r="D78" s="205">
        <f t="shared" si="4"/>
        <v>531</v>
      </c>
      <c r="E78" s="205">
        <f t="shared" si="5"/>
        <v>25488000000</v>
      </c>
      <c r="F78" s="205"/>
    </row>
    <row r="79" spans="1:6">
      <c r="A79" s="205" t="s">
        <v>5612</v>
      </c>
      <c r="B79" s="18">
        <v>-400000</v>
      </c>
      <c r="C79" s="205">
        <v>23</v>
      </c>
      <c r="D79" s="205">
        <f t="shared" si="4"/>
        <v>523</v>
      </c>
      <c r="E79" s="205">
        <f t="shared" si="5"/>
        <v>-209200000</v>
      </c>
      <c r="F79" s="205"/>
    </row>
    <row r="80" spans="1:6">
      <c r="A80" s="205" t="s">
        <v>5648</v>
      </c>
      <c r="B80" s="18">
        <v>500000</v>
      </c>
      <c r="C80" s="205">
        <v>4</v>
      </c>
      <c r="D80" s="205">
        <f t="shared" si="4"/>
        <v>500</v>
      </c>
      <c r="E80" s="205">
        <f t="shared" si="5"/>
        <v>250000000</v>
      </c>
      <c r="F80" s="205"/>
    </row>
    <row r="81" spans="1:6">
      <c r="A81" s="205" t="s">
        <v>5652</v>
      </c>
      <c r="B81" s="18">
        <v>-500000</v>
      </c>
      <c r="C81" s="205">
        <v>48</v>
      </c>
      <c r="D81" s="205">
        <f t="shared" si="4"/>
        <v>496</v>
      </c>
      <c r="E81" s="205">
        <f t="shared" si="5"/>
        <v>-248000000</v>
      </c>
      <c r="F81" s="205"/>
    </row>
    <row r="82" spans="1:6">
      <c r="A82" s="205" t="s">
        <v>5707</v>
      </c>
      <c r="B82" s="18">
        <v>2000000</v>
      </c>
      <c r="C82" s="205">
        <v>11</v>
      </c>
      <c r="D82" s="205">
        <f t="shared" si="4"/>
        <v>448</v>
      </c>
      <c r="E82" s="205">
        <f t="shared" si="5"/>
        <v>896000000</v>
      </c>
      <c r="F82" s="205"/>
    </row>
    <row r="83" spans="1:6">
      <c r="A83" s="205" t="s">
        <v>5717</v>
      </c>
      <c r="B83" s="18">
        <v>-2000000</v>
      </c>
      <c r="C83" s="205">
        <v>1</v>
      </c>
      <c r="D83" s="205">
        <f t="shared" si="4"/>
        <v>437</v>
      </c>
      <c r="E83" s="205">
        <f t="shared" si="5"/>
        <v>-874000000</v>
      </c>
      <c r="F83" s="205"/>
    </row>
    <row r="84" spans="1:6">
      <c r="A84" s="205" t="s">
        <v>5718</v>
      </c>
      <c r="B84" s="18">
        <v>-42203</v>
      </c>
      <c r="C84" s="205">
        <v>2</v>
      </c>
      <c r="D84" s="205">
        <f t="shared" si="4"/>
        <v>436</v>
      </c>
      <c r="E84" s="205">
        <f t="shared" si="5"/>
        <v>-18400508</v>
      </c>
      <c r="F84" s="205" t="s">
        <v>5722</v>
      </c>
    </row>
    <row r="85" spans="1:6">
      <c r="A85" s="205" t="s">
        <v>5724</v>
      </c>
      <c r="B85" s="18">
        <v>-365000</v>
      </c>
      <c r="C85" s="205">
        <v>5</v>
      </c>
      <c r="D85" s="205">
        <f t="shared" si="4"/>
        <v>434</v>
      </c>
      <c r="E85" s="205">
        <f t="shared" si="5"/>
        <v>-158410000</v>
      </c>
      <c r="F85" s="205" t="s">
        <v>5725</v>
      </c>
    </row>
    <row r="86" spans="1:6">
      <c r="A86" s="205" t="s">
        <v>5730</v>
      </c>
      <c r="B86" s="18">
        <v>12000000</v>
      </c>
      <c r="C86" s="205">
        <v>9</v>
      </c>
      <c r="D86" s="205">
        <f t="shared" si="4"/>
        <v>429</v>
      </c>
      <c r="E86" s="205">
        <f t="shared" si="5"/>
        <v>5148000000</v>
      </c>
      <c r="F86" s="205" t="s">
        <v>5731</v>
      </c>
    </row>
    <row r="87" spans="1:6">
      <c r="A87" s="205" t="s">
        <v>5740</v>
      </c>
      <c r="B87" s="18">
        <v>-4000000</v>
      </c>
      <c r="C87" s="205">
        <v>1</v>
      </c>
      <c r="D87" s="205">
        <f t="shared" si="4"/>
        <v>420</v>
      </c>
      <c r="E87" s="205">
        <f t="shared" si="5"/>
        <v>-1680000000</v>
      </c>
      <c r="F87" s="205"/>
    </row>
    <row r="88" spans="1:6">
      <c r="A88" s="205" t="s">
        <v>5744</v>
      </c>
      <c r="B88" s="18">
        <v>-5000000</v>
      </c>
      <c r="C88" s="205">
        <v>2</v>
      </c>
      <c r="D88" s="205">
        <f t="shared" si="4"/>
        <v>419</v>
      </c>
      <c r="E88" s="205">
        <f t="shared" si="5"/>
        <v>-2095000000</v>
      </c>
      <c r="F88" s="205"/>
    </row>
    <row r="89" spans="1:6">
      <c r="A89" s="205" t="s">
        <v>5742</v>
      </c>
      <c r="B89" s="18">
        <v>-2500000</v>
      </c>
      <c r="C89" s="205">
        <v>1</v>
      </c>
      <c r="D89" s="205">
        <f t="shared" si="4"/>
        <v>417</v>
      </c>
      <c r="E89" s="205">
        <f t="shared" si="5"/>
        <v>-1042500000</v>
      </c>
      <c r="F89" s="205"/>
    </row>
    <row r="90" spans="1:6">
      <c r="A90" s="205" t="s">
        <v>5743</v>
      </c>
      <c r="B90" s="18">
        <v>-500000</v>
      </c>
      <c r="C90" s="205">
        <v>17</v>
      </c>
      <c r="D90" s="205">
        <f t="shared" si="4"/>
        <v>416</v>
      </c>
      <c r="E90" s="205">
        <f t="shared" si="5"/>
        <v>-208000000</v>
      </c>
      <c r="F90" s="205"/>
    </row>
    <row r="91" spans="1:6">
      <c r="A91" s="205" t="s">
        <v>5745</v>
      </c>
      <c r="B91" s="18">
        <v>-192797</v>
      </c>
      <c r="C91" s="205">
        <v>15</v>
      </c>
      <c r="D91" s="205">
        <f t="shared" si="4"/>
        <v>399</v>
      </c>
      <c r="E91" s="205">
        <f t="shared" si="5"/>
        <v>-76926003</v>
      </c>
      <c r="F91" s="205"/>
    </row>
    <row r="92" spans="1:6">
      <c r="A92" s="205" t="s">
        <v>5750</v>
      </c>
      <c r="B92" s="18">
        <v>2000000</v>
      </c>
      <c r="C92" s="205">
        <v>12</v>
      </c>
      <c r="D92" s="205">
        <f t="shared" si="4"/>
        <v>384</v>
      </c>
      <c r="E92" s="205">
        <f t="shared" si="5"/>
        <v>768000000</v>
      </c>
      <c r="F92" s="205"/>
    </row>
    <row r="93" spans="1:6">
      <c r="A93" s="205" t="s">
        <v>5757</v>
      </c>
      <c r="B93" s="18">
        <v>-2000000</v>
      </c>
      <c r="C93" s="205">
        <v>0</v>
      </c>
      <c r="D93" s="205">
        <f t="shared" si="4"/>
        <v>372</v>
      </c>
      <c r="E93" s="205">
        <f t="shared" si="5"/>
        <v>-744000000</v>
      </c>
      <c r="F93" s="205"/>
    </row>
    <row r="94" spans="1:6">
      <c r="A94" s="205" t="s">
        <v>5757</v>
      </c>
      <c r="B94" s="18">
        <v>-4000000</v>
      </c>
      <c r="C94" s="205">
        <v>1</v>
      </c>
      <c r="D94" s="205">
        <f t="shared" si="4"/>
        <v>372</v>
      </c>
      <c r="E94" s="205">
        <f t="shared" si="5"/>
        <v>-1488000000</v>
      </c>
      <c r="F94" s="205"/>
    </row>
    <row r="95" spans="1:6">
      <c r="A95" s="205" t="s">
        <v>5758</v>
      </c>
      <c r="B95" s="18">
        <v>-3000000</v>
      </c>
      <c r="C95" s="205">
        <v>3</v>
      </c>
      <c r="D95" s="205">
        <f t="shared" si="4"/>
        <v>371</v>
      </c>
      <c r="E95" s="205">
        <f t="shared" si="5"/>
        <v>-1113000000</v>
      </c>
      <c r="F95" s="205"/>
    </row>
    <row r="96" spans="1:6">
      <c r="A96" s="205" t="s">
        <v>5765</v>
      </c>
      <c r="B96" s="18">
        <v>-6000000</v>
      </c>
      <c r="C96" s="205">
        <v>1</v>
      </c>
      <c r="D96" s="205">
        <f t="shared" si="4"/>
        <v>368</v>
      </c>
      <c r="E96" s="205">
        <f t="shared" si="5"/>
        <v>-2208000000</v>
      </c>
      <c r="F96" s="205"/>
    </row>
    <row r="97" spans="1:6">
      <c r="A97" s="205" t="s">
        <v>5768</v>
      </c>
      <c r="B97" s="18">
        <v>-10000000</v>
      </c>
      <c r="C97" s="205">
        <v>0</v>
      </c>
      <c r="D97" s="205">
        <f t="shared" si="4"/>
        <v>367</v>
      </c>
      <c r="E97" s="205">
        <f t="shared" si="5"/>
        <v>-3670000000</v>
      </c>
      <c r="F97" s="205"/>
    </row>
    <row r="98" spans="1:6">
      <c r="A98" s="205" t="s">
        <v>5768</v>
      </c>
      <c r="B98" s="18">
        <v>-5500000</v>
      </c>
      <c r="C98" s="205">
        <v>1</v>
      </c>
      <c r="D98" s="205">
        <f t="shared" si="4"/>
        <v>367</v>
      </c>
      <c r="E98" s="205">
        <f t="shared" si="5"/>
        <v>-2018500000</v>
      </c>
      <c r="F98" s="205"/>
    </row>
    <row r="99" spans="1:6">
      <c r="A99" s="205" t="s">
        <v>5769</v>
      </c>
      <c r="B99" s="18">
        <v>-1500000</v>
      </c>
      <c r="C99" s="205">
        <v>9</v>
      </c>
      <c r="D99" s="205">
        <f t="shared" ref="D99:D130" si="6">C99+D100</f>
        <v>366</v>
      </c>
      <c r="E99" s="205">
        <f t="shared" ref="E99:E130" si="7">B99*D99</f>
        <v>-549000000</v>
      </c>
      <c r="F99" s="205"/>
    </row>
    <row r="100" spans="1:6">
      <c r="A100" s="205" t="s">
        <v>5796</v>
      </c>
      <c r="B100" s="18">
        <v>-22545000</v>
      </c>
      <c r="C100" s="205">
        <v>18</v>
      </c>
      <c r="D100" s="205">
        <f t="shared" si="6"/>
        <v>357</v>
      </c>
      <c r="E100" s="205">
        <f t="shared" si="7"/>
        <v>-8048565000</v>
      </c>
      <c r="F100" s="205" t="s">
        <v>5800</v>
      </c>
    </row>
    <row r="101" spans="1:6">
      <c r="A101" s="205" t="s">
        <v>5807</v>
      </c>
      <c r="B101" s="18">
        <v>5000000</v>
      </c>
      <c r="C101" s="205">
        <v>9</v>
      </c>
      <c r="D101" s="205">
        <f t="shared" si="6"/>
        <v>339</v>
      </c>
      <c r="E101" s="205">
        <f t="shared" si="7"/>
        <v>1695000000</v>
      </c>
      <c r="F101" s="205"/>
    </row>
    <row r="102" spans="1:6">
      <c r="A102" s="205" t="s">
        <v>5811</v>
      </c>
      <c r="B102" s="18">
        <v>3000000</v>
      </c>
      <c r="C102" s="205">
        <v>0</v>
      </c>
      <c r="D102" s="205">
        <f t="shared" si="6"/>
        <v>330</v>
      </c>
      <c r="E102" s="205">
        <f t="shared" si="7"/>
        <v>990000000</v>
      </c>
      <c r="F102" s="205"/>
    </row>
    <row r="103" spans="1:6">
      <c r="A103" s="205" t="s">
        <v>5811</v>
      </c>
      <c r="B103" s="18">
        <v>-3000000</v>
      </c>
      <c r="C103" s="205">
        <v>1</v>
      </c>
      <c r="D103" s="205">
        <f t="shared" si="6"/>
        <v>330</v>
      </c>
      <c r="E103" s="205">
        <f t="shared" si="7"/>
        <v>-990000000</v>
      </c>
      <c r="F103" s="205"/>
    </row>
    <row r="104" spans="1:6">
      <c r="A104" s="205" t="s">
        <v>5812</v>
      </c>
      <c r="B104" s="18">
        <v>-11455000</v>
      </c>
      <c r="C104" s="205">
        <v>14</v>
      </c>
      <c r="D104" s="205">
        <f t="shared" si="6"/>
        <v>329</v>
      </c>
      <c r="E104" s="205">
        <f t="shared" si="7"/>
        <v>-3768695000</v>
      </c>
      <c r="F104" s="205"/>
    </row>
    <row r="105" spans="1:6">
      <c r="A105" s="205" t="s">
        <v>6191</v>
      </c>
      <c r="B105" s="18">
        <v>2317100</v>
      </c>
      <c r="C105" s="205">
        <v>3</v>
      </c>
      <c r="D105" s="205">
        <f t="shared" si="6"/>
        <v>315</v>
      </c>
      <c r="E105" s="205">
        <f t="shared" si="7"/>
        <v>729886500</v>
      </c>
      <c r="F105" s="205"/>
    </row>
    <row r="106" spans="1:6">
      <c r="A106" s="205" t="s">
        <v>6192</v>
      </c>
      <c r="B106" s="18">
        <v>699000</v>
      </c>
      <c r="C106" s="205">
        <v>3</v>
      </c>
      <c r="D106" s="205">
        <f t="shared" si="6"/>
        <v>312</v>
      </c>
      <c r="E106" s="205">
        <f t="shared" si="7"/>
        <v>218088000</v>
      </c>
      <c r="F106" s="205"/>
    </row>
    <row r="107" spans="1:6">
      <c r="A107" s="205" t="s">
        <v>6194</v>
      </c>
      <c r="B107" s="18">
        <v>-1016100</v>
      </c>
      <c r="C107" s="205">
        <v>5</v>
      </c>
      <c r="D107" s="205">
        <f t="shared" si="6"/>
        <v>309</v>
      </c>
      <c r="E107" s="205">
        <f t="shared" si="7"/>
        <v>-313974900</v>
      </c>
      <c r="F107" s="205"/>
    </row>
    <row r="108" spans="1:6">
      <c r="A108" s="205" t="s">
        <v>6201</v>
      </c>
      <c r="B108" s="18">
        <v>-680000</v>
      </c>
      <c r="C108" s="205">
        <v>3</v>
      </c>
      <c r="D108" s="205">
        <f t="shared" si="6"/>
        <v>304</v>
      </c>
      <c r="E108" s="205">
        <f t="shared" si="7"/>
        <v>-206720000</v>
      </c>
      <c r="F108" s="205"/>
    </row>
    <row r="109" spans="1:6">
      <c r="A109" s="205" t="s">
        <v>6202</v>
      </c>
      <c r="B109" s="18">
        <v>-216000</v>
      </c>
      <c r="C109" s="205">
        <v>3</v>
      </c>
      <c r="D109" s="205">
        <f t="shared" si="6"/>
        <v>301</v>
      </c>
      <c r="E109" s="205">
        <f t="shared" si="7"/>
        <v>-65016000</v>
      </c>
      <c r="F109" s="205"/>
    </row>
    <row r="110" spans="1:6">
      <c r="A110" s="205" t="s">
        <v>6203</v>
      </c>
      <c r="B110" s="18">
        <v>-619000</v>
      </c>
      <c r="C110" s="205">
        <v>3</v>
      </c>
      <c r="D110" s="205">
        <f t="shared" si="6"/>
        <v>298</v>
      </c>
      <c r="E110" s="205">
        <f t="shared" si="7"/>
        <v>-184462000</v>
      </c>
      <c r="F110" s="205"/>
    </row>
    <row r="111" spans="1:6" ht="30">
      <c r="A111" s="189" t="s">
        <v>6205</v>
      </c>
      <c r="B111" s="237">
        <v>-485000</v>
      </c>
      <c r="C111" s="189">
        <v>11</v>
      </c>
      <c r="D111" s="205">
        <f t="shared" si="6"/>
        <v>295</v>
      </c>
      <c r="E111" s="205">
        <f t="shared" si="7"/>
        <v>-143075000</v>
      </c>
      <c r="F111" s="219" t="s">
        <v>6406</v>
      </c>
    </row>
    <row r="112" spans="1:6">
      <c r="A112" s="205" t="s">
        <v>6212</v>
      </c>
      <c r="B112" s="18">
        <v>3000000</v>
      </c>
      <c r="C112" s="205">
        <v>1</v>
      </c>
      <c r="D112" s="205">
        <f t="shared" si="6"/>
        <v>284</v>
      </c>
      <c r="E112" s="18">
        <f t="shared" si="7"/>
        <v>852000000</v>
      </c>
      <c r="F112" s="205"/>
    </row>
    <row r="113" spans="1:6">
      <c r="A113" s="205" t="s">
        <v>6213</v>
      </c>
      <c r="B113" s="18">
        <v>255000</v>
      </c>
      <c r="C113" s="205">
        <v>1</v>
      </c>
      <c r="D113" s="205">
        <f t="shared" si="6"/>
        <v>283</v>
      </c>
      <c r="E113" s="18">
        <f t="shared" si="7"/>
        <v>72165000</v>
      </c>
      <c r="F113" s="205" t="s">
        <v>6214</v>
      </c>
    </row>
    <row r="114" spans="1:6">
      <c r="A114" s="205" t="s">
        <v>6215</v>
      </c>
      <c r="B114" s="18">
        <v>-3255000</v>
      </c>
      <c r="C114" s="205">
        <v>9</v>
      </c>
      <c r="D114" s="205">
        <f t="shared" si="6"/>
        <v>282</v>
      </c>
      <c r="E114" s="18">
        <f t="shared" si="7"/>
        <v>-917910000</v>
      </c>
      <c r="F114" s="205"/>
    </row>
    <row r="115" spans="1:6">
      <c r="A115" s="205" t="s">
        <v>6229</v>
      </c>
      <c r="B115" s="18">
        <v>60000000</v>
      </c>
      <c r="C115" s="205">
        <v>19</v>
      </c>
      <c r="D115" s="205">
        <f t="shared" si="6"/>
        <v>273</v>
      </c>
      <c r="E115" s="18">
        <f t="shared" si="7"/>
        <v>16380000000</v>
      </c>
      <c r="F115" s="205"/>
    </row>
    <row r="116" spans="1:6">
      <c r="A116" s="205" t="s">
        <v>6234</v>
      </c>
      <c r="B116" s="18">
        <v>473628</v>
      </c>
      <c r="C116" s="205">
        <v>2</v>
      </c>
      <c r="D116" s="205">
        <f t="shared" si="6"/>
        <v>254</v>
      </c>
      <c r="E116" s="18">
        <f t="shared" si="7"/>
        <v>120301512</v>
      </c>
      <c r="F116" s="205" t="s">
        <v>6235</v>
      </c>
    </row>
    <row r="117" spans="1:6">
      <c r="A117" s="205" t="s">
        <v>6236</v>
      </c>
      <c r="B117" s="18">
        <v>-473628</v>
      </c>
      <c r="C117" s="205">
        <v>1</v>
      </c>
      <c r="D117" s="205">
        <f t="shared" si="6"/>
        <v>252</v>
      </c>
      <c r="E117" s="18">
        <f t="shared" si="7"/>
        <v>-119354256</v>
      </c>
      <c r="F117" s="205"/>
    </row>
    <row r="118" spans="1:6">
      <c r="A118" s="205" t="s">
        <v>6238</v>
      </c>
      <c r="B118" s="18">
        <v>-6000000</v>
      </c>
      <c r="C118" s="205">
        <v>3</v>
      </c>
      <c r="D118" s="205">
        <f t="shared" si="6"/>
        <v>251</v>
      </c>
      <c r="E118" s="18">
        <f t="shared" si="7"/>
        <v>-1506000000</v>
      </c>
      <c r="F118" s="205"/>
    </row>
    <row r="119" spans="1:6">
      <c r="A119" s="205" t="s">
        <v>6240</v>
      </c>
      <c r="B119" s="18">
        <v>-475000</v>
      </c>
      <c r="C119" s="205">
        <v>1</v>
      </c>
      <c r="D119" s="205">
        <f t="shared" si="6"/>
        <v>248</v>
      </c>
      <c r="E119" s="18">
        <f t="shared" si="7"/>
        <v>-117800000</v>
      </c>
      <c r="F119" s="205" t="s">
        <v>6241</v>
      </c>
    </row>
    <row r="120" spans="1:6">
      <c r="A120" s="205" t="s">
        <v>6242</v>
      </c>
      <c r="B120" s="18">
        <v>-837000</v>
      </c>
      <c r="C120" s="205">
        <v>1</v>
      </c>
      <c r="D120" s="205">
        <f t="shared" si="6"/>
        <v>247</v>
      </c>
      <c r="E120" s="18">
        <f t="shared" si="7"/>
        <v>-206739000</v>
      </c>
      <c r="F120" s="205" t="s">
        <v>6241</v>
      </c>
    </row>
    <row r="121" spans="1:6">
      <c r="A121" s="205" t="s">
        <v>6243</v>
      </c>
      <c r="B121" s="18">
        <v>-493000</v>
      </c>
      <c r="C121" s="205">
        <v>1</v>
      </c>
      <c r="D121" s="205">
        <f t="shared" si="6"/>
        <v>246</v>
      </c>
      <c r="E121" s="18">
        <f t="shared" si="7"/>
        <v>-121278000</v>
      </c>
      <c r="F121" s="205" t="s">
        <v>6241</v>
      </c>
    </row>
    <row r="122" spans="1:6">
      <c r="A122" s="419" t="s">
        <v>6244</v>
      </c>
      <c r="B122" s="18">
        <v>54000</v>
      </c>
      <c r="C122" s="205">
        <v>3</v>
      </c>
      <c r="D122" s="205">
        <f t="shared" si="6"/>
        <v>245</v>
      </c>
      <c r="E122" s="18">
        <f t="shared" si="7"/>
        <v>13230000</v>
      </c>
      <c r="F122" s="205" t="s">
        <v>6245</v>
      </c>
    </row>
    <row r="123" spans="1:6">
      <c r="A123" s="205" t="s">
        <v>6247</v>
      </c>
      <c r="B123" s="18">
        <v>-400000</v>
      </c>
      <c r="C123" s="205">
        <v>2</v>
      </c>
      <c r="D123" s="205">
        <f t="shared" si="6"/>
        <v>242</v>
      </c>
      <c r="E123" s="18">
        <f t="shared" si="7"/>
        <v>-96800000</v>
      </c>
      <c r="F123" s="205" t="s">
        <v>6249</v>
      </c>
    </row>
    <row r="124" spans="1:6">
      <c r="A124" s="205" t="s">
        <v>6251</v>
      </c>
      <c r="B124" s="18">
        <v>-938000</v>
      </c>
      <c r="C124" s="205">
        <v>9</v>
      </c>
      <c r="D124" s="205">
        <f t="shared" si="6"/>
        <v>240</v>
      </c>
      <c r="E124" s="18">
        <f t="shared" si="7"/>
        <v>-225120000</v>
      </c>
      <c r="F124" s="205" t="s">
        <v>6241</v>
      </c>
    </row>
    <row r="125" spans="1:6">
      <c r="A125" s="205" t="s">
        <v>6358</v>
      </c>
      <c r="B125" s="18">
        <v>-7911000</v>
      </c>
      <c r="C125" s="205">
        <v>12</v>
      </c>
      <c r="D125" s="205">
        <f t="shared" si="6"/>
        <v>231</v>
      </c>
      <c r="E125" s="18">
        <f t="shared" si="7"/>
        <v>-1827441000</v>
      </c>
      <c r="F125" s="205" t="s">
        <v>6359</v>
      </c>
    </row>
    <row r="126" spans="1:6">
      <c r="A126" s="205" t="s">
        <v>6369</v>
      </c>
      <c r="B126" s="18">
        <v>1000000</v>
      </c>
      <c r="C126" s="205">
        <v>1</v>
      </c>
      <c r="D126" s="205">
        <f t="shared" si="6"/>
        <v>219</v>
      </c>
      <c r="E126" s="18">
        <f t="shared" si="7"/>
        <v>219000000</v>
      </c>
      <c r="F126" s="205" t="s">
        <v>6375</v>
      </c>
    </row>
    <row r="127" spans="1:6">
      <c r="A127" s="205" t="s">
        <v>6370</v>
      </c>
      <c r="B127" s="18">
        <v>-1000000</v>
      </c>
      <c r="C127" s="205">
        <v>19</v>
      </c>
      <c r="D127" s="205">
        <f t="shared" si="6"/>
        <v>218</v>
      </c>
      <c r="E127" s="18">
        <f t="shared" si="7"/>
        <v>-218000000</v>
      </c>
      <c r="F127" s="205" t="s">
        <v>6359</v>
      </c>
    </row>
    <row r="128" spans="1:6">
      <c r="A128" s="205" t="s">
        <v>6391</v>
      </c>
      <c r="B128" s="18">
        <v>400000</v>
      </c>
      <c r="C128" s="205">
        <v>0</v>
      </c>
      <c r="D128" s="205">
        <f t="shared" si="6"/>
        <v>199</v>
      </c>
      <c r="E128" s="18">
        <f t="shared" si="7"/>
        <v>79600000</v>
      </c>
      <c r="F128" s="205"/>
    </row>
    <row r="129" spans="1:6">
      <c r="A129" s="205" t="s">
        <v>6391</v>
      </c>
      <c r="B129" s="18">
        <v>-400000</v>
      </c>
      <c r="C129" s="205">
        <v>11</v>
      </c>
      <c r="D129" s="205">
        <f t="shared" si="6"/>
        <v>199</v>
      </c>
      <c r="E129" s="18">
        <f t="shared" si="7"/>
        <v>-79600000</v>
      </c>
      <c r="F129" s="205"/>
    </row>
    <row r="130" spans="1:6">
      <c r="A130" s="205" t="s">
        <v>6400</v>
      </c>
      <c r="B130" s="18">
        <v>600000</v>
      </c>
      <c r="C130" s="205">
        <v>5</v>
      </c>
      <c r="D130" s="205">
        <f t="shared" si="6"/>
        <v>188</v>
      </c>
      <c r="E130" s="18">
        <f t="shared" si="7"/>
        <v>112800000</v>
      </c>
      <c r="F130" s="205"/>
    </row>
    <row r="131" spans="1:6">
      <c r="A131" s="205" t="s">
        <v>6405</v>
      </c>
      <c r="B131" s="18">
        <v>-600000</v>
      </c>
      <c r="C131" s="205">
        <v>30</v>
      </c>
      <c r="D131" s="205">
        <f t="shared" ref="D131:D143" si="8">C131+D132</f>
        <v>183</v>
      </c>
      <c r="E131" s="18">
        <f t="shared" ref="E131:E143" si="9">B131*D131</f>
        <v>-109800000</v>
      </c>
      <c r="F131" s="205"/>
    </row>
    <row r="132" spans="1:6">
      <c r="A132" s="205" t="s">
        <v>6721</v>
      </c>
      <c r="B132" s="18">
        <v>650000</v>
      </c>
      <c r="C132" s="205">
        <v>4</v>
      </c>
      <c r="D132" s="205">
        <f t="shared" si="8"/>
        <v>153</v>
      </c>
      <c r="E132" s="18">
        <f t="shared" si="9"/>
        <v>99450000</v>
      </c>
      <c r="F132" s="205"/>
    </row>
    <row r="133" spans="1:6">
      <c r="A133" s="205" t="s">
        <v>6724</v>
      </c>
      <c r="B133" s="18">
        <v>-650000</v>
      </c>
      <c r="C133" s="205">
        <v>15</v>
      </c>
      <c r="D133" s="205">
        <f t="shared" si="8"/>
        <v>149</v>
      </c>
      <c r="E133" s="18">
        <f t="shared" si="9"/>
        <v>-96850000</v>
      </c>
      <c r="F133" s="205"/>
    </row>
    <row r="134" spans="1:6">
      <c r="A134" s="205" t="s">
        <v>6730</v>
      </c>
      <c r="B134" s="18">
        <v>700000</v>
      </c>
      <c r="C134" s="205">
        <v>6</v>
      </c>
      <c r="D134" s="205">
        <f t="shared" si="8"/>
        <v>134</v>
      </c>
      <c r="E134" s="18">
        <f t="shared" si="9"/>
        <v>93800000</v>
      </c>
      <c r="F134" s="205"/>
    </row>
    <row r="135" spans="1:6">
      <c r="A135" s="205" t="s">
        <v>6732</v>
      </c>
      <c r="B135" s="18">
        <v>-700000</v>
      </c>
      <c r="C135" s="205">
        <v>22</v>
      </c>
      <c r="D135" s="205">
        <f t="shared" si="8"/>
        <v>128</v>
      </c>
      <c r="E135" s="18">
        <f t="shared" si="9"/>
        <v>-89600000</v>
      </c>
      <c r="F135" s="205"/>
    </row>
    <row r="136" spans="1:6">
      <c r="A136" s="205" t="s">
        <v>6805</v>
      </c>
      <c r="B136" s="18">
        <v>1000000</v>
      </c>
      <c r="C136" s="205">
        <v>7</v>
      </c>
      <c r="D136" s="205">
        <f t="shared" si="8"/>
        <v>106</v>
      </c>
      <c r="E136" s="18">
        <f t="shared" si="9"/>
        <v>106000000</v>
      </c>
      <c r="F136" s="205"/>
    </row>
    <row r="137" spans="1:6">
      <c r="A137" s="205" t="s">
        <v>6820</v>
      </c>
      <c r="B137" s="18">
        <v>-1000000</v>
      </c>
      <c r="C137" s="205">
        <v>33</v>
      </c>
      <c r="D137" s="205">
        <f t="shared" si="8"/>
        <v>99</v>
      </c>
      <c r="E137" s="18">
        <f t="shared" si="9"/>
        <v>-99000000</v>
      </c>
      <c r="F137" s="205"/>
    </row>
    <row r="138" spans="1:6">
      <c r="A138" s="205" t="s">
        <v>6849</v>
      </c>
      <c r="B138" s="18">
        <v>2000000</v>
      </c>
      <c r="C138" s="205">
        <v>21</v>
      </c>
      <c r="D138" s="205">
        <f t="shared" si="8"/>
        <v>66</v>
      </c>
      <c r="E138" s="18">
        <f t="shared" si="9"/>
        <v>132000000</v>
      </c>
      <c r="F138" s="205"/>
    </row>
    <row r="139" spans="1:6">
      <c r="A139" s="205" t="s">
        <v>6854</v>
      </c>
      <c r="B139" s="18">
        <v>-2000000</v>
      </c>
      <c r="C139" s="205">
        <v>45</v>
      </c>
      <c r="D139" s="205">
        <f t="shared" si="8"/>
        <v>45</v>
      </c>
      <c r="E139" s="18">
        <f t="shared" si="9"/>
        <v>-90000000</v>
      </c>
      <c r="F139" s="205"/>
    </row>
    <row r="140" spans="1:6">
      <c r="A140" s="205"/>
      <c r="B140" s="18"/>
      <c r="C140" s="205"/>
      <c r="D140" s="205">
        <f t="shared" si="8"/>
        <v>0</v>
      </c>
      <c r="E140" s="18">
        <f t="shared" si="9"/>
        <v>0</v>
      </c>
      <c r="F140" s="205"/>
    </row>
    <row r="141" spans="1:6">
      <c r="A141" s="205"/>
      <c r="B141" s="18"/>
      <c r="C141" s="205"/>
      <c r="D141" s="205">
        <f t="shared" si="8"/>
        <v>0</v>
      </c>
      <c r="E141" s="18">
        <f t="shared" si="9"/>
        <v>0</v>
      </c>
      <c r="F141" s="205"/>
    </row>
    <row r="142" spans="1:6">
      <c r="A142" s="205"/>
      <c r="B142" s="18"/>
      <c r="C142" s="205"/>
      <c r="D142" s="205">
        <f t="shared" si="8"/>
        <v>0</v>
      </c>
      <c r="E142" s="18">
        <f t="shared" si="9"/>
        <v>0</v>
      </c>
      <c r="F142" s="205"/>
    </row>
    <row r="143" spans="1:6">
      <c r="A143" s="205"/>
      <c r="B143" s="18"/>
      <c r="C143" s="205"/>
      <c r="D143" s="205">
        <f t="shared" si="8"/>
        <v>0</v>
      </c>
      <c r="E143" s="18">
        <f t="shared" si="9"/>
        <v>0</v>
      </c>
      <c r="F143" s="205"/>
    </row>
    <row r="144" spans="1:6" ht="60">
      <c r="A144" s="205"/>
      <c r="B144" s="18">
        <f>SUM(B3:B143)</f>
        <v>43000000</v>
      </c>
      <c r="C144" s="205"/>
      <c r="D144" s="205"/>
      <c r="E144" s="18">
        <f>SUM(E112:E143)</f>
        <v>12359054256</v>
      </c>
      <c r="F144" s="71" t="s">
        <v>6857</v>
      </c>
    </row>
    <row r="145" spans="2:2">
      <c r="B145" s="308" t="s">
        <v>4894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183"/>
  <sheetViews>
    <sheetView topLeftCell="A144" workbookViewId="0">
      <selection activeCell="I169" sqref="I169"/>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5" t="s">
        <v>0</v>
      </c>
      <c r="B1" s="205" t="s">
        <v>1</v>
      </c>
      <c r="C1" s="205" t="s">
        <v>4</v>
      </c>
      <c r="D1" s="205" t="s">
        <v>5</v>
      </c>
      <c r="E1" s="205" t="s">
        <v>8</v>
      </c>
      <c r="F1" s="10" t="s">
        <v>42</v>
      </c>
      <c r="G1" s="6" t="s">
        <v>35</v>
      </c>
      <c r="H1" s="6" t="s">
        <v>36</v>
      </c>
      <c r="I1" s="6" t="s">
        <v>37</v>
      </c>
      <c r="J1" s="6" t="s">
        <v>38</v>
      </c>
      <c r="K1" s="6" t="s">
        <v>39</v>
      </c>
      <c r="L1" s="6" t="s">
        <v>40</v>
      </c>
      <c r="M1" s="6" t="s">
        <v>41</v>
      </c>
      <c r="N1" s="94"/>
      <c r="O1" s="94"/>
      <c r="P1" s="94"/>
      <c r="Q1" s="94"/>
      <c r="R1" s="94"/>
      <c r="S1" s="94"/>
      <c r="T1" s="94"/>
      <c r="U1" s="94"/>
    </row>
    <row r="2" spans="1:21">
      <c r="A2" s="205" t="s">
        <v>4753</v>
      </c>
      <c r="B2" s="111">
        <f>اسفند97!B34</f>
        <v>1093523</v>
      </c>
      <c r="C2" s="1">
        <f>اسفند97!C34</f>
        <v>0</v>
      </c>
      <c r="D2" s="111">
        <f>B2-C2</f>
        <v>1093523</v>
      </c>
      <c r="E2" s="205" t="s">
        <v>59</v>
      </c>
      <c r="F2" s="94">
        <v>31</v>
      </c>
      <c r="G2" s="94">
        <f>B2*F2</f>
        <v>33899213</v>
      </c>
      <c r="H2" s="94">
        <f>C2*F2</f>
        <v>0</v>
      </c>
      <c r="I2" s="94">
        <f>D2*F2</f>
        <v>33899213</v>
      </c>
      <c r="J2" s="94"/>
      <c r="K2" s="94"/>
      <c r="L2" s="94"/>
      <c r="M2" s="94"/>
      <c r="N2" s="94"/>
      <c r="O2" s="94"/>
      <c r="P2" s="94"/>
      <c r="Q2" s="94"/>
      <c r="R2" s="94"/>
      <c r="S2" s="94"/>
      <c r="T2" s="94"/>
      <c r="U2" s="94"/>
    </row>
    <row r="3" spans="1:21">
      <c r="A3" s="20" t="s">
        <v>4755</v>
      </c>
      <c r="B3" s="18">
        <v>-80575</v>
      </c>
      <c r="C3" s="18">
        <v>0</v>
      </c>
      <c r="D3" s="111">
        <f t="shared" ref="D3:D33" si="0">B3-C3</f>
        <v>-80575</v>
      </c>
      <c r="E3" s="20" t="s">
        <v>3996</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4752</v>
      </c>
      <c r="B4" s="18">
        <v>-960200</v>
      </c>
      <c r="C4" s="18">
        <v>0</v>
      </c>
      <c r="D4" s="111">
        <f t="shared" si="0"/>
        <v>-960200</v>
      </c>
      <c r="E4" s="97" t="s">
        <v>4756</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4673</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4673</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4673</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4681</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4681</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4681</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4685</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4686</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4686</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4691</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4691</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4700</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957</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957</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4721</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4726</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4729</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4729</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4729</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4731</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4731</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4732</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4732</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4737</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4746</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4746</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4746</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964</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5" t="s">
        <v>4552</v>
      </c>
      <c r="B33" s="205">
        <v>0</v>
      </c>
      <c r="C33" s="205">
        <v>0</v>
      </c>
      <c r="D33" s="205">
        <f t="shared" si="0"/>
        <v>0</v>
      </c>
      <c r="E33" s="205"/>
      <c r="F33" s="94">
        <v>0</v>
      </c>
      <c r="G33" s="94">
        <f>B33*F33</f>
        <v>0</v>
      </c>
      <c r="H33" s="94">
        <f>C33*F33</f>
        <v>0</v>
      </c>
      <c r="I33" s="94">
        <f>D33*F33</f>
        <v>0</v>
      </c>
      <c r="J33" s="94"/>
      <c r="K33" s="94"/>
      <c r="L33" s="94"/>
      <c r="M33" s="94"/>
      <c r="N33" s="94"/>
      <c r="O33" s="94">
        <v>29</v>
      </c>
      <c r="P33" s="94">
        <v>2</v>
      </c>
      <c r="Q33" s="94">
        <v>3</v>
      </c>
      <c r="R33" s="94"/>
      <c r="S33" s="94"/>
      <c r="T33" s="94"/>
      <c r="U33" s="94"/>
    </row>
    <row r="34" spans="1:21">
      <c r="A34" s="205" t="s">
        <v>6</v>
      </c>
      <c r="B34" s="111">
        <f>SUM(B2:B33)</f>
        <v>52748</v>
      </c>
      <c r="C34" s="111">
        <f>SUM(C2:C33)</f>
        <v>0</v>
      </c>
      <c r="D34" s="111">
        <f>SUM(D2:D33)</f>
        <v>52748</v>
      </c>
      <c r="E34" s="205"/>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4757</v>
      </c>
      <c r="F41" s="94"/>
      <c r="G41" s="9" t="s">
        <v>1020</v>
      </c>
      <c r="H41" s="9" t="s">
        <v>38</v>
      </c>
      <c r="I41" s="9" t="s">
        <v>39</v>
      </c>
      <c r="J41" s="94"/>
      <c r="K41" s="94"/>
      <c r="L41" s="94"/>
      <c r="M41" s="94"/>
      <c r="N41" s="94"/>
      <c r="O41" s="94"/>
      <c r="P41" s="94"/>
      <c r="Q41" s="94"/>
      <c r="R41" s="94"/>
      <c r="S41" s="94"/>
      <c r="T41" s="94"/>
      <c r="U41" s="94"/>
    </row>
    <row r="42" spans="1:21">
      <c r="A42" s="94"/>
      <c r="B42" s="112"/>
      <c r="C42" s="94"/>
      <c r="D42" s="18">
        <v>870000</v>
      </c>
      <c r="E42" s="120" t="s">
        <v>4754</v>
      </c>
      <c r="F42" s="94"/>
      <c r="G42" s="94"/>
      <c r="H42" s="94"/>
      <c r="I42" s="94"/>
      <c r="J42" s="94"/>
      <c r="K42" s="94"/>
      <c r="L42" s="94"/>
      <c r="M42" s="94"/>
      <c r="N42" s="94"/>
      <c r="O42" s="94"/>
      <c r="P42" s="94"/>
      <c r="Q42" s="94"/>
      <c r="R42" s="94"/>
      <c r="S42" s="94"/>
      <c r="T42" s="94"/>
      <c r="U42" s="94"/>
    </row>
    <row r="43" spans="1:21">
      <c r="A43" s="94"/>
      <c r="B43" s="94"/>
      <c r="C43" s="94"/>
      <c r="D43" s="18">
        <v>252830</v>
      </c>
      <c r="E43" s="120" t="s">
        <v>4759</v>
      </c>
      <c r="F43" s="94"/>
      <c r="G43" s="94"/>
      <c r="H43" s="94"/>
      <c r="I43" s="94"/>
      <c r="J43" s="94"/>
      <c r="K43" s="94"/>
      <c r="L43" s="94"/>
      <c r="M43" s="94"/>
      <c r="N43" s="94"/>
      <c r="O43" s="94"/>
      <c r="P43" s="94"/>
      <c r="Q43" s="94"/>
      <c r="R43" s="94"/>
      <c r="S43" s="94"/>
      <c r="T43" s="94"/>
      <c r="U43" s="94"/>
    </row>
    <row r="44" spans="1:21">
      <c r="A44" s="94"/>
      <c r="B44" s="94"/>
      <c r="C44" s="94"/>
      <c r="D44" s="18">
        <v>178820</v>
      </c>
      <c r="E44" s="120" t="s">
        <v>4763</v>
      </c>
      <c r="F44" s="94"/>
      <c r="G44" s="94"/>
      <c r="H44" s="94"/>
      <c r="I44" s="94"/>
      <c r="J44" s="94"/>
      <c r="K44" s="94"/>
      <c r="L44" s="94"/>
      <c r="M44" s="94"/>
      <c r="N44" s="94"/>
      <c r="O44" s="94"/>
      <c r="P44" s="94"/>
      <c r="Q44" s="94"/>
      <c r="R44" s="94"/>
      <c r="S44" s="94"/>
      <c r="T44" s="94"/>
      <c r="U44" s="94"/>
    </row>
    <row r="45" spans="1:21">
      <c r="A45" s="94"/>
      <c r="B45" s="94"/>
      <c r="C45" s="94"/>
      <c r="D45" s="18">
        <v>382000</v>
      </c>
      <c r="E45" s="120" t="s">
        <v>4770</v>
      </c>
      <c r="F45" s="94"/>
      <c r="G45" s="94"/>
      <c r="H45" s="94"/>
      <c r="I45" s="94"/>
      <c r="J45" s="94"/>
      <c r="K45" s="94"/>
      <c r="L45" s="94"/>
      <c r="M45" s="94"/>
      <c r="N45" s="94"/>
      <c r="O45" s="94"/>
      <c r="P45" s="94"/>
      <c r="Q45" s="94"/>
      <c r="R45" s="94"/>
      <c r="S45" s="94"/>
      <c r="T45" s="94"/>
      <c r="U45" s="94"/>
    </row>
    <row r="46" spans="1:21">
      <c r="A46" s="94"/>
      <c r="B46" s="94"/>
      <c r="C46" s="94"/>
      <c r="D46" s="18">
        <v>-200000</v>
      </c>
      <c r="E46" s="120" t="s">
        <v>4771</v>
      </c>
      <c r="F46" s="94"/>
      <c r="G46" s="94"/>
      <c r="H46" s="94"/>
      <c r="I46" s="94"/>
      <c r="J46" s="94"/>
      <c r="K46" s="94"/>
      <c r="L46" s="94"/>
      <c r="M46" s="94"/>
      <c r="N46" s="94"/>
      <c r="O46" s="94"/>
      <c r="P46" s="94"/>
      <c r="Q46" s="94"/>
      <c r="R46" s="94"/>
      <c r="S46" s="94"/>
      <c r="T46" s="94"/>
      <c r="U46" s="94"/>
    </row>
    <row r="47" spans="1:21">
      <c r="A47" s="94"/>
      <c r="B47" s="94"/>
      <c r="C47" s="94"/>
      <c r="D47" s="18">
        <v>-2336075</v>
      </c>
      <c r="E47" s="120" t="s">
        <v>4774</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4777</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4784</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4786</v>
      </c>
      <c r="F50" s="94"/>
      <c r="G50" s="94"/>
      <c r="H50" s="94"/>
      <c r="I50" s="94"/>
      <c r="J50" s="94"/>
      <c r="K50" s="94"/>
      <c r="L50" s="94"/>
      <c r="M50" s="94"/>
      <c r="N50" s="94"/>
      <c r="O50" s="94"/>
      <c r="P50" s="94"/>
      <c r="Q50" s="94"/>
      <c r="R50" s="94"/>
      <c r="S50" s="94"/>
      <c r="T50" s="94"/>
      <c r="U50" s="94"/>
    </row>
    <row r="51" spans="1:21">
      <c r="A51" s="94"/>
      <c r="B51" s="94"/>
      <c r="C51" s="94"/>
      <c r="D51" s="18">
        <v>-40000</v>
      </c>
      <c r="E51" s="120" t="s">
        <v>4787</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4798</v>
      </c>
      <c r="F52" s="94"/>
      <c r="G52" s="94"/>
      <c r="H52" s="94"/>
      <c r="I52" s="94"/>
      <c r="J52" s="94"/>
      <c r="K52" s="94"/>
      <c r="L52" s="94"/>
      <c r="M52" s="94"/>
      <c r="N52" s="94"/>
      <c r="O52" s="94"/>
      <c r="P52" s="94"/>
      <c r="Q52" s="94"/>
      <c r="R52" s="94"/>
      <c r="S52" s="94"/>
      <c r="T52" s="94"/>
      <c r="U52" s="94"/>
    </row>
    <row r="53" spans="1:21">
      <c r="A53" s="94"/>
      <c r="B53" s="94"/>
      <c r="C53" s="94"/>
      <c r="D53" s="18">
        <v>160000</v>
      </c>
      <c r="E53" s="120" t="s">
        <v>4801</v>
      </c>
      <c r="F53" s="94"/>
      <c r="G53" s="94"/>
      <c r="H53" s="94"/>
      <c r="I53" s="94"/>
      <c r="J53" s="94"/>
      <c r="K53" s="94"/>
      <c r="L53" s="94"/>
      <c r="M53" s="94"/>
      <c r="N53" s="94"/>
      <c r="O53" s="94"/>
      <c r="P53" s="94"/>
      <c r="Q53" s="94"/>
      <c r="R53" s="94"/>
      <c r="S53" s="94"/>
      <c r="T53" s="94"/>
      <c r="U53" s="94"/>
    </row>
    <row r="54" spans="1:21">
      <c r="A54" s="94"/>
      <c r="B54" s="94"/>
      <c r="C54" s="94"/>
      <c r="D54" s="18">
        <v>-224012</v>
      </c>
      <c r="E54" s="120" t="s">
        <v>4830</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4831</v>
      </c>
      <c r="F55" s="112"/>
      <c r="G55" s="41"/>
      <c r="H55" s="94"/>
      <c r="I55" s="94"/>
      <c r="J55" s="94"/>
      <c r="K55" s="94"/>
      <c r="L55" s="94"/>
      <c r="M55" s="94"/>
      <c r="N55" s="94"/>
      <c r="O55" s="94"/>
      <c r="P55" s="94"/>
      <c r="Q55" s="94"/>
      <c r="R55" s="94"/>
      <c r="S55" s="94"/>
      <c r="T55" s="94"/>
      <c r="U55" s="94"/>
    </row>
    <row r="56" spans="1:21">
      <c r="A56" s="94"/>
      <c r="B56" s="94"/>
      <c r="C56" s="94"/>
      <c r="D56" s="18">
        <v>1465000</v>
      </c>
      <c r="E56" s="120" t="s">
        <v>4838</v>
      </c>
      <c r="F56" s="112"/>
      <c r="G56" s="41"/>
      <c r="H56" s="94"/>
      <c r="I56" s="94"/>
      <c r="J56" s="94"/>
      <c r="K56" s="94"/>
      <c r="L56" s="94"/>
      <c r="M56" s="94"/>
      <c r="N56" s="94"/>
      <c r="O56" s="94"/>
      <c r="P56" s="94"/>
      <c r="Q56" s="94"/>
      <c r="R56" s="94"/>
      <c r="S56" s="94"/>
      <c r="T56" s="94"/>
      <c r="U56" s="94"/>
    </row>
    <row r="57" spans="1:21">
      <c r="A57" s="94"/>
      <c r="B57" s="94"/>
      <c r="C57" s="94"/>
      <c r="D57" s="18">
        <v>2600000</v>
      </c>
      <c r="E57" s="120" t="s">
        <v>4868</v>
      </c>
      <c r="F57" s="112"/>
      <c r="G57" s="41"/>
      <c r="H57" s="94"/>
      <c r="I57" s="94"/>
      <c r="J57" s="94"/>
      <c r="K57" s="94"/>
      <c r="L57" s="94"/>
      <c r="M57" s="94"/>
      <c r="N57" s="94"/>
      <c r="O57" s="94"/>
      <c r="P57" s="94"/>
      <c r="Q57" s="94"/>
      <c r="R57" s="94"/>
      <c r="S57" s="94"/>
      <c r="T57" s="94"/>
      <c r="U57" s="94"/>
    </row>
    <row r="58" spans="1:21">
      <c r="A58" s="94"/>
      <c r="B58" s="94"/>
      <c r="C58" s="94"/>
      <c r="D58" s="18">
        <v>-1170000</v>
      </c>
      <c r="E58" s="120" t="s">
        <v>4877</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4876</v>
      </c>
      <c r="F59" s="112"/>
      <c r="G59" s="94"/>
      <c r="H59" s="94"/>
      <c r="I59" s="94"/>
      <c r="J59" s="94"/>
      <c r="K59" s="94"/>
      <c r="L59" s="94"/>
      <c r="M59" s="94"/>
      <c r="N59" s="94"/>
      <c r="O59" s="94"/>
      <c r="P59" s="94"/>
      <c r="Q59" s="94"/>
      <c r="R59" s="94"/>
      <c r="S59" s="94"/>
      <c r="T59" s="94"/>
      <c r="U59" s="94"/>
    </row>
    <row r="60" spans="1:21">
      <c r="A60" s="94"/>
      <c r="B60" s="94"/>
      <c r="C60" s="94"/>
      <c r="D60" s="18">
        <v>360000</v>
      </c>
      <c r="E60" s="120" t="s">
        <v>4884</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4" t="s">
        <v>4901</v>
      </c>
      <c r="F61" s="94"/>
      <c r="G61" s="94"/>
      <c r="H61" s="94"/>
      <c r="I61" s="94"/>
      <c r="J61" s="94"/>
      <c r="K61" s="94"/>
      <c r="L61" s="94"/>
      <c r="M61" s="94"/>
      <c r="N61" s="94"/>
      <c r="O61" s="94"/>
      <c r="P61" s="94"/>
      <c r="Q61" s="94"/>
      <c r="R61" s="94"/>
      <c r="S61" s="94"/>
      <c r="T61" s="94"/>
      <c r="U61" s="94"/>
    </row>
    <row r="62" spans="1:21">
      <c r="A62" s="94"/>
      <c r="B62" s="94"/>
      <c r="C62" s="94"/>
      <c r="D62" s="18">
        <v>-550000</v>
      </c>
      <c r="E62" s="234" t="s">
        <v>4904</v>
      </c>
      <c r="F62" s="94"/>
      <c r="G62" s="94"/>
      <c r="H62" s="94"/>
      <c r="I62" s="94"/>
      <c r="J62" s="94"/>
      <c r="K62" s="94"/>
      <c r="L62" s="94"/>
      <c r="M62" s="94"/>
      <c r="N62" s="94"/>
      <c r="O62" s="94"/>
      <c r="P62" s="94"/>
      <c r="Q62" s="94"/>
      <c r="R62" s="94"/>
      <c r="S62" s="94"/>
      <c r="T62" s="94"/>
      <c r="U62" s="94"/>
    </row>
    <row r="63" spans="1:21">
      <c r="A63" s="94"/>
      <c r="B63" s="94"/>
      <c r="C63" s="94"/>
      <c r="D63" s="18">
        <v>-850000</v>
      </c>
      <c r="E63" s="234" t="s">
        <v>4908</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4" t="s">
        <v>4911</v>
      </c>
      <c r="F64" s="94"/>
      <c r="G64" s="94"/>
      <c r="H64" s="94" t="s">
        <v>25</v>
      </c>
      <c r="I64" s="94"/>
      <c r="J64" s="94"/>
      <c r="K64" s="94"/>
      <c r="L64" s="94"/>
      <c r="M64" s="94"/>
      <c r="N64" s="94"/>
      <c r="O64" s="94"/>
      <c r="P64" s="94"/>
      <c r="Q64" s="94"/>
      <c r="R64" s="94"/>
      <c r="S64" s="94"/>
      <c r="T64" s="94"/>
      <c r="U64" s="94"/>
    </row>
    <row r="65" spans="1:21">
      <c r="A65" s="94"/>
      <c r="B65" s="94"/>
      <c r="C65" s="94"/>
      <c r="D65" s="18">
        <v>300000</v>
      </c>
      <c r="E65" s="234" t="s">
        <v>4916</v>
      </c>
      <c r="F65" s="94"/>
      <c r="G65" s="94"/>
      <c r="H65" s="94"/>
      <c r="I65" s="94"/>
      <c r="J65" s="94"/>
      <c r="K65" s="94"/>
      <c r="L65" s="94"/>
      <c r="M65" s="94"/>
      <c r="N65" s="94"/>
      <c r="O65" s="94"/>
      <c r="P65" s="94"/>
      <c r="Q65" s="94"/>
      <c r="R65" s="94"/>
      <c r="S65" s="94"/>
      <c r="T65" s="94"/>
      <c r="U65" s="94"/>
    </row>
    <row r="66" spans="1:21">
      <c r="A66" s="94"/>
      <c r="B66" s="94"/>
      <c r="C66" s="94"/>
      <c r="D66" s="18">
        <v>-2290500</v>
      </c>
      <c r="E66" s="234" t="s">
        <v>4917</v>
      </c>
      <c r="F66" s="94"/>
      <c r="G66" s="94"/>
      <c r="H66" s="94"/>
      <c r="I66" s="94"/>
      <c r="J66" s="94"/>
      <c r="K66" s="94"/>
      <c r="L66" s="94"/>
      <c r="M66" s="94"/>
      <c r="N66" s="94"/>
      <c r="O66" s="94"/>
      <c r="P66" s="94"/>
      <c r="Q66" s="94"/>
      <c r="R66" s="94"/>
      <c r="S66" s="94"/>
      <c r="T66" s="94"/>
      <c r="U66" s="94"/>
    </row>
    <row r="67" spans="1:21">
      <c r="A67" s="94"/>
      <c r="B67" s="94"/>
      <c r="C67" s="94"/>
      <c r="D67" s="18">
        <v>1700000</v>
      </c>
      <c r="E67" s="234" t="s">
        <v>4924</v>
      </c>
      <c r="F67" s="94"/>
      <c r="G67" s="94"/>
      <c r="H67" s="94"/>
      <c r="I67" s="94"/>
      <c r="J67" s="94"/>
      <c r="K67" s="94"/>
      <c r="L67" s="94"/>
      <c r="M67" s="94"/>
      <c r="N67" s="94"/>
      <c r="O67" s="94"/>
      <c r="P67" s="94"/>
      <c r="Q67" s="94"/>
      <c r="R67" s="94"/>
      <c r="S67" s="94"/>
      <c r="T67" s="94"/>
      <c r="U67" s="94"/>
    </row>
    <row r="68" spans="1:21">
      <c r="A68" s="94"/>
      <c r="B68" s="94"/>
      <c r="C68" s="94"/>
      <c r="D68" s="18">
        <v>-150000</v>
      </c>
      <c r="E68" s="234" t="s">
        <v>4929</v>
      </c>
      <c r="F68" s="94"/>
      <c r="G68" s="94"/>
      <c r="H68" s="94"/>
      <c r="I68" s="94"/>
      <c r="J68" s="94"/>
      <c r="K68" s="94"/>
      <c r="L68" s="94"/>
      <c r="M68" s="94"/>
      <c r="N68" s="94"/>
      <c r="O68" s="94"/>
      <c r="P68" s="94"/>
      <c r="Q68" s="94"/>
      <c r="R68" s="94"/>
      <c r="S68" s="94"/>
      <c r="T68" s="94"/>
      <c r="U68" s="94"/>
    </row>
    <row r="69" spans="1:21">
      <c r="A69" s="94"/>
      <c r="B69" s="94"/>
      <c r="C69" s="94"/>
      <c r="D69" s="18">
        <v>-550000</v>
      </c>
      <c r="E69" s="234" t="s">
        <v>4932</v>
      </c>
      <c r="F69" s="94"/>
      <c r="G69" s="94" t="s">
        <v>25</v>
      </c>
      <c r="H69" s="94"/>
      <c r="I69" s="94"/>
      <c r="J69" s="94"/>
      <c r="K69" s="94"/>
      <c r="L69" s="94"/>
      <c r="M69" s="94"/>
      <c r="N69" s="94"/>
      <c r="O69" s="94"/>
      <c r="P69" s="94"/>
      <c r="Q69" s="94"/>
      <c r="R69" s="94"/>
      <c r="S69" s="94"/>
      <c r="T69" s="94"/>
      <c r="U69" s="94"/>
    </row>
    <row r="70" spans="1:21">
      <c r="A70" s="94"/>
      <c r="B70" s="94"/>
      <c r="C70" s="94"/>
      <c r="D70" s="18">
        <v>13350000</v>
      </c>
      <c r="E70" s="234" t="s">
        <v>4950</v>
      </c>
      <c r="F70" s="94"/>
      <c r="G70" s="94" t="s">
        <v>25</v>
      </c>
      <c r="H70" s="94"/>
      <c r="I70" s="94"/>
      <c r="J70" s="94"/>
      <c r="K70" s="94"/>
      <c r="L70" s="94"/>
      <c r="M70" s="94"/>
      <c r="N70" s="94"/>
      <c r="O70" s="94"/>
      <c r="P70" s="94"/>
      <c r="Q70" s="94"/>
      <c r="R70" s="94"/>
      <c r="S70" s="94"/>
      <c r="T70" s="94"/>
      <c r="U70" s="94"/>
    </row>
    <row r="71" spans="1:21">
      <c r="A71" s="94"/>
      <c r="B71" s="94"/>
      <c r="C71" s="94"/>
      <c r="D71" s="18">
        <v>-200000</v>
      </c>
      <c r="E71" s="234" t="s">
        <v>4964</v>
      </c>
      <c r="F71" s="94"/>
      <c r="G71" s="94"/>
      <c r="H71" s="94"/>
      <c r="I71" s="94"/>
      <c r="J71" s="94"/>
      <c r="K71" s="94"/>
      <c r="L71" s="94"/>
      <c r="M71" s="94"/>
      <c r="N71" s="94"/>
      <c r="O71" s="94"/>
      <c r="P71" s="94"/>
      <c r="Q71" s="94"/>
      <c r="R71" s="94"/>
      <c r="S71" s="94"/>
      <c r="T71" s="94"/>
      <c r="U71" s="94"/>
    </row>
    <row r="72" spans="1:21">
      <c r="A72" s="94"/>
      <c r="B72" s="94"/>
      <c r="C72" s="94"/>
      <c r="D72" s="18">
        <v>1500000</v>
      </c>
      <c r="E72" s="234" t="s">
        <v>4965</v>
      </c>
      <c r="F72" s="94"/>
      <c r="G72" s="94"/>
      <c r="H72" s="94"/>
      <c r="I72" s="94"/>
      <c r="J72" s="94"/>
      <c r="K72" s="94"/>
      <c r="L72" s="94"/>
      <c r="M72" s="94"/>
      <c r="N72" s="94"/>
      <c r="O72" s="94"/>
      <c r="P72" s="94"/>
      <c r="Q72" s="94"/>
      <c r="R72" s="94"/>
      <c r="S72" s="94"/>
      <c r="T72" s="94"/>
      <c r="U72" s="94"/>
    </row>
    <row r="73" spans="1:21">
      <c r="A73" s="94"/>
      <c r="B73" s="94"/>
      <c r="C73" s="94"/>
      <c r="D73" s="18">
        <v>-550000</v>
      </c>
      <c r="E73" s="234" t="s">
        <v>4969</v>
      </c>
      <c r="F73" s="94"/>
      <c r="G73" s="94"/>
      <c r="H73" s="94"/>
      <c r="I73" s="94"/>
      <c r="J73" s="94"/>
      <c r="K73" s="94"/>
      <c r="L73" s="94"/>
      <c r="M73" s="94"/>
      <c r="N73" s="94"/>
      <c r="O73" s="94"/>
      <c r="P73" s="94"/>
      <c r="Q73" s="94"/>
      <c r="R73" s="94"/>
      <c r="S73" s="94"/>
      <c r="T73" s="94"/>
      <c r="U73" s="94"/>
    </row>
    <row r="74" spans="1:21">
      <c r="A74" s="94"/>
      <c r="B74" s="94"/>
      <c r="C74" s="94"/>
      <c r="D74" s="18">
        <v>-50000</v>
      </c>
      <c r="E74" s="234" t="s">
        <v>4970</v>
      </c>
      <c r="F74" s="94"/>
      <c r="G74" s="94"/>
      <c r="H74" s="94"/>
      <c r="I74" s="94"/>
      <c r="J74" s="94"/>
      <c r="K74" s="94"/>
      <c r="L74" s="94"/>
      <c r="M74" s="94"/>
      <c r="N74" s="94"/>
      <c r="O74" s="94"/>
      <c r="P74" s="94"/>
      <c r="Q74" s="94"/>
      <c r="R74" s="94"/>
      <c r="S74" s="94"/>
      <c r="T74" s="94"/>
      <c r="U74" s="94"/>
    </row>
    <row r="75" spans="1:21">
      <c r="A75" s="94"/>
      <c r="B75" s="94"/>
      <c r="C75" s="94"/>
      <c r="D75" s="18">
        <v>-60000</v>
      </c>
      <c r="E75" s="234" t="s">
        <v>4971</v>
      </c>
      <c r="F75" s="94"/>
      <c r="G75" s="94"/>
      <c r="H75" s="94"/>
      <c r="I75" s="94"/>
      <c r="J75" s="94"/>
      <c r="K75" s="94"/>
      <c r="L75" s="94"/>
      <c r="M75" s="94"/>
      <c r="N75" s="94"/>
      <c r="O75" s="94"/>
      <c r="P75" s="94"/>
      <c r="Q75" s="94"/>
      <c r="R75" s="94"/>
      <c r="S75" s="94"/>
      <c r="T75" s="94"/>
      <c r="U75" s="94"/>
    </row>
    <row r="76" spans="1:21">
      <c r="A76" s="94"/>
      <c r="B76" s="94"/>
      <c r="C76" s="94"/>
      <c r="D76" s="18">
        <v>-43000</v>
      </c>
      <c r="E76" s="234" t="s">
        <v>4979</v>
      </c>
      <c r="F76" s="94"/>
      <c r="G76" s="94"/>
      <c r="H76" s="94"/>
      <c r="I76" s="94" t="s">
        <v>25</v>
      </c>
      <c r="J76" s="94"/>
      <c r="K76" s="94"/>
      <c r="L76" s="94"/>
      <c r="M76" s="94"/>
      <c r="N76" s="94"/>
      <c r="O76" s="94"/>
      <c r="P76" s="94"/>
      <c r="Q76" s="94"/>
      <c r="R76" s="94"/>
      <c r="S76" s="94"/>
      <c r="T76" s="94"/>
      <c r="U76" s="94"/>
    </row>
    <row r="77" spans="1:21">
      <c r="A77" s="94"/>
      <c r="B77" s="94"/>
      <c r="C77" s="94"/>
      <c r="D77" s="18">
        <v>-320000</v>
      </c>
      <c r="E77" s="234" t="s">
        <v>4985</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4" t="s">
        <v>4986</v>
      </c>
      <c r="F78" s="94"/>
      <c r="G78" s="94"/>
      <c r="H78" s="94"/>
      <c r="I78" s="94"/>
      <c r="J78" s="94"/>
      <c r="K78" s="94"/>
      <c r="L78" s="94"/>
      <c r="M78" s="94"/>
      <c r="N78" s="94"/>
      <c r="O78" s="94"/>
      <c r="P78" s="94"/>
      <c r="Q78" s="94"/>
      <c r="R78" s="94"/>
      <c r="S78" s="94"/>
      <c r="T78" s="94"/>
      <c r="U78" s="94"/>
    </row>
    <row r="79" spans="1:21">
      <c r="A79" s="94"/>
      <c r="B79" s="94"/>
      <c r="C79" s="94"/>
      <c r="D79" s="18">
        <v>-750000</v>
      </c>
      <c r="E79" s="234" t="s">
        <v>4992</v>
      </c>
      <c r="F79" s="94"/>
      <c r="G79" s="94"/>
      <c r="H79" s="94"/>
      <c r="I79" s="94"/>
      <c r="J79" s="94"/>
      <c r="K79" s="94"/>
      <c r="L79" s="94"/>
      <c r="M79" s="94"/>
      <c r="N79" s="94"/>
      <c r="O79" s="94"/>
      <c r="P79" s="94"/>
      <c r="Q79" s="94"/>
      <c r="R79" s="94"/>
      <c r="S79" s="94"/>
      <c r="T79" s="94"/>
      <c r="U79" s="94"/>
    </row>
    <row r="80" spans="1:21">
      <c r="A80" s="94"/>
      <c r="B80" s="94"/>
      <c r="C80" s="94"/>
      <c r="D80" s="18">
        <v>50000</v>
      </c>
      <c r="E80" s="234" t="s">
        <v>5004</v>
      </c>
      <c r="F80" s="94"/>
      <c r="G80" s="94"/>
      <c r="H80" s="94"/>
      <c r="I80" s="94"/>
      <c r="J80" s="94"/>
      <c r="K80" s="94"/>
      <c r="L80" s="94"/>
      <c r="M80" s="94"/>
      <c r="N80" s="94"/>
      <c r="O80" s="94"/>
      <c r="P80" s="94"/>
      <c r="Q80" s="94"/>
      <c r="R80" s="94"/>
      <c r="S80" s="94"/>
      <c r="T80" s="94"/>
      <c r="U80" s="94"/>
    </row>
    <row r="81" spans="1:21">
      <c r="A81" s="94"/>
      <c r="B81" s="94"/>
      <c r="C81" s="94"/>
      <c r="D81" s="18">
        <v>500000</v>
      </c>
      <c r="E81" s="234" t="s">
        <v>5017</v>
      </c>
      <c r="F81" s="94"/>
      <c r="G81" s="94"/>
      <c r="H81" s="94"/>
      <c r="I81" s="94"/>
      <c r="J81" s="94"/>
      <c r="K81" s="94"/>
      <c r="L81" s="94"/>
      <c r="M81" s="94"/>
      <c r="N81" s="94"/>
      <c r="O81" s="94"/>
      <c r="P81" s="94"/>
      <c r="Q81" s="94"/>
      <c r="R81" s="94"/>
      <c r="S81" s="94"/>
      <c r="T81" s="94"/>
      <c r="U81" s="94"/>
    </row>
    <row r="82" spans="1:21">
      <c r="A82" s="94"/>
      <c r="B82" s="94"/>
      <c r="C82" s="94"/>
      <c r="D82" s="18">
        <v>1500000</v>
      </c>
      <c r="E82" s="234" t="s">
        <v>5016</v>
      </c>
      <c r="F82" s="94"/>
      <c r="G82" s="94"/>
      <c r="H82" s="94"/>
      <c r="I82" s="94"/>
      <c r="J82" s="94"/>
      <c r="K82" s="94"/>
      <c r="L82" s="94"/>
      <c r="M82" s="94"/>
      <c r="N82" s="94"/>
      <c r="O82" s="94"/>
      <c r="P82" s="94"/>
      <c r="Q82" s="94"/>
      <c r="R82" s="94"/>
      <c r="S82" s="94"/>
      <c r="T82" s="94"/>
      <c r="U82" s="94"/>
    </row>
    <row r="83" spans="1:21">
      <c r="D83" s="18">
        <v>-510000</v>
      </c>
      <c r="E83" s="234" t="s">
        <v>5018</v>
      </c>
      <c r="H83" t="s">
        <v>25</v>
      </c>
    </row>
    <row r="84" spans="1:21">
      <c r="D84" s="18">
        <v>-400000</v>
      </c>
      <c r="E84" s="234" t="s">
        <v>5032</v>
      </c>
    </row>
    <row r="85" spans="1:21">
      <c r="D85" s="18">
        <v>250000</v>
      </c>
      <c r="E85" s="234" t="s">
        <v>5038</v>
      </c>
    </row>
    <row r="86" spans="1:21">
      <c r="D86" s="18">
        <v>-50000</v>
      </c>
      <c r="E86" s="234" t="s">
        <v>5039</v>
      </c>
    </row>
    <row r="87" spans="1:21">
      <c r="D87" s="18">
        <v>-300000</v>
      </c>
      <c r="E87" s="234" t="s">
        <v>5043</v>
      </c>
    </row>
    <row r="88" spans="1:21">
      <c r="D88" s="18">
        <v>-100000</v>
      </c>
      <c r="E88" s="234" t="s">
        <v>5054</v>
      </c>
      <c r="I88" t="s">
        <v>25</v>
      </c>
    </row>
    <row r="89" spans="1:21">
      <c r="D89" s="18">
        <v>-250000</v>
      </c>
      <c r="E89" s="234" t="s">
        <v>5064</v>
      </c>
    </row>
    <row r="90" spans="1:21">
      <c r="D90" s="18">
        <v>-45000</v>
      </c>
      <c r="E90" s="234" t="s">
        <v>5087</v>
      </c>
    </row>
    <row r="91" spans="1:21">
      <c r="D91" s="18">
        <v>3000000</v>
      </c>
      <c r="E91" s="234" t="s">
        <v>5088</v>
      </c>
      <c r="I91" t="s">
        <v>25</v>
      </c>
    </row>
    <row r="92" spans="1:21">
      <c r="D92" s="18">
        <v>-550000</v>
      </c>
      <c r="E92" s="234" t="s">
        <v>5089</v>
      </c>
    </row>
    <row r="93" spans="1:21">
      <c r="D93" s="18">
        <v>-200000</v>
      </c>
      <c r="E93" s="234" t="s">
        <v>5101</v>
      </c>
      <c r="G93" t="s">
        <v>25</v>
      </c>
    </row>
    <row r="94" spans="1:21">
      <c r="D94" s="18">
        <v>-30500</v>
      </c>
      <c r="E94" s="234" t="s">
        <v>5102</v>
      </c>
    </row>
    <row r="95" spans="1:21">
      <c r="D95" s="18">
        <v>2500000</v>
      </c>
      <c r="E95" s="234" t="s">
        <v>5134</v>
      </c>
      <c r="I95" t="s">
        <v>25</v>
      </c>
    </row>
    <row r="96" spans="1:21">
      <c r="D96" s="18">
        <v>-230000</v>
      </c>
      <c r="E96" s="234" t="s">
        <v>5140</v>
      </c>
    </row>
    <row r="97" spans="4:10">
      <c r="D97" s="18">
        <v>-168950</v>
      </c>
      <c r="E97" s="234" t="s">
        <v>4375</v>
      </c>
      <c r="J97" t="s">
        <v>25</v>
      </c>
    </row>
    <row r="98" spans="4:10">
      <c r="D98" s="18">
        <v>-250000</v>
      </c>
      <c r="E98" s="234" t="s">
        <v>5151</v>
      </c>
    </row>
    <row r="99" spans="4:10">
      <c r="D99" s="18">
        <v>500000</v>
      </c>
      <c r="E99" s="234" t="s">
        <v>5162</v>
      </c>
    </row>
    <row r="100" spans="4:10">
      <c r="D100" s="18">
        <v>-520000</v>
      </c>
      <c r="E100" s="234" t="s">
        <v>5161</v>
      </c>
      <c r="J100" t="s">
        <v>25</v>
      </c>
    </row>
    <row r="101" spans="4:10">
      <c r="D101" s="18">
        <v>500000</v>
      </c>
      <c r="E101" s="234" t="s">
        <v>5172</v>
      </c>
    </row>
    <row r="102" spans="4:10">
      <c r="D102" s="18">
        <v>-200000</v>
      </c>
      <c r="E102" s="234" t="s">
        <v>5176</v>
      </c>
    </row>
    <row r="103" spans="4:10">
      <c r="D103" s="18">
        <v>-300000</v>
      </c>
      <c r="E103" s="234" t="s">
        <v>5177</v>
      </c>
    </row>
    <row r="104" spans="4:10">
      <c r="D104" s="18">
        <v>-530000</v>
      </c>
      <c r="E104" s="234" t="s">
        <v>5195</v>
      </c>
    </row>
    <row r="105" spans="4:10">
      <c r="D105" s="18">
        <v>-550000</v>
      </c>
      <c r="E105" s="234" t="s">
        <v>5197</v>
      </c>
    </row>
    <row r="106" spans="4:10">
      <c r="D106" s="18">
        <v>-200000</v>
      </c>
      <c r="E106" s="234" t="s">
        <v>5219</v>
      </c>
    </row>
    <row r="107" spans="4:10">
      <c r="D107" s="18">
        <v>-1600000</v>
      </c>
      <c r="E107" s="234" t="s">
        <v>5221</v>
      </c>
      <c r="G107" t="s">
        <v>25</v>
      </c>
    </row>
    <row r="108" spans="4:10">
      <c r="D108" s="18">
        <v>1600000</v>
      </c>
      <c r="E108" s="234" t="s">
        <v>5225</v>
      </c>
    </row>
    <row r="109" spans="4:10">
      <c r="D109" s="18">
        <v>-550000</v>
      </c>
      <c r="E109" s="234" t="s">
        <v>5227</v>
      </c>
    </row>
    <row r="110" spans="4:10">
      <c r="D110" s="18">
        <v>-15000</v>
      </c>
      <c r="E110" s="234" t="s">
        <v>5232</v>
      </c>
    </row>
    <row r="111" spans="4:10">
      <c r="D111" s="18">
        <v>-325000</v>
      </c>
      <c r="E111" s="234" t="s">
        <v>5245</v>
      </c>
    </row>
    <row r="112" spans="4:10">
      <c r="D112" s="18">
        <v>-130000</v>
      </c>
      <c r="E112" s="234" t="s">
        <v>5246</v>
      </c>
    </row>
    <row r="113" spans="4:10">
      <c r="D113" s="18">
        <v>-250000</v>
      </c>
      <c r="E113" s="234" t="s">
        <v>5254</v>
      </c>
      <c r="J113" t="s">
        <v>25</v>
      </c>
    </row>
    <row r="114" spans="4:10">
      <c r="D114" s="18">
        <v>-750000</v>
      </c>
      <c r="E114" s="234" t="s">
        <v>5257</v>
      </c>
    </row>
    <row r="115" spans="4:10">
      <c r="D115" s="18">
        <v>250000</v>
      </c>
      <c r="E115" s="234" t="s">
        <v>5263</v>
      </c>
    </row>
    <row r="116" spans="4:10">
      <c r="D116" s="18">
        <v>-2100000</v>
      </c>
      <c r="E116" s="234" t="s">
        <v>5275</v>
      </c>
    </row>
    <row r="117" spans="4:10">
      <c r="D117" s="18">
        <v>-1000000</v>
      </c>
      <c r="E117" s="234" t="s">
        <v>5283</v>
      </c>
    </row>
    <row r="118" spans="4:10">
      <c r="D118" s="18">
        <v>-100000</v>
      </c>
      <c r="E118" s="234" t="s">
        <v>5284</v>
      </c>
    </row>
    <row r="119" spans="4:10">
      <c r="D119" s="18">
        <v>-550000</v>
      </c>
      <c r="E119" s="234" t="s">
        <v>5314</v>
      </c>
    </row>
    <row r="120" spans="4:10">
      <c r="D120" s="18">
        <v>-550000</v>
      </c>
      <c r="E120" s="234" t="s">
        <v>5315</v>
      </c>
    </row>
    <row r="121" spans="4:10">
      <c r="D121" s="18">
        <v>-390000</v>
      </c>
      <c r="E121" s="234" t="s">
        <v>5337</v>
      </c>
      <c r="H121" t="s">
        <v>25</v>
      </c>
      <c r="J121" t="s">
        <v>25</v>
      </c>
    </row>
    <row r="122" spans="4:10">
      <c r="D122" s="18">
        <v>2432520</v>
      </c>
      <c r="E122" s="234" t="s">
        <v>5338</v>
      </c>
    </row>
    <row r="123" spans="4:10">
      <c r="D123" s="18">
        <v>8000000</v>
      </c>
      <c r="E123" s="234" t="s">
        <v>5353</v>
      </c>
    </row>
    <row r="124" spans="4:10">
      <c r="D124" s="18">
        <v>-83930</v>
      </c>
      <c r="E124" s="234" t="s">
        <v>5362</v>
      </c>
    </row>
    <row r="125" spans="4:10">
      <c r="D125" s="18">
        <v>1000000</v>
      </c>
      <c r="E125" s="234" t="s">
        <v>5390</v>
      </c>
    </row>
    <row r="126" spans="4:10">
      <c r="D126" s="18">
        <v>-1333333</v>
      </c>
      <c r="E126" s="234" t="s">
        <v>5391</v>
      </c>
      <c r="J126" t="s">
        <v>25</v>
      </c>
    </row>
    <row r="127" spans="4:10">
      <c r="D127" s="18">
        <v>-1050000</v>
      </c>
      <c r="E127" s="234" t="s">
        <v>5407</v>
      </c>
    </row>
    <row r="128" spans="4:10">
      <c r="D128" s="18">
        <v>-2000000</v>
      </c>
      <c r="E128" s="234" t="s">
        <v>5414</v>
      </c>
      <c r="I128" t="s">
        <v>25</v>
      </c>
    </row>
    <row r="129" spans="4:5">
      <c r="D129" s="18">
        <v>-250000</v>
      </c>
      <c r="E129" s="234" t="s">
        <v>5422</v>
      </c>
    </row>
    <row r="130" spans="4:5">
      <c r="D130" s="18">
        <v>-550000</v>
      </c>
      <c r="E130" s="234" t="s">
        <v>5426</v>
      </c>
    </row>
    <row r="131" spans="4:5">
      <c r="D131" s="18">
        <v>210000</v>
      </c>
      <c r="E131" s="234" t="s">
        <v>5427</v>
      </c>
    </row>
    <row r="132" spans="4:5">
      <c r="D132" s="18">
        <v>-724200</v>
      </c>
      <c r="E132" s="234" t="s">
        <v>5458</v>
      </c>
    </row>
    <row r="133" spans="4:5">
      <c r="D133" s="18">
        <v>-400000</v>
      </c>
      <c r="E133" s="234" t="s">
        <v>5468</v>
      </c>
    </row>
    <row r="134" spans="4:5">
      <c r="D134" s="18">
        <v>-550000</v>
      </c>
      <c r="E134" s="234" t="s">
        <v>5476</v>
      </c>
    </row>
    <row r="135" spans="4:5">
      <c r="D135" s="18">
        <v>-2167000</v>
      </c>
      <c r="E135" s="234" t="s">
        <v>5479</v>
      </c>
    </row>
    <row r="136" spans="4:5">
      <c r="D136" s="18">
        <v>-125000</v>
      </c>
      <c r="E136" s="234" t="s">
        <v>5486</v>
      </c>
    </row>
    <row r="137" spans="4:5">
      <c r="D137" s="18">
        <v>-200000</v>
      </c>
      <c r="E137" s="234" t="s">
        <v>5493</v>
      </c>
    </row>
    <row r="138" spans="4:5">
      <c r="D138" s="18">
        <v>-2000000</v>
      </c>
      <c r="E138" s="234" t="s">
        <v>5507</v>
      </c>
    </row>
    <row r="139" spans="4:5">
      <c r="D139" s="18">
        <v>-1287000</v>
      </c>
      <c r="E139" s="234" t="s">
        <v>5513</v>
      </c>
    </row>
    <row r="140" spans="4:5">
      <c r="D140" s="18">
        <v>-2000000</v>
      </c>
      <c r="E140" s="234" t="s">
        <v>5517</v>
      </c>
    </row>
    <row r="141" spans="4:5">
      <c r="D141" s="18">
        <v>-2500000</v>
      </c>
      <c r="E141" s="234" t="s">
        <v>5518</v>
      </c>
    </row>
    <row r="142" spans="4:5">
      <c r="D142" s="18">
        <v>-500000</v>
      </c>
      <c r="E142" s="234" t="s">
        <v>5534</v>
      </c>
    </row>
    <row r="143" spans="4:5">
      <c r="D143" s="18">
        <v>-83930</v>
      </c>
      <c r="E143" s="234" t="s">
        <v>5542</v>
      </c>
    </row>
    <row r="144" spans="4:5">
      <c r="D144" s="18">
        <v>-550000</v>
      </c>
      <c r="E144" s="234" t="s">
        <v>5541</v>
      </c>
    </row>
    <row r="145" spans="4:9">
      <c r="D145" s="18">
        <v>-25000</v>
      </c>
      <c r="E145" s="234" t="s">
        <v>5550</v>
      </c>
      <c r="I145" t="s">
        <v>25</v>
      </c>
    </row>
    <row r="146" spans="4:9">
      <c r="D146" s="18">
        <v>-180000</v>
      </c>
      <c r="E146" s="234" t="s">
        <v>5602</v>
      </c>
      <c r="G146" t="s">
        <v>25</v>
      </c>
    </row>
    <row r="147" spans="4:9">
      <c r="D147" s="18">
        <v>-30000</v>
      </c>
      <c r="E147" s="234" t="s">
        <v>5601</v>
      </c>
    </row>
    <row r="148" spans="4:9">
      <c r="D148" s="18">
        <v>-47000</v>
      </c>
      <c r="E148" s="234" t="s">
        <v>5600</v>
      </c>
    </row>
    <row r="149" spans="4:9">
      <c r="D149" s="18">
        <v>-1000000</v>
      </c>
      <c r="E149" s="234" t="s">
        <v>5603</v>
      </c>
    </row>
    <row r="150" spans="4:9">
      <c r="D150" s="18">
        <v>-500000</v>
      </c>
      <c r="E150" s="234" t="s">
        <v>5616</v>
      </c>
    </row>
    <row r="151" spans="4:9">
      <c r="D151" s="18">
        <v>-5000000</v>
      </c>
      <c r="E151" s="234" t="s">
        <v>5621</v>
      </c>
    </row>
    <row r="152" spans="4:9">
      <c r="D152" s="18">
        <v>-200000</v>
      </c>
      <c r="E152" s="234" t="s">
        <v>5631</v>
      </c>
    </row>
    <row r="153" spans="4:9">
      <c r="D153" s="18">
        <v>-268000</v>
      </c>
      <c r="E153" s="234" t="s">
        <v>5664</v>
      </c>
      <c r="I153" t="s">
        <v>25</v>
      </c>
    </row>
    <row r="154" spans="4:9">
      <c r="D154" s="18">
        <v>-1800000</v>
      </c>
      <c r="E154" s="234" t="s">
        <v>5680</v>
      </c>
    </row>
    <row r="155" spans="4:9" ht="30">
      <c r="D155" s="18">
        <v>-3200000</v>
      </c>
      <c r="E155" s="234" t="s">
        <v>5681</v>
      </c>
      <c r="I155" t="s">
        <v>25</v>
      </c>
    </row>
    <row r="156" spans="4:9">
      <c r="D156" s="18">
        <v>-300000</v>
      </c>
      <c r="E156" s="234" t="s">
        <v>5690</v>
      </c>
    </row>
    <row r="157" spans="4:9">
      <c r="D157" s="18">
        <v>-1300000</v>
      </c>
      <c r="E157" s="234" t="s">
        <v>5691</v>
      </c>
    </row>
    <row r="158" spans="4:9">
      <c r="D158" s="18">
        <v>860000</v>
      </c>
      <c r="E158" s="234" t="s">
        <v>5706</v>
      </c>
    </row>
    <row r="159" spans="4:9">
      <c r="D159" s="18">
        <v>-83900</v>
      </c>
      <c r="E159" s="234" t="s">
        <v>5714</v>
      </c>
      <c r="I159" t="s">
        <v>25</v>
      </c>
    </row>
    <row r="160" spans="4:9">
      <c r="D160" s="18">
        <v>-3810000</v>
      </c>
      <c r="E160" s="234" t="s">
        <v>5729</v>
      </c>
      <c r="H160" t="s">
        <v>25</v>
      </c>
    </row>
    <row r="161" spans="4:11">
      <c r="D161" s="18">
        <v>30000000</v>
      </c>
      <c r="E161" s="234" t="s">
        <v>5830</v>
      </c>
      <c r="I161" t="s">
        <v>25</v>
      </c>
    </row>
    <row r="162" spans="4:11">
      <c r="D162" s="18">
        <v>50000000</v>
      </c>
      <c r="E162" s="234" t="s">
        <v>5839</v>
      </c>
    </row>
    <row r="163" spans="4:11">
      <c r="D163" s="18">
        <v>-19100000</v>
      </c>
      <c r="E163" s="234" t="s">
        <v>5838</v>
      </c>
    </row>
    <row r="164" spans="4:11">
      <c r="D164" s="18">
        <v>1470000</v>
      </c>
      <c r="E164" s="234" t="s">
        <v>6392</v>
      </c>
      <c r="I164" t="s">
        <v>25</v>
      </c>
    </row>
    <row r="165" spans="4:11">
      <c r="D165" s="18">
        <v>-2540000</v>
      </c>
      <c r="E165" s="234" t="s">
        <v>6393</v>
      </c>
      <c r="K165" t="s">
        <v>25</v>
      </c>
    </row>
    <row r="166" spans="4:11">
      <c r="D166" s="18">
        <v>-1040000</v>
      </c>
      <c r="E166" s="234" t="s">
        <v>6394</v>
      </c>
    </row>
    <row r="167" spans="4:11">
      <c r="D167" s="18">
        <v>-50252149</v>
      </c>
      <c r="E167" s="234" t="s">
        <v>6401</v>
      </c>
    </row>
    <row r="168" spans="4:11">
      <c r="D168" s="18">
        <v>-1500000</v>
      </c>
      <c r="E168" s="234" t="s">
        <v>6692</v>
      </c>
    </row>
    <row r="169" spans="4:11">
      <c r="D169" s="18">
        <v>-2500000</v>
      </c>
      <c r="E169" s="234" t="s">
        <v>6693</v>
      </c>
      <c r="H169" t="s">
        <v>25</v>
      </c>
    </row>
    <row r="170" spans="4:11">
      <c r="D170" s="18">
        <v>-2600000</v>
      </c>
      <c r="E170" s="234" t="s">
        <v>6697</v>
      </c>
    </row>
    <row r="171" spans="4:11">
      <c r="D171" s="18">
        <v>-2060000</v>
      </c>
      <c r="E171" s="234" t="s">
        <v>6747</v>
      </c>
    </row>
    <row r="172" spans="4:11">
      <c r="D172" s="18"/>
      <c r="E172" s="234"/>
    </row>
    <row r="173" spans="4:11">
      <c r="D173" s="18"/>
      <c r="E173" s="234"/>
    </row>
    <row r="174" spans="4:11">
      <c r="D174" s="18"/>
      <c r="E174" s="94"/>
    </row>
    <row r="175" spans="4:11">
      <c r="D175" s="18"/>
      <c r="E175" s="94" t="s">
        <v>25</v>
      </c>
      <c r="J175" t="s">
        <v>25</v>
      </c>
    </row>
    <row r="176" spans="4:11">
      <c r="D176" s="18">
        <f>SUM(D40:D175)</f>
        <v>-3846463</v>
      </c>
      <c r="E176" s="94" t="s">
        <v>6</v>
      </c>
    </row>
    <row r="177" spans="4:5">
      <c r="D177" s="94"/>
      <c r="E177" s="94"/>
    </row>
    <row r="178" spans="4:5">
      <c r="D178" s="94"/>
      <c r="E178" s="94"/>
    </row>
    <row r="181" spans="4:5">
      <c r="E181" t="s">
        <v>25</v>
      </c>
    </row>
    <row r="182" spans="4:5">
      <c r="E182" t="s">
        <v>25</v>
      </c>
    </row>
    <row r="183" spans="4:5">
      <c r="E183"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71</vt:i4>
      </vt:variant>
    </vt:vector>
  </HeadingPairs>
  <TitlesOfParts>
    <vt:vector size="71" baseType="lpstr">
      <vt:lpstr>دلار</vt:lpstr>
      <vt:lpstr>AgentBased</vt:lpstr>
      <vt:lpstr>سهام بنیادی</vt:lpstr>
      <vt:lpstr>وسپه</vt:lpstr>
      <vt:lpstr>تاپیکو</vt:lpstr>
      <vt:lpstr>ومهان</vt:lpstr>
      <vt:lpstr>وغدیر</vt:lpstr>
      <vt:lpstr>مهدی</vt:lpstr>
      <vt:lpstr>فروردین 98</vt:lpstr>
      <vt:lpstr>نقدینگی</vt:lpstr>
      <vt:lpstr>برنامه 5 ساله</vt:lpstr>
      <vt:lpstr>خرید و فروش نسبتی</vt:lpstr>
      <vt:lpstr>سکه</vt:lpstr>
      <vt:lpstr>سارا</vt:lpstr>
      <vt:lpstr>مسکن ایلیا</vt:lpstr>
      <vt:lpstr>خرید و فروش سکه فیزیکی</vt:lpstr>
      <vt:lpstr>مسکن مریم یاران</vt:lpstr>
      <vt:lpstr>بدهی خانه</vt:lpstr>
      <vt:lpstr>معاملات مرتبط</vt:lpstr>
      <vt:lpstr>مسکن علی سید الشهدا</vt:lpstr>
      <vt:lpstr>استراتژی جدید</vt:lpstr>
      <vt:lpstr>strategy</vt:lpstr>
      <vt:lpstr>مسکن مریم سید الشهدا</vt:lpstr>
      <vt:lpstr>شهریور 95</vt:lpstr>
      <vt:lpstr>سرمایه گذاری ها</vt:lpstr>
      <vt:lpstr>اردیبهشت95</vt:lpstr>
      <vt:lpstr>خرداد 95</vt:lpstr>
      <vt:lpstr>تیرماه95</vt:lpstr>
      <vt:lpstr>مرداد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apply</vt:lpstr>
      <vt:lpstr>بیمه</vt:lpstr>
      <vt:lpstr>آرشیو قیمت ارجینال</vt:lpstr>
      <vt:lpstr>تحلیل1</vt:lpstr>
      <vt:lpstr>Sheet1</vt:lpstr>
      <vt:lpstr>ومهان بورسی</vt:lpstr>
      <vt:lpstr>صبحانه</vt:lpstr>
      <vt:lpstr>شارژ ساختمان</vt:lpstr>
      <vt:lpstr>خرید خانه</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2022-06-15T09:34:10Z</dcterms:modified>
</cp:coreProperties>
</file>