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N23" i="63" l="1"/>
  <c r="N21" i="63"/>
  <c r="I23" i="63"/>
  <c r="J23" i="63" s="1"/>
  <c r="K23" i="63" s="1"/>
  <c r="G23" i="63"/>
  <c r="H23" i="63"/>
  <c r="I29" i="63"/>
  <c r="P24" i="63"/>
  <c r="D50" i="63" l="1"/>
  <c r="D51" i="63"/>
  <c r="D49" i="63"/>
  <c r="D60" i="63" s="1"/>
  <c r="B64" i="63" s="1"/>
  <c r="J51" i="18"/>
  <c r="R196" i="18"/>
  <c r="I36" i="63"/>
  <c r="J36" i="63" s="1"/>
  <c r="I35" i="63"/>
  <c r="O63" i="18"/>
  <c r="J35" i="63"/>
  <c r="K35" i="63" s="1"/>
  <c r="S142" i="60" l="1"/>
  <c r="K36" i="63" l="1"/>
  <c r="I33" i="63"/>
  <c r="J33" i="63" s="1"/>
  <c r="I34" i="63"/>
  <c r="J34" i="63" s="1"/>
  <c r="K34"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2" i="63"/>
  <c r="R131" i="60" l="1"/>
  <c r="S132" i="60"/>
  <c r="W490" i="18"/>
  <c r="W489" i="18"/>
  <c r="W488" i="18"/>
  <c r="G29" i="63"/>
  <c r="H29" i="63"/>
  <c r="Q35" i="63"/>
  <c r="P35" i="63"/>
  <c r="Q34" i="63"/>
  <c r="P34" i="63"/>
  <c r="R130" i="60" l="1"/>
  <c r="S131" i="60"/>
  <c r="J29" i="63"/>
  <c r="K29" i="63" s="1"/>
  <c r="W487" i="18"/>
  <c r="R129" i="60" l="1"/>
  <c r="S130" i="60"/>
  <c r="I28" i="63"/>
  <c r="I27" i="63"/>
  <c r="H28" i="63"/>
  <c r="N29" i="63" s="1"/>
  <c r="H27" i="63"/>
  <c r="I41" i="63"/>
  <c r="I42" i="63"/>
  <c r="I43" i="63"/>
  <c r="I44" i="63"/>
  <c r="I40" i="63"/>
  <c r="K33" i="63"/>
  <c r="I26" i="63"/>
  <c r="I31" i="63"/>
  <c r="I30" i="63"/>
  <c r="H30" i="63"/>
  <c r="I25" i="63"/>
  <c r="I24" i="63"/>
  <c r="H24"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7" i="63"/>
  <c r="J28" i="63"/>
  <c r="K28" i="63" s="1"/>
  <c r="G17" i="67"/>
  <c r="H17" i="67" s="1"/>
  <c r="J30" i="63"/>
  <c r="K30" i="63" s="1"/>
  <c r="J24" i="63"/>
  <c r="K24" i="63" s="1"/>
  <c r="L41" i="18"/>
  <c r="L42" i="18"/>
  <c r="R127" i="60" l="1"/>
  <c r="S128" i="60"/>
  <c r="L43" i="18"/>
  <c r="W486" i="18"/>
  <c r="G140" i="18"/>
  <c r="G28" i="63"/>
  <c r="R126" i="60" l="1"/>
  <c r="S127" i="60"/>
  <c r="W485" i="18"/>
  <c r="W484" i="18"/>
  <c r="N29" i="18"/>
  <c r="O7" i="60"/>
  <c r="O9" i="60"/>
  <c r="O10" i="60"/>
  <c r="O11" i="60"/>
  <c r="O12" i="60"/>
  <c r="O13" i="60"/>
  <c r="O14" i="60"/>
  <c r="K27" i="63"/>
  <c r="G27" i="63"/>
  <c r="H26" i="63"/>
  <c r="G26" i="63"/>
  <c r="R125" i="60" l="1"/>
  <c r="S126" i="60"/>
  <c r="J26" i="63"/>
  <c r="K26" i="63" s="1"/>
  <c r="N27" i="63"/>
  <c r="E134" i="60"/>
  <c r="E136" i="60"/>
  <c r="E137" i="60"/>
  <c r="E138" i="60"/>
  <c r="E135" i="60"/>
  <c r="C138" i="60"/>
  <c r="R124" i="60" l="1"/>
  <c r="S125" i="60"/>
  <c r="W483"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1" i="63"/>
  <c r="J31" i="63" s="1"/>
  <c r="K31" i="63" s="1"/>
  <c r="G31" i="63"/>
  <c r="S111" i="60" l="1"/>
  <c r="R110" i="60"/>
  <c r="D2" i="60"/>
  <c r="G8" i="60"/>
  <c r="N8" i="60" s="1"/>
  <c r="G6" i="60"/>
  <c r="N6" i="60" s="1"/>
  <c r="H3" i="60"/>
  <c r="H4" i="60"/>
  <c r="H5" i="60"/>
  <c r="H2" i="60"/>
  <c r="F2" i="60"/>
  <c r="R109" i="60" l="1"/>
  <c r="S110" i="60"/>
  <c r="W473" i="18"/>
  <c r="N53" i="18"/>
  <c r="T3" i="64"/>
  <c r="T4" i="64"/>
  <c r="T5" i="64"/>
  <c r="T6" i="64"/>
  <c r="T7" i="64"/>
  <c r="T2" i="64"/>
  <c r="R108" i="60" l="1"/>
  <c r="S109" i="60"/>
  <c r="G30" i="63"/>
  <c r="H307" i="18"/>
  <c r="W472" i="18"/>
  <c r="W471" i="18"/>
  <c r="AL244" i="18"/>
  <c r="AL243" i="18" s="1"/>
  <c r="AL242" i="18" s="1"/>
  <c r="S108" i="60" l="1"/>
  <c r="R107" i="60"/>
  <c r="W470" i="18"/>
  <c r="R106" i="60" l="1"/>
  <c r="S107" i="60"/>
  <c r="W469" i="18"/>
  <c r="G20" i="63"/>
  <c r="H20" i="63"/>
  <c r="G21" i="63"/>
  <c r="H21" i="63"/>
  <c r="U2" i="63"/>
  <c r="R105" i="60" l="1"/>
  <c r="S106" i="60"/>
  <c r="J20" i="63"/>
  <c r="K20" i="63" s="1"/>
  <c r="J21" i="63"/>
  <c r="K21" i="63" s="1"/>
  <c r="G40" i="63"/>
  <c r="H40" i="63"/>
  <c r="J40" i="63" s="1"/>
  <c r="K40"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5" i="63"/>
  <c r="J25" i="63" s="1"/>
  <c r="K25" i="63" s="1"/>
  <c r="G25" i="63"/>
  <c r="G24" i="63"/>
  <c r="W462" i="18"/>
  <c r="S92" i="60" l="1"/>
  <c r="R91" i="60"/>
  <c r="N16" i="63"/>
  <c r="N25"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2" i="63"/>
  <c r="H42" i="63"/>
  <c r="J42" i="63" s="1"/>
  <c r="K42" i="63" s="1"/>
  <c r="G43" i="63"/>
  <c r="H43" i="63"/>
  <c r="J43" i="63" s="1"/>
  <c r="G44" i="63"/>
  <c r="H44" i="63"/>
  <c r="J44" i="63" s="1"/>
  <c r="K44" i="63" s="1"/>
  <c r="G41" i="63"/>
  <c r="H41" i="63"/>
  <c r="J41" i="63" s="1"/>
  <c r="K41" i="63" s="1"/>
  <c r="W452" i="18"/>
  <c r="R79" i="60" l="1"/>
  <c r="S80" i="60"/>
  <c r="K43" i="63"/>
  <c r="Q11" i="63"/>
  <c r="N44" i="63"/>
  <c r="N42" i="63"/>
  <c r="N43" i="63"/>
  <c r="N41"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W391" i="18"/>
  <c r="R28" i="60" l="1"/>
  <c r="S28" i="60" s="1"/>
  <c r="S29" i="60"/>
  <c r="W390" i="18"/>
  <c r="W389" i="18" l="1"/>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V152" i="18" s="1"/>
  <c r="W151" i="18"/>
  <c r="X151" i="18"/>
  <c r="W147" i="18"/>
  <c r="X147" i="18"/>
  <c r="G4" i="20"/>
  <c r="I5" i="20"/>
  <c r="J5" i="20"/>
  <c r="K5" i="20"/>
  <c r="W152" i="18" l="1"/>
  <c r="X152" i="18"/>
  <c r="V150" i="18"/>
  <c r="G3" i="20"/>
  <c r="I4" i="20"/>
  <c r="J4" i="20"/>
  <c r="K4" i="20"/>
  <c r="W150" i="18" l="1"/>
  <c r="X150"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<sst xmlns="http://schemas.openxmlformats.org/spreadsheetml/2006/main" count="15631" uniqueCount="6534">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</sst>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1">
    <dxf>
      <fill>
        <patternFill patternType="none">
          <bgColor auto="1"/>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3"/>
  <sheetViews>
    <sheetView topLeftCell="H116" zoomScaleNormal="100" workbookViewId="0">
      <selection activeCell="P148" sqref="P148"/>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704</v>
      </c>
      <c r="S28" s="97">
        <f>P28*R28</f>
        <v>5280000000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700</v>
      </c>
      <c r="S29" s="97">
        <f t="shared" ref="S29:S92" si="12">P29*R29</f>
        <v>-350000000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693</v>
      </c>
      <c r="S30" s="97">
        <f t="shared" si="12"/>
        <v>-4851000000</v>
      </c>
      <c r="T30" s="97"/>
      <c r="U30" s="94"/>
      <c r="V30" s="94"/>
    </row>
    <row r="31" spans="1:24">
      <c r="A31" t="s">
        <v>5818</v>
      </c>
      <c r="B31" s="94"/>
      <c r="C31" s="94" t="s">
        <v>5105</v>
      </c>
      <c r="D31" s="94">
        <v>235</v>
      </c>
      <c r="E31" s="94">
        <v>1</v>
      </c>
      <c r="F31" s="94">
        <f t="shared" si="9"/>
        <v>235000000</v>
      </c>
      <c r="G31" s="94">
        <f t="shared" si="10"/>
        <v>2679</v>
      </c>
      <c r="O31" s="97" t="s">
        <v>4922</v>
      </c>
      <c r="P31" s="18">
        <v>2000000</v>
      </c>
      <c r="Q31" s="97">
        <v>6</v>
      </c>
      <c r="R31" s="97">
        <f t="shared" si="11"/>
        <v>692</v>
      </c>
      <c r="S31" s="97">
        <f t="shared" si="12"/>
        <v>1384000000</v>
      </c>
      <c r="T31" s="97"/>
      <c r="U31" s="94"/>
      <c r="V31" s="94"/>
    </row>
    <row r="32" spans="1:24">
      <c r="A32" s="94" t="s">
        <v>5819</v>
      </c>
      <c r="B32" s="94">
        <v>0.3</v>
      </c>
      <c r="C32" s="94" t="s">
        <v>5106</v>
      </c>
      <c r="D32" s="94">
        <v>500</v>
      </c>
      <c r="E32" s="94">
        <v>0.6</v>
      </c>
      <c r="F32" s="94">
        <f t="shared" si="9"/>
        <v>300000000</v>
      </c>
      <c r="G32" s="94">
        <f t="shared" si="10"/>
        <v>3420</v>
      </c>
      <c r="O32" s="97" t="s">
        <v>4936</v>
      </c>
      <c r="P32" s="18">
        <v>1000000</v>
      </c>
      <c r="Q32" s="97">
        <v>3</v>
      </c>
      <c r="R32" s="97">
        <f t="shared" si="11"/>
        <v>686</v>
      </c>
      <c r="S32" s="97">
        <f t="shared" si="12"/>
        <v>686000000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683</v>
      </c>
      <c r="S33" s="97">
        <f t="shared" si="12"/>
        <v>136600000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680</v>
      </c>
      <c r="S34" s="97">
        <f t="shared" si="12"/>
        <v>-2176000000</v>
      </c>
      <c r="T34" s="97"/>
      <c r="U34" s="94"/>
      <c r="V34" s="94"/>
    </row>
    <row r="35" spans="1:24">
      <c r="A35" s="120" t="s">
        <v>5820</v>
      </c>
      <c r="B35" s="18">
        <f>B32*B33/B34</f>
        <v>600</v>
      </c>
      <c r="E35" s="94"/>
      <c r="F35" s="94"/>
      <c r="G35" s="94"/>
      <c r="O35" s="97" t="s">
        <v>4958</v>
      </c>
      <c r="P35" s="18">
        <v>6000000</v>
      </c>
      <c r="Q35" s="97">
        <v>1</v>
      </c>
      <c r="R35" s="97">
        <f t="shared" si="11"/>
        <v>674</v>
      </c>
      <c r="S35" s="97">
        <f t="shared" si="12"/>
        <v>4044000000</v>
      </c>
      <c r="T35" s="97"/>
      <c r="U35" s="94"/>
      <c r="V35" s="94"/>
    </row>
    <row r="36" spans="1:24">
      <c r="A36" s="120" t="s">
        <v>5821</v>
      </c>
      <c r="B36" s="120">
        <v>872000000</v>
      </c>
      <c r="E36" s="94"/>
      <c r="F36" s="94"/>
      <c r="G36" s="94"/>
      <c r="O36" s="97" t="s">
        <v>4959</v>
      </c>
      <c r="P36" s="18">
        <v>2000000</v>
      </c>
      <c r="Q36" s="97">
        <v>3</v>
      </c>
      <c r="R36" s="97">
        <f t="shared" si="11"/>
        <v>673</v>
      </c>
      <c r="S36" s="97">
        <f t="shared" si="12"/>
        <v>1346000000</v>
      </c>
      <c r="T36" s="97"/>
      <c r="U36" s="94"/>
      <c r="V36" s="94"/>
    </row>
    <row r="37" spans="1:24">
      <c r="A37" s="120" t="s">
        <v>5822</v>
      </c>
      <c r="B37" s="18">
        <v>750</v>
      </c>
      <c r="E37" s="94"/>
      <c r="F37" s="94"/>
      <c r="O37" s="97" t="s">
        <v>4966</v>
      </c>
      <c r="P37" s="18">
        <v>-50000</v>
      </c>
      <c r="Q37" s="97">
        <v>7</v>
      </c>
      <c r="R37" s="97">
        <f t="shared" si="11"/>
        <v>670</v>
      </c>
      <c r="S37" s="97">
        <f t="shared" si="12"/>
        <v>-33500000</v>
      </c>
      <c r="T37" s="97"/>
      <c r="U37" s="94"/>
      <c r="V37" s="94"/>
    </row>
    <row r="38" spans="1:24">
      <c r="A38" s="120" t="s">
        <v>5823</v>
      </c>
      <c r="B38" s="94">
        <f>B36*B37/B34</f>
        <v>36.333333333333336</v>
      </c>
      <c r="C38" s="94" t="s">
        <v>5093</v>
      </c>
      <c r="D38" s="94" t="s">
        <v>5094</v>
      </c>
      <c r="E38" s="94"/>
      <c r="F38" s="94"/>
      <c r="O38" s="97" t="s">
        <v>4972</v>
      </c>
      <c r="P38" s="18">
        <v>-2480000</v>
      </c>
      <c r="Q38" s="97">
        <v>5</v>
      </c>
      <c r="R38" s="97">
        <f t="shared" si="11"/>
        <v>663</v>
      </c>
      <c r="S38" s="97">
        <f t="shared" si="12"/>
        <v>-1644240000</v>
      </c>
      <c r="T38" s="97"/>
      <c r="U38" s="94"/>
      <c r="V38" s="94"/>
    </row>
    <row r="39" spans="1:24">
      <c r="A39" s="120"/>
      <c r="B39" s="120"/>
      <c r="C39" s="94" t="s">
        <v>5100</v>
      </c>
      <c r="D39" s="94">
        <v>1000000</v>
      </c>
      <c r="E39" s="94"/>
      <c r="F39" s="94"/>
      <c r="O39" s="97" t="s">
        <v>4980</v>
      </c>
      <c r="P39" s="18">
        <v>300000</v>
      </c>
      <c r="Q39" s="97">
        <v>1</v>
      </c>
      <c r="R39" s="97">
        <f t="shared" si="11"/>
        <v>658</v>
      </c>
      <c r="S39" s="97">
        <f t="shared" si="12"/>
        <v>197400000</v>
      </c>
      <c r="T39" s="97"/>
      <c r="U39" s="94"/>
      <c r="V39" s="94"/>
      <c r="X39" t="s">
        <v>25</v>
      </c>
    </row>
    <row r="40" spans="1:24">
      <c r="A40" s="120"/>
      <c r="B40" s="18"/>
      <c r="C40" s="94" t="s">
        <v>5095</v>
      </c>
      <c r="D40" s="94" t="s">
        <v>5096</v>
      </c>
      <c r="E40" s="94"/>
      <c r="F40" s="94"/>
      <c r="O40" s="97" t="s">
        <v>4213</v>
      </c>
      <c r="P40" s="18">
        <v>300000</v>
      </c>
      <c r="Q40" s="97">
        <v>6</v>
      </c>
      <c r="R40" s="97">
        <f t="shared" si="11"/>
        <v>657</v>
      </c>
      <c r="S40" s="97">
        <f t="shared" si="12"/>
        <v>197100000</v>
      </c>
      <c r="T40" s="97"/>
      <c r="U40" s="94"/>
      <c r="V40" s="94"/>
    </row>
    <row r="41" spans="1:24">
      <c r="A41" s="120"/>
      <c r="B41" s="94"/>
      <c r="E41" s="94"/>
      <c r="F41" s="94"/>
      <c r="O41" s="97" t="s">
        <v>4989</v>
      </c>
      <c r="P41" s="18">
        <v>500000</v>
      </c>
      <c r="Q41" s="97">
        <v>2</v>
      </c>
      <c r="R41" s="97">
        <f t="shared" si="11"/>
        <v>651</v>
      </c>
      <c r="S41" s="97">
        <f t="shared" si="12"/>
        <v>325500000</v>
      </c>
      <c r="T41" s="97"/>
      <c r="U41" s="94"/>
      <c r="V41" s="94"/>
    </row>
    <row r="42" spans="1:24">
      <c r="A42" s="94"/>
      <c r="B42" s="94"/>
      <c r="E42" s="94"/>
      <c r="F42" s="94"/>
      <c r="O42" s="97" t="s">
        <v>4995</v>
      </c>
      <c r="P42" s="18">
        <v>100000</v>
      </c>
      <c r="Q42" s="97">
        <v>1</v>
      </c>
      <c r="R42" s="97">
        <f t="shared" si="11"/>
        <v>649</v>
      </c>
      <c r="S42" s="97">
        <f t="shared" si="12"/>
        <v>64900000</v>
      </c>
      <c r="T42" s="97"/>
      <c r="U42" s="94"/>
      <c r="V42" s="94"/>
      <c r="X42" t="s">
        <v>25</v>
      </c>
    </row>
    <row r="43" spans="1:24">
      <c r="A43" s="94"/>
      <c r="B43" s="94"/>
      <c r="E43" s="94"/>
      <c r="F43" s="94"/>
      <c r="O43" s="97" t="s">
        <v>4996</v>
      </c>
      <c r="P43" s="18">
        <v>-6423626</v>
      </c>
      <c r="Q43" s="97">
        <v>1</v>
      </c>
      <c r="R43" s="97">
        <f t="shared" si="11"/>
        <v>648</v>
      </c>
      <c r="S43" s="97">
        <f t="shared" si="12"/>
        <v>-4162509648</v>
      </c>
      <c r="T43" s="97"/>
      <c r="U43" s="94"/>
      <c r="V43" s="94"/>
    </row>
    <row r="44" spans="1:24">
      <c r="A44" s="94"/>
      <c r="B44" s="94"/>
      <c r="E44" s="94"/>
      <c r="F44" s="94"/>
      <c r="O44" s="97" t="s">
        <v>4999</v>
      </c>
      <c r="P44" s="18">
        <v>-4592486</v>
      </c>
      <c r="Q44" s="97">
        <v>0</v>
      </c>
      <c r="R44" s="97">
        <f t="shared" si="11"/>
        <v>647</v>
      </c>
      <c r="S44" s="97">
        <f t="shared" si="12"/>
        <v>-2971338442</v>
      </c>
      <c r="T44" s="97"/>
      <c r="U44" s="94"/>
      <c r="V44" s="94"/>
    </row>
    <row r="45" spans="1:24">
      <c r="A45" s="94"/>
      <c r="B45" s="94" t="s">
        <v>4835</v>
      </c>
      <c r="C45" s="94" t="s">
        <v>4248</v>
      </c>
      <c r="D45" s="94" t="s">
        <v>4422</v>
      </c>
      <c r="E45" s="94" t="s">
        <v>5098</v>
      </c>
      <c r="F45" s="94" t="s">
        <v>5406</v>
      </c>
      <c r="O45" s="97" t="s">
        <v>4999</v>
      </c>
      <c r="P45" s="18">
        <v>4346112</v>
      </c>
      <c r="Q45" s="97">
        <v>11</v>
      </c>
      <c r="R45" s="97">
        <f t="shared" si="11"/>
        <v>647</v>
      </c>
      <c r="S45" s="97">
        <f t="shared" si="12"/>
        <v>2811934464</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636</v>
      </c>
      <c r="S46" s="97">
        <f t="shared" si="12"/>
        <v>954000000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620</v>
      </c>
      <c r="S47" s="97">
        <f t="shared" si="12"/>
        <v>3720000000</v>
      </c>
      <c r="T47" s="97"/>
      <c r="U47" s="94"/>
      <c r="V47" s="94"/>
    </row>
    <row r="48" spans="1:24">
      <c r="A48" s="94"/>
      <c r="B48" s="94"/>
      <c r="E48" s="94"/>
      <c r="F48" s="94"/>
      <c r="O48" s="97" t="s">
        <v>5052</v>
      </c>
      <c r="P48" s="18">
        <v>-50000</v>
      </c>
      <c r="Q48" s="97">
        <v>3</v>
      </c>
      <c r="R48" s="97">
        <f t="shared" si="11"/>
        <v>612</v>
      </c>
      <c r="S48" s="97">
        <f t="shared" si="12"/>
        <v>-30600000</v>
      </c>
      <c r="T48" s="97"/>
      <c r="U48" s="94"/>
      <c r="V48" s="94"/>
    </row>
    <row r="49" spans="1:22">
      <c r="A49" s="94"/>
      <c r="B49" s="94"/>
      <c r="E49" s="94"/>
      <c r="F49" s="94"/>
      <c r="N49" t="s">
        <v>25</v>
      </c>
      <c r="O49" s="97" t="s">
        <v>5055</v>
      </c>
      <c r="P49" s="18">
        <v>-20000</v>
      </c>
      <c r="Q49" s="97">
        <v>7</v>
      </c>
      <c r="R49" s="97">
        <f t="shared" si="11"/>
        <v>609</v>
      </c>
      <c r="S49" s="97">
        <f t="shared" si="12"/>
        <v>-12180000</v>
      </c>
      <c r="T49" s="97"/>
      <c r="U49" s="94"/>
      <c r="V49" s="94"/>
    </row>
    <row r="50" spans="1:22">
      <c r="A50" s="94"/>
      <c r="B50" s="94"/>
      <c r="E50" s="94"/>
      <c r="F50" s="94"/>
      <c r="O50" s="97" t="s">
        <v>5014</v>
      </c>
      <c r="P50" s="18">
        <v>6000000</v>
      </c>
      <c r="Q50" s="97">
        <v>1</v>
      </c>
      <c r="R50" s="97">
        <f t="shared" si="11"/>
        <v>602</v>
      </c>
      <c r="S50" s="97">
        <f t="shared" si="12"/>
        <v>3612000000</v>
      </c>
      <c r="T50" s="97"/>
      <c r="U50" s="94"/>
      <c r="V50" s="94"/>
    </row>
    <row r="51" spans="1:22">
      <c r="A51" s="94"/>
      <c r="B51" s="94"/>
      <c r="E51" s="94"/>
      <c r="F51" s="94"/>
      <c r="O51" s="97" t="s">
        <v>5071</v>
      </c>
      <c r="P51" s="18">
        <v>-2302282</v>
      </c>
      <c r="Q51" s="97">
        <v>6</v>
      </c>
      <c r="R51" s="97">
        <f t="shared" si="11"/>
        <v>601</v>
      </c>
      <c r="S51" s="97">
        <f t="shared" si="12"/>
        <v>-1383671482</v>
      </c>
      <c r="T51" s="97"/>
      <c r="U51" s="94"/>
      <c r="V51" s="94"/>
    </row>
    <row r="52" spans="1:22">
      <c r="A52" s="94" t="s">
        <v>5845</v>
      </c>
      <c r="B52" s="94"/>
      <c r="E52" s="94"/>
      <c r="F52" s="94"/>
      <c r="K52" t="s">
        <v>25</v>
      </c>
      <c r="O52" s="97" t="s">
        <v>5076</v>
      </c>
      <c r="P52" s="18">
        <v>100000</v>
      </c>
      <c r="Q52" s="97">
        <v>1</v>
      </c>
      <c r="R52" s="97">
        <f t="shared" si="11"/>
        <v>595</v>
      </c>
      <c r="S52" s="97">
        <f t="shared" si="12"/>
        <v>59500000</v>
      </c>
      <c r="T52" s="97"/>
      <c r="U52" s="94"/>
      <c r="V52" s="94"/>
    </row>
    <row r="53" spans="1:22">
      <c r="A53" s="94" t="s">
        <v>5837</v>
      </c>
      <c r="B53" s="94"/>
      <c r="E53" s="94"/>
      <c r="F53" s="94"/>
      <c r="O53" s="97" t="s">
        <v>5079</v>
      </c>
      <c r="P53" s="18">
        <v>-1727718</v>
      </c>
      <c r="Q53" s="97">
        <v>2</v>
      </c>
      <c r="R53" s="97">
        <f t="shared" si="11"/>
        <v>594</v>
      </c>
      <c r="S53" s="97">
        <f t="shared" si="12"/>
        <v>-1026264492</v>
      </c>
      <c r="T53" s="97"/>
      <c r="U53" s="94"/>
      <c r="V53" s="94"/>
    </row>
    <row r="54" spans="1:22">
      <c r="A54" s="94" t="s">
        <v>5838</v>
      </c>
      <c r="B54" s="94"/>
      <c r="E54" s="94"/>
      <c r="F54" s="94"/>
      <c r="M54" t="s">
        <v>25</v>
      </c>
      <c r="O54" s="97" t="s">
        <v>5083</v>
      </c>
      <c r="P54" s="18">
        <v>-1000000</v>
      </c>
      <c r="Q54" s="97">
        <v>0</v>
      </c>
      <c r="R54" s="97">
        <f t="shared" si="11"/>
        <v>592</v>
      </c>
      <c r="S54" s="97">
        <f t="shared" si="12"/>
        <v>-592000000</v>
      </c>
      <c r="T54" s="97"/>
      <c r="U54" s="94"/>
      <c r="V54" s="94"/>
    </row>
    <row r="55" spans="1:22">
      <c r="A55" t="s">
        <v>5846</v>
      </c>
      <c r="B55" s="94"/>
      <c r="E55" s="94"/>
      <c r="F55" s="94"/>
      <c r="M55" t="s">
        <v>25</v>
      </c>
      <c r="O55" s="97" t="s">
        <v>5083</v>
      </c>
      <c r="P55" s="18">
        <v>-439200</v>
      </c>
      <c r="Q55" s="97">
        <v>1</v>
      </c>
      <c r="R55" s="97">
        <f t="shared" si="11"/>
        <v>592</v>
      </c>
      <c r="S55" s="97">
        <f t="shared" si="12"/>
        <v>-260006400</v>
      </c>
      <c r="T55" s="97"/>
      <c r="U55" s="94"/>
      <c r="V55" s="94"/>
    </row>
    <row r="56" spans="1:22">
      <c r="A56" t="s">
        <v>5511</v>
      </c>
      <c r="B56" s="94"/>
      <c r="E56" s="94"/>
      <c r="F56" s="94"/>
      <c r="O56" s="97" t="s">
        <v>5086</v>
      </c>
      <c r="P56" s="18">
        <v>-3631879</v>
      </c>
      <c r="Q56" s="97">
        <v>3</v>
      </c>
      <c r="R56" s="97">
        <f t="shared" si="11"/>
        <v>591</v>
      </c>
      <c r="S56" s="97">
        <f t="shared" si="12"/>
        <v>-2146440489</v>
      </c>
      <c r="T56" s="97"/>
      <c r="U56" s="94"/>
      <c r="V56" s="94"/>
    </row>
    <row r="57" spans="1:22">
      <c r="A57" s="94" t="s">
        <v>4848</v>
      </c>
      <c r="B57" s="94"/>
      <c r="E57" s="94"/>
      <c r="F57" s="94"/>
      <c r="O57" s="97" t="s">
        <v>5111</v>
      </c>
      <c r="P57" s="18">
        <v>-2428921</v>
      </c>
      <c r="Q57" s="97">
        <v>9</v>
      </c>
      <c r="R57" s="97">
        <f t="shared" si="11"/>
        <v>588</v>
      </c>
      <c r="S57" s="97">
        <f t="shared" si="12"/>
        <v>-1428205548</v>
      </c>
      <c r="T57" s="97"/>
      <c r="U57" s="94"/>
      <c r="V57" s="94"/>
    </row>
    <row r="58" spans="1:22">
      <c r="A58" s="94" t="s">
        <v>4846</v>
      </c>
      <c r="B58" s="94"/>
      <c r="E58" s="94"/>
      <c r="F58" s="94"/>
      <c r="O58" s="97" t="s">
        <v>5130</v>
      </c>
      <c r="P58" s="18">
        <v>-500000</v>
      </c>
      <c r="Q58" s="97">
        <v>1</v>
      </c>
      <c r="R58" s="97">
        <f t="shared" si="11"/>
        <v>579</v>
      </c>
      <c r="S58" s="97">
        <f t="shared" si="12"/>
        <v>-289500000</v>
      </c>
      <c r="T58" s="97"/>
      <c r="U58" s="94"/>
      <c r="V58" s="94"/>
    </row>
    <row r="59" spans="1:22">
      <c r="A59" s="94" t="s">
        <v>5840</v>
      </c>
      <c r="B59" s="94"/>
      <c r="C59" s="94" t="s">
        <v>25</v>
      </c>
      <c r="E59" s="94"/>
      <c r="F59" s="94"/>
      <c r="O59" s="97" t="s">
        <v>5131</v>
      </c>
      <c r="P59" s="18">
        <v>-2603</v>
      </c>
      <c r="Q59" s="97">
        <v>0</v>
      </c>
      <c r="R59" s="97">
        <f t="shared" si="11"/>
        <v>578</v>
      </c>
      <c r="S59" s="97">
        <f t="shared" si="12"/>
        <v>-1504534</v>
      </c>
      <c r="T59" s="97" t="s">
        <v>5132</v>
      </c>
      <c r="U59" s="94"/>
      <c r="V59" s="94"/>
    </row>
    <row r="60" spans="1:22">
      <c r="A60" s="94" t="s">
        <v>5841</v>
      </c>
      <c r="B60" s="94"/>
      <c r="E60" s="94"/>
      <c r="F60" s="94"/>
      <c r="O60" s="97" t="s">
        <v>5131</v>
      </c>
      <c r="P60" s="18">
        <v>-250000</v>
      </c>
      <c r="Q60" s="97">
        <v>7</v>
      </c>
      <c r="R60" s="97">
        <f t="shared" si="11"/>
        <v>578</v>
      </c>
      <c r="S60" s="97">
        <f t="shared" si="12"/>
        <v>-144500000</v>
      </c>
      <c r="T60" s="97"/>
      <c r="U60" s="94"/>
      <c r="V60" s="94"/>
    </row>
    <row r="61" spans="1:22">
      <c r="A61" t="s">
        <v>5857</v>
      </c>
      <c r="B61" s="94"/>
      <c r="E61" s="94"/>
      <c r="F61" s="94"/>
      <c r="O61" s="97" t="s">
        <v>4256</v>
      </c>
      <c r="P61" s="18">
        <v>185749</v>
      </c>
      <c r="Q61" s="97">
        <v>5</v>
      </c>
      <c r="R61" s="97">
        <f t="shared" si="11"/>
        <v>571</v>
      </c>
      <c r="S61" s="97">
        <f t="shared" si="12"/>
        <v>106062679</v>
      </c>
      <c r="T61" s="97"/>
      <c r="U61" s="94"/>
      <c r="V61" s="94"/>
    </row>
    <row r="62" spans="1:22">
      <c r="A62" t="s">
        <v>4481</v>
      </c>
      <c r="B62" s="94"/>
      <c r="E62" s="94"/>
      <c r="F62" s="94"/>
      <c r="O62" s="97" t="s">
        <v>5145</v>
      </c>
      <c r="P62" s="18">
        <v>300000</v>
      </c>
      <c r="Q62" s="97">
        <v>3</v>
      </c>
      <c r="R62" s="97">
        <f t="shared" si="11"/>
        <v>566</v>
      </c>
      <c r="S62" s="97">
        <f t="shared" si="12"/>
        <v>169800000</v>
      </c>
      <c r="T62" s="97"/>
      <c r="U62" s="94"/>
      <c r="V62" s="94"/>
    </row>
    <row r="63" spans="1:22">
      <c r="A63" s="94" t="s">
        <v>4508</v>
      </c>
      <c r="B63" s="94"/>
      <c r="E63" s="94"/>
      <c r="F63" s="94"/>
      <c r="O63" s="97" t="s">
        <v>5151</v>
      </c>
      <c r="P63" s="18">
        <v>-50000</v>
      </c>
      <c r="Q63" s="97">
        <v>3</v>
      </c>
      <c r="R63" s="97">
        <f t="shared" si="11"/>
        <v>563</v>
      </c>
      <c r="S63" s="97">
        <f t="shared" si="12"/>
        <v>-28150000</v>
      </c>
      <c r="T63" s="97"/>
      <c r="U63" s="94"/>
      <c r="V63" s="94"/>
    </row>
    <row r="64" spans="1:22">
      <c r="A64" s="94"/>
      <c r="B64" s="94"/>
      <c r="C64" s="94" t="s">
        <v>25</v>
      </c>
      <c r="E64" s="94"/>
      <c r="F64" s="94"/>
      <c r="O64" s="97" t="s">
        <v>5156</v>
      </c>
      <c r="P64" s="18">
        <v>-1683146</v>
      </c>
      <c r="Q64" s="97">
        <v>10</v>
      </c>
      <c r="R64" s="97">
        <f t="shared" si="11"/>
        <v>560</v>
      </c>
      <c r="S64" s="97">
        <f t="shared" si="12"/>
        <v>-942561760</v>
      </c>
      <c r="T64" s="97"/>
      <c r="U64" s="94"/>
      <c r="V64" s="94"/>
    </row>
    <row r="65" spans="1:23">
      <c r="B65" s="94"/>
      <c r="E65" s="94"/>
      <c r="F65" s="94"/>
      <c r="O65" s="97" t="s">
        <v>5168</v>
      </c>
      <c r="P65" s="18">
        <v>700000</v>
      </c>
      <c r="Q65" s="97">
        <v>18</v>
      </c>
      <c r="R65" s="97">
        <f t="shared" si="11"/>
        <v>550</v>
      </c>
      <c r="S65" s="97">
        <f t="shared" si="12"/>
        <v>385000000</v>
      </c>
      <c r="T65" s="97"/>
      <c r="U65" s="94"/>
      <c r="V65" s="94"/>
    </row>
    <row r="66" spans="1:23">
      <c r="A66" s="94" t="s">
        <v>5839</v>
      </c>
      <c r="B66" s="94"/>
      <c r="E66" s="94"/>
      <c r="F66" s="94"/>
      <c r="O66" s="97" t="s">
        <v>5181</v>
      </c>
      <c r="P66" s="18">
        <v>-700000</v>
      </c>
      <c r="Q66" s="97">
        <v>46</v>
      </c>
      <c r="R66" s="97">
        <f t="shared" si="11"/>
        <v>532</v>
      </c>
      <c r="S66" s="97">
        <f t="shared" si="12"/>
        <v>-372400000</v>
      </c>
      <c r="T66" s="97"/>
    </row>
    <row r="67" spans="1:23">
      <c r="A67" s="94" t="s">
        <v>5280</v>
      </c>
      <c r="B67" s="94"/>
      <c r="E67" s="94"/>
      <c r="F67" s="94"/>
      <c r="O67" s="97" t="s">
        <v>5231</v>
      </c>
      <c r="P67" s="18">
        <v>1000000</v>
      </c>
      <c r="Q67" s="97">
        <v>4</v>
      </c>
      <c r="R67" s="97">
        <f t="shared" si="11"/>
        <v>486</v>
      </c>
      <c r="S67" s="97">
        <f t="shared" si="12"/>
        <v>486000000</v>
      </c>
      <c r="T67" s="97"/>
    </row>
    <row r="68" spans="1:23">
      <c r="A68" s="94" t="s">
        <v>5289</v>
      </c>
      <c r="B68" s="94"/>
      <c r="E68" s="94"/>
      <c r="F68" s="94"/>
      <c r="O68" s="97" t="s">
        <v>5235</v>
      </c>
      <c r="P68" s="18">
        <v>1500000</v>
      </c>
      <c r="Q68" s="97">
        <v>1</v>
      </c>
      <c r="R68" s="97">
        <f t="shared" si="11"/>
        <v>482</v>
      </c>
      <c r="S68" s="97">
        <f t="shared" si="12"/>
        <v>723000000</v>
      </c>
      <c r="T68" s="97"/>
    </row>
    <row r="69" spans="1:23">
      <c r="A69" s="94" t="s">
        <v>5850</v>
      </c>
      <c r="B69" s="94"/>
      <c r="E69" s="94"/>
      <c r="F69" s="94"/>
      <c r="O69" s="97" t="s">
        <v>5236</v>
      </c>
      <c r="P69" s="18">
        <v>-1500000</v>
      </c>
      <c r="Q69" s="97">
        <v>15</v>
      </c>
      <c r="R69" s="97">
        <f t="shared" si="11"/>
        <v>481</v>
      </c>
      <c r="S69" s="97">
        <f t="shared" si="12"/>
        <v>-721500000</v>
      </c>
      <c r="T69" s="97"/>
    </row>
    <row r="70" spans="1:23">
      <c r="A70" s="94" t="s">
        <v>5294</v>
      </c>
      <c r="B70" s="94"/>
      <c r="E70" s="94"/>
      <c r="F70" s="94"/>
      <c r="O70" s="97" t="s">
        <v>5259</v>
      </c>
      <c r="P70" s="18">
        <v>-100000</v>
      </c>
      <c r="Q70" s="97">
        <v>5</v>
      </c>
      <c r="R70" s="97">
        <f t="shared" si="11"/>
        <v>466</v>
      </c>
      <c r="S70" s="97">
        <f t="shared" si="12"/>
        <v>-46600000</v>
      </c>
      <c r="T70" s="97"/>
    </row>
    <row r="71" spans="1:23">
      <c r="A71" s="94" t="s">
        <v>5851</v>
      </c>
      <c r="B71" s="94"/>
      <c r="E71" s="94"/>
      <c r="F71" s="94"/>
      <c r="O71" s="97" t="s">
        <v>5263</v>
      </c>
      <c r="P71" s="18">
        <v>1164690</v>
      </c>
      <c r="Q71" s="97">
        <v>4</v>
      </c>
      <c r="R71" s="97">
        <f t="shared" si="11"/>
        <v>461</v>
      </c>
      <c r="S71" s="97">
        <f t="shared" si="12"/>
        <v>536922090</v>
      </c>
      <c r="T71" s="97"/>
      <c r="U71" t="s">
        <v>25</v>
      </c>
    </row>
    <row r="72" spans="1:23">
      <c r="A72" s="94" t="s">
        <v>5852</v>
      </c>
      <c r="B72" s="94"/>
      <c r="E72" s="94"/>
      <c r="F72" s="94"/>
      <c r="O72" s="97" t="s">
        <v>5272</v>
      </c>
      <c r="P72" s="18">
        <v>1000000</v>
      </c>
      <c r="Q72" s="97">
        <v>4</v>
      </c>
      <c r="R72" s="97">
        <f t="shared" si="11"/>
        <v>457</v>
      </c>
      <c r="S72" s="97">
        <f t="shared" si="12"/>
        <v>457000000</v>
      </c>
      <c r="T72" s="97"/>
    </row>
    <row r="73" spans="1:23">
      <c r="A73" s="94" t="s">
        <v>5853</v>
      </c>
      <c r="B73" s="94"/>
      <c r="E73" s="94"/>
      <c r="F73" s="94"/>
      <c r="N73" t="s">
        <v>25</v>
      </c>
      <c r="O73" s="97" t="s">
        <v>5277</v>
      </c>
      <c r="P73" s="18">
        <v>-264690</v>
      </c>
      <c r="Q73" s="97">
        <v>7</v>
      </c>
      <c r="R73" s="97">
        <f t="shared" si="11"/>
        <v>453</v>
      </c>
      <c r="S73" s="97">
        <f t="shared" si="12"/>
        <v>-119904570</v>
      </c>
      <c r="T73" s="97"/>
    </row>
    <row r="74" spans="1:23">
      <c r="A74" s="94" t="s">
        <v>4483</v>
      </c>
      <c r="B74" s="94"/>
      <c r="E74" s="94"/>
      <c r="F74" s="94"/>
      <c r="O74" s="97" t="s">
        <v>5293</v>
      </c>
      <c r="P74" s="18">
        <v>2700000</v>
      </c>
      <c r="Q74" s="97">
        <v>0</v>
      </c>
      <c r="R74" s="97">
        <f t="shared" si="11"/>
        <v>446</v>
      </c>
      <c r="S74" s="97">
        <f t="shared" si="12"/>
        <v>1204200000</v>
      </c>
      <c r="T74" s="97"/>
    </row>
    <row r="75" spans="1:23">
      <c r="A75" s="94" t="s">
        <v>4559</v>
      </c>
      <c r="B75" s="94" t="s">
        <v>25</v>
      </c>
      <c r="E75" s="94"/>
      <c r="F75" s="94"/>
      <c r="O75" s="97" t="s">
        <v>5293</v>
      </c>
      <c r="P75" s="18">
        <v>-1000000</v>
      </c>
      <c r="Q75" s="97">
        <v>1</v>
      </c>
      <c r="R75" s="97">
        <f t="shared" si="11"/>
        <v>446</v>
      </c>
      <c r="S75" s="97">
        <f t="shared" si="12"/>
        <v>-446000000</v>
      </c>
      <c r="T75" s="97" t="s">
        <v>5295</v>
      </c>
    </row>
    <row r="76" spans="1:23">
      <c r="A76" s="94" t="s">
        <v>4719</v>
      </c>
      <c r="B76" s="94"/>
      <c r="E76" s="94"/>
      <c r="F76" s="94"/>
      <c r="O76" s="97" t="s">
        <v>5297</v>
      </c>
      <c r="P76" s="18">
        <v>-75616</v>
      </c>
      <c r="Q76" s="97">
        <v>2</v>
      </c>
      <c r="R76" s="97">
        <f t="shared" si="11"/>
        <v>445</v>
      </c>
      <c r="S76" s="97">
        <f t="shared" si="12"/>
        <v>-33649120</v>
      </c>
      <c r="T76" s="97" t="s">
        <v>5298</v>
      </c>
    </row>
    <row r="77" spans="1:23">
      <c r="A77" s="94" t="s">
        <v>4661</v>
      </c>
      <c r="B77" s="94"/>
      <c r="E77" s="94"/>
      <c r="F77" s="94"/>
      <c r="O77" s="97" t="s">
        <v>963</v>
      </c>
      <c r="P77" s="18">
        <v>-2424384</v>
      </c>
      <c r="Q77" s="97">
        <v>2</v>
      </c>
      <c r="R77" s="97">
        <f t="shared" si="11"/>
        <v>443</v>
      </c>
      <c r="S77" s="97">
        <f t="shared" si="12"/>
        <v>-1074002112</v>
      </c>
      <c r="T77" s="97"/>
      <c r="W77" t="s">
        <v>25</v>
      </c>
    </row>
    <row r="78" spans="1:23">
      <c r="A78" s="94"/>
      <c r="B78" s="94"/>
      <c r="E78" s="94"/>
      <c r="F78" s="94"/>
      <c r="L78" s="112"/>
      <c r="M78" t="s">
        <v>25</v>
      </c>
      <c r="O78" s="97" t="s">
        <v>5312</v>
      </c>
      <c r="P78" s="18">
        <v>-2000000</v>
      </c>
      <c r="Q78" s="97">
        <v>6</v>
      </c>
      <c r="R78" s="97">
        <f t="shared" si="11"/>
        <v>441</v>
      </c>
      <c r="S78" s="97">
        <f t="shared" si="12"/>
        <v>-882000000</v>
      </c>
      <c r="T78" s="97"/>
    </row>
    <row r="79" spans="1:23">
      <c r="A79" s="94"/>
      <c r="B79" s="94"/>
      <c r="E79" s="94"/>
      <c r="F79" s="94"/>
      <c r="O79" s="97" t="s">
        <v>5345</v>
      </c>
      <c r="P79" s="18">
        <v>2500000</v>
      </c>
      <c r="Q79" s="97">
        <v>1</v>
      </c>
      <c r="R79" s="97">
        <f t="shared" si="11"/>
        <v>435</v>
      </c>
      <c r="S79" s="97">
        <f t="shared" si="12"/>
        <v>1087500000</v>
      </c>
      <c r="T79" s="97"/>
    </row>
    <row r="80" spans="1:23">
      <c r="B80" s="94"/>
      <c r="E80" s="94"/>
      <c r="F80" s="94"/>
      <c r="O80" s="97" t="s">
        <v>5348</v>
      </c>
      <c r="P80" s="18">
        <v>3000000</v>
      </c>
      <c r="Q80" s="97">
        <v>3</v>
      </c>
      <c r="R80" s="97">
        <f t="shared" si="11"/>
        <v>434</v>
      </c>
      <c r="S80" s="97">
        <f t="shared" si="12"/>
        <v>1302000000</v>
      </c>
      <c r="T80" s="97"/>
    </row>
    <row r="81" spans="1:28">
      <c r="A81" s="94" t="s">
        <v>5844</v>
      </c>
      <c r="E81" s="94"/>
      <c r="F81" s="94"/>
      <c r="O81" s="97" t="s">
        <v>5354</v>
      </c>
      <c r="P81" s="18">
        <v>-300000</v>
      </c>
      <c r="Q81" s="97">
        <v>5</v>
      </c>
      <c r="R81" s="97">
        <f t="shared" si="11"/>
        <v>431</v>
      </c>
      <c r="S81" s="97">
        <f t="shared" si="12"/>
        <v>-129300000</v>
      </c>
      <c r="T81" s="97"/>
    </row>
    <row r="82" spans="1:28">
      <c r="A82" s="94" t="s">
        <v>5842</v>
      </c>
      <c r="E82" s="94"/>
      <c r="F82" s="94"/>
      <c r="O82" s="97" t="s">
        <v>5365</v>
      </c>
      <c r="P82" s="18">
        <v>500000</v>
      </c>
      <c r="Q82" s="97">
        <v>1</v>
      </c>
      <c r="R82" s="97">
        <f t="shared" si="11"/>
        <v>426</v>
      </c>
      <c r="S82" s="97">
        <f t="shared" si="12"/>
        <v>213000000</v>
      </c>
      <c r="T82" s="97"/>
    </row>
    <row r="83" spans="1:28">
      <c r="A83" s="94" t="s">
        <v>5843</v>
      </c>
      <c r="E83" s="94"/>
      <c r="F83" s="94"/>
      <c r="O83" s="97" t="s">
        <v>5367</v>
      </c>
      <c r="P83" s="18">
        <v>1000000</v>
      </c>
      <c r="Q83" s="97">
        <v>5</v>
      </c>
      <c r="R83" s="97">
        <f t="shared" si="11"/>
        <v>425</v>
      </c>
      <c r="S83" s="97">
        <f t="shared" si="12"/>
        <v>425000000</v>
      </c>
      <c r="T83" s="97"/>
    </row>
    <row r="84" spans="1:28">
      <c r="A84" s="94" t="s">
        <v>5854</v>
      </c>
      <c r="E84" s="94"/>
      <c r="F84" s="94"/>
      <c r="O84" s="97" t="s">
        <v>5372</v>
      </c>
      <c r="P84" s="18">
        <v>-2700000</v>
      </c>
      <c r="Q84" s="97">
        <v>1</v>
      </c>
      <c r="R84" s="97">
        <f t="shared" si="11"/>
        <v>420</v>
      </c>
      <c r="S84" s="97">
        <f t="shared" si="12"/>
        <v>-1134000000</v>
      </c>
      <c r="T84" s="97"/>
    </row>
    <row r="85" spans="1:28">
      <c r="A85" s="94" t="s">
        <v>5855</v>
      </c>
      <c r="E85" s="94"/>
      <c r="F85" s="94"/>
      <c r="M85" t="s">
        <v>25</v>
      </c>
      <c r="O85" s="97" t="s">
        <v>5373</v>
      </c>
      <c r="P85" s="18">
        <v>-3600000</v>
      </c>
      <c r="Q85" s="97">
        <v>1</v>
      </c>
      <c r="R85" s="97">
        <f t="shared" si="11"/>
        <v>419</v>
      </c>
      <c r="S85" s="97">
        <f t="shared" si="12"/>
        <v>-1508400000</v>
      </c>
      <c r="T85" s="97"/>
    </row>
    <row r="86" spans="1:28">
      <c r="A86" s="94" t="s">
        <v>5856</v>
      </c>
      <c r="O86" s="97" t="s">
        <v>987</v>
      </c>
      <c r="P86" s="18">
        <v>-400000</v>
      </c>
      <c r="Q86" s="97">
        <v>17</v>
      </c>
      <c r="R86" s="97">
        <f t="shared" si="11"/>
        <v>418</v>
      </c>
      <c r="S86" s="97">
        <f t="shared" si="12"/>
        <v>-167200000</v>
      </c>
      <c r="T86" s="97"/>
    </row>
    <row r="87" spans="1:28">
      <c r="A87" s="94"/>
      <c r="O87" s="97" t="s">
        <v>5393</v>
      </c>
      <c r="P87" s="18">
        <v>1000000</v>
      </c>
      <c r="Q87" s="97">
        <v>20</v>
      </c>
      <c r="R87" s="97">
        <f t="shared" si="11"/>
        <v>401</v>
      </c>
      <c r="S87" s="97">
        <f t="shared" si="12"/>
        <v>401000000</v>
      </c>
      <c r="T87" s="97"/>
    </row>
    <row r="88" spans="1:28">
      <c r="A88" s="94" t="s">
        <v>5847</v>
      </c>
      <c r="O88" s="97" t="s">
        <v>5413</v>
      </c>
      <c r="P88" s="18">
        <v>-1000000</v>
      </c>
      <c r="Q88" s="97">
        <v>25</v>
      </c>
      <c r="R88" s="97">
        <f t="shared" si="11"/>
        <v>381</v>
      </c>
      <c r="S88" s="97">
        <f t="shared" si="12"/>
        <v>-381000000</v>
      </c>
      <c r="T88" s="97"/>
    </row>
    <row r="89" spans="1:28">
      <c r="A89" t="s">
        <v>5848</v>
      </c>
      <c r="O89" s="97" t="s">
        <v>5443</v>
      </c>
      <c r="P89" s="18">
        <v>300000</v>
      </c>
      <c r="Q89" s="97">
        <v>3</v>
      </c>
      <c r="R89" s="97">
        <f t="shared" si="11"/>
        <v>356</v>
      </c>
      <c r="S89" s="97">
        <f t="shared" si="12"/>
        <v>106800000</v>
      </c>
      <c r="T89" s="97"/>
    </row>
    <row r="90" spans="1:28">
      <c r="A90" s="94" t="s">
        <v>5849</v>
      </c>
      <c r="O90" s="97" t="s">
        <v>5448</v>
      </c>
      <c r="P90" s="18">
        <v>-300000</v>
      </c>
      <c r="Q90" s="97">
        <v>9</v>
      </c>
      <c r="R90" s="97">
        <f t="shared" si="11"/>
        <v>353</v>
      </c>
      <c r="S90" s="97">
        <f t="shared" si="12"/>
        <v>-105900000</v>
      </c>
      <c r="T90" s="97"/>
    </row>
    <row r="91" spans="1:28">
      <c r="A91" s="94"/>
      <c r="O91" s="97" t="s">
        <v>5467</v>
      </c>
      <c r="P91" s="18">
        <v>1000000</v>
      </c>
      <c r="Q91" s="97">
        <v>24</v>
      </c>
      <c r="R91" s="97">
        <f t="shared" si="11"/>
        <v>344</v>
      </c>
      <c r="S91" s="97">
        <f t="shared" si="12"/>
        <v>344000000</v>
      </c>
      <c r="T91" s="97"/>
      <c r="W91" t="s">
        <v>25</v>
      </c>
    </row>
    <row r="92" spans="1:28">
      <c r="M92" t="s">
        <v>25</v>
      </c>
      <c r="O92" s="97" t="s">
        <v>5506</v>
      </c>
      <c r="P92" s="18">
        <v>-1380100</v>
      </c>
      <c r="Q92" s="97">
        <v>11</v>
      </c>
      <c r="R92" s="97">
        <f t="shared" si="11"/>
        <v>320</v>
      </c>
      <c r="S92" s="97">
        <f t="shared" si="12"/>
        <v>-441632000</v>
      </c>
      <c r="T92" s="97"/>
    </row>
    <row r="93" spans="1:28">
      <c r="A93" s="94"/>
      <c r="O93" s="97" t="s">
        <v>5520</v>
      </c>
      <c r="P93" s="18">
        <v>1280015</v>
      </c>
      <c r="Q93" s="97">
        <v>0</v>
      </c>
      <c r="R93" s="97">
        <f t="shared" ref="R93:R141" si="13">Q93+R94</f>
        <v>309</v>
      </c>
      <c r="S93" s="97">
        <f t="shared" ref="S93:S135" si="14">P93*R93</f>
        <v>395524635</v>
      </c>
      <c r="T93" s="97"/>
    </row>
    <row r="94" spans="1:28">
      <c r="A94" s="94"/>
      <c r="O94" s="97" t="s">
        <v>5520</v>
      </c>
      <c r="P94" s="18">
        <v>300000</v>
      </c>
      <c r="Q94" s="97">
        <v>7</v>
      </c>
      <c r="R94" s="97">
        <f t="shared" si="13"/>
        <v>309</v>
      </c>
      <c r="S94" s="97">
        <f t="shared" si="14"/>
        <v>92700000</v>
      </c>
      <c r="T94" s="97"/>
    </row>
    <row r="95" spans="1:28">
      <c r="O95" s="97" t="s">
        <v>5527</v>
      </c>
      <c r="P95" s="18">
        <v>3000000</v>
      </c>
      <c r="Q95" s="97">
        <v>3</v>
      </c>
      <c r="R95" s="97">
        <f t="shared" si="13"/>
        <v>302</v>
      </c>
      <c r="S95" s="97">
        <f t="shared" si="14"/>
        <v>906000000</v>
      </c>
      <c r="T95" s="97"/>
      <c r="AB95" t="s">
        <v>25</v>
      </c>
    </row>
    <row r="96" spans="1:28">
      <c r="A96" s="94"/>
      <c r="O96" s="97" t="s">
        <v>5546</v>
      </c>
      <c r="P96" s="18">
        <v>300000</v>
      </c>
      <c r="Q96" s="97">
        <v>8</v>
      </c>
      <c r="R96" s="97">
        <f t="shared" si="13"/>
        <v>299</v>
      </c>
      <c r="S96" s="97">
        <f t="shared" si="14"/>
        <v>89700000</v>
      </c>
      <c r="T96" s="97"/>
    </row>
    <row r="97" spans="1:25">
      <c r="A97" s="94"/>
      <c r="O97" s="97" t="s">
        <v>5567</v>
      </c>
      <c r="P97" s="18">
        <v>-3500000</v>
      </c>
      <c r="Q97" s="97">
        <v>6</v>
      </c>
      <c r="R97" s="97">
        <f t="shared" si="13"/>
        <v>291</v>
      </c>
      <c r="S97" s="97">
        <f t="shared" si="14"/>
        <v>-1018500000</v>
      </c>
      <c r="T97" s="97"/>
    </row>
    <row r="98" spans="1:25">
      <c r="O98" s="97" t="s">
        <v>5572</v>
      </c>
      <c r="P98" s="18">
        <v>-70000</v>
      </c>
      <c r="Q98" s="97">
        <v>1</v>
      </c>
      <c r="R98" s="97">
        <f t="shared" si="13"/>
        <v>285</v>
      </c>
      <c r="S98" s="97">
        <f t="shared" si="14"/>
        <v>-19950000</v>
      </c>
      <c r="T98" s="97"/>
    </row>
    <row r="99" spans="1:25">
      <c r="O99" s="97" t="s">
        <v>5576</v>
      </c>
      <c r="P99" s="18">
        <v>70085</v>
      </c>
      <c r="Q99" s="97">
        <v>7</v>
      </c>
      <c r="R99" s="97">
        <f t="shared" si="13"/>
        <v>284</v>
      </c>
      <c r="S99" s="97">
        <f t="shared" si="14"/>
        <v>19904140</v>
      </c>
      <c r="T99" s="97" t="s">
        <v>5577</v>
      </c>
    </row>
    <row r="100" spans="1:25">
      <c r="O100" s="97" t="s">
        <v>5583</v>
      </c>
      <c r="P100" s="18">
        <v>-1000000</v>
      </c>
      <c r="Q100" s="97">
        <v>31</v>
      </c>
      <c r="R100" s="97">
        <f t="shared" si="13"/>
        <v>277</v>
      </c>
      <c r="S100" s="97">
        <f t="shared" si="14"/>
        <v>-277000000</v>
      </c>
      <c r="T100" s="97"/>
    </row>
    <row r="101" spans="1:25">
      <c r="O101" s="97" t="s">
        <v>5612</v>
      </c>
      <c r="P101" s="18">
        <v>6000000</v>
      </c>
      <c r="Q101" s="97">
        <v>1</v>
      </c>
      <c r="R101" s="97">
        <f t="shared" si="13"/>
        <v>246</v>
      </c>
      <c r="S101" s="97">
        <f t="shared" si="14"/>
        <v>1476000000</v>
      </c>
      <c r="T101" s="97"/>
      <c r="U101" t="s">
        <v>25</v>
      </c>
    </row>
    <row r="102" spans="1:25">
      <c r="O102" s="97" t="s">
        <v>5613</v>
      </c>
      <c r="P102" s="18">
        <v>6000000</v>
      </c>
      <c r="Q102" s="97">
        <v>11</v>
      </c>
      <c r="R102" s="97">
        <f t="shared" si="13"/>
        <v>245</v>
      </c>
      <c r="S102" s="97">
        <f t="shared" si="14"/>
        <v>1470000000</v>
      </c>
      <c r="T102" s="97"/>
    </row>
    <row r="103" spans="1:25">
      <c r="O103" s="97" t="s">
        <v>5628</v>
      </c>
      <c r="P103" s="18">
        <v>48000000</v>
      </c>
      <c r="Q103" s="97">
        <v>8</v>
      </c>
      <c r="R103" s="97">
        <f t="shared" si="13"/>
        <v>234</v>
      </c>
      <c r="S103" s="97">
        <f t="shared" si="14"/>
        <v>11232000000</v>
      </c>
      <c r="T103" s="97"/>
    </row>
    <row r="104" spans="1:25">
      <c r="O104" s="97" t="s">
        <v>5645</v>
      </c>
      <c r="P104" s="18">
        <v>-400000</v>
      </c>
      <c r="Q104" s="97">
        <v>23</v>
      </c>
      <c r="R104" s="97">
        <f t="shared" si="13"/>
        <v>226</v>
      </c>
      <c r="S104" s="97">
        <f t="shared" si="14"/>
        <v>-90400000</v>
      </c>
      <c r="T104" s="97"/>
    </row>
    <row r="105" spans="1:25">
      <c r="O105" s="97" t="s">
        <v>5682</v>
      </c>
      <c r="P105" s="18">
        <v>500000</v>
      </c>
      <c r="Q105" s="97">
        <v>4</v>
      </c>
      <c r="R105" s="97">
        <f t="shared" si="13"/>
        <v>203</v>
      </c>
      <c r="S105" s="97">
        <f t="shared" si="14"/>
        <v>101500000</v>
      </c>
      <c r="T105" s="97"/>
    </row>
    <row r="106" spans="1:25">
      <c r="O106" s="97" t="s">
        <v>5686</v>
      </c>
      <c r="P106" s="18">
        <v>-500000</v>
      </c>
      <c r="Q106" s="97">
        <v>48</v>
      </c>
      <c r="R106" s="97">
        <f t="shared" si="13"/>
        <v>199</v>
      </c>
      <c r="S106" s="97">
        <f t="shared" si="14"/>
        <v>-99500000</v>
      </c>
      <c r="T106" s="97"/>
      <c r="V106" t="s">
        <v>25</v>
      </c>
    </row>
    <row r="107" spans="1:25">
      <c r="O107" s="97" t="s">
        <v>5748</v>
      </c>
      <c r="P107" s="18">
        <v>2000000</v>
      </c>
      <c r="Q107" s="97">
        <v>11</v>
      </c>
      <c r="R107" s="97">
        <f t="shared" si="13"/>
        <v>151</v>
      </c>
      <c r="S107" s="97">
        <f t="shared" si="14"/>
        <v>302000000</v>
      </c>
      <c r="T107" s="97"/>
    </row>
    <row r="108" spans="1:25">
      <c r="O108" s="97" t="s">
        <v>5762</v>
      </c>
      <c r="P108" s="18">
        <v>-2000000</v>
      </c>
      <c r="Q108" s="97">
        <v>1</v>
      </c>
      <c r="R108" s="97">
        <f t="shared" si="13"/>
        <v>140</v>
      </c>
      <c r="S108" s="97">
        <f t="shared" si="14"/>
        <v>-280000000</v>
      </c>
      <c r="T108" s="97"/>
      <c r="V108" t="s">
        <v>25</v>
      </c>
    </row>
    <row r="109" spans="1:25">
      <c r="O109" s="97" t="s">
        <v>5764</v>
      </c>
      <c r="P109" s="18">
        <v>-42203</v>
      </c>
      <c r="Q109" s="97">
        <v>2</v>
      </c>
      <c r="R109" s="97">
        <f t="shared" si="13"/>
        <v>139</v>
      </c>
      <c r="S109" s="97">
        <f t="shared" si="14"/>
        <v>-5866217</v>
      </c>
      <c r="T109" s="97" t="s">
        <v>5770</v>
      </c>
    </row>
    <row r="110" spans="1:25">
      <c r="M110" t="s">
        <v>25</v>
      </c>
      <c r="O110" s="97" t="s">
        <v>5774</v>
      </c>
      <c r="P110" s="18">
        <v>-365000</v>
      </c>
      <c r="Q110" s="97">
        <v>5</v>
      </c>
      <c r="R110" s="97">
        <f t="shared" si="13"/>
        <v>137</v>
      </c>
      <c r="S110" s="97">
        <f t="shared" si="14"/>
        <v>-50005000</v>
      </c>
      <c r="T110" s="97" t="s">
        <v>5775</v>
      </c>
    </row>
    <row r="111" spans="1:25">
      <c r="O111" s="97" t="s">
        <v>5781</v>
      </c>
      <c r="P111" s="18">
        <v>12000000</v>
      </c>
      <c r="Q111" s="97">
        <v>9</v>
      </c>
      <c r="R111" s="97">
        <f t="shared" si="13"/>
        <v>132</v>
      </c>
      <c r="S111" s="97">
        <f t="shared" si="14"/>
        <v>1584000000</v>
      </c>
      <c r="T111" s="97" t="s">
        <v>5782</v>
      </c>
      <c r="Y111" t="s">
        <v>25</v>
      </c>
    </row>
    <row r="112" spans="1:25">
      <c r="O112" s="97" t="s">
        <v>5795</v>
      </c>
      <c r="P112" s="18">
        <v>-4000000</v>
      </c>
      <c r="Q112" s="97">
        <v>1</v>
      </c>
      <c r="R112" s="97">
        <f t="shared" si="13"/>
        <v>123</v>
      </c>
      <c r="S112" s="97">
        <f t="shared" si="14"/>
        <v>-492000000</v>
      </c>
      <c r="T112" s="97"/>
    </row>
    <row r="113" spans="1:23">
      <c r="O113" s="97" t="s">
        <v>5800</v>
      </c>
      <c r="P113" s="18">
        <v>-5000000</v>
      </c>
      <c r="Q113" s="97">
        <v>2</v>
      </c>
      <c r="R113" s="97">
        <f>Q113+R114</f>
        <v>122</v>
      </c>
      <c r="S113" s="97">
        <f t="shared" si="14"/>
        <v>-610000000</v>
      </c>
      <c r="T113" s="97"/>
    </row>
    <row r="114" spans="1:23">
      <c r="O114" s="97" t="s">
        <v>5798</v>
      </c>
      <c r="P114" s="18">
        <v>-2500000</v>
      </c>
      <c r="Q114" s="97">
        <v>1</v>
      </c>
      <c r="R114" s="97">
        <f t="shared" si="13"/>
        <v>120</v>
      </c>
      <c r="S114" s="97">
        <f t="shared" si="14"/>
        <v>-300000000</v>
      </c>
      <c r="T114" s="97"/>
    </row>
    <row r="115" spans="1:23">
      <c r="O115" s="97" t="s">
        <v>5799</v>
      </c>
      <c r="P115" s="18">
        <v>-500000</v>
      </c>
      <c r="Q115" s="97">
        <v>17</v>
      </c>
      <c r="R115" s="97">
        <f t="shared" si="13"/>
        <v>119</v>
      </c>
      <c r="S115" s="97">
        <f t="shared" si="14"/>
        <v>-59500000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3"/>
        <v>102</v>
      </c>
      <c r="S116" s="97">
        <f t="shared" si="14"/>
        <v>-19665294</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3"/>
        <v>87</v>
      </c>
      <c r="S117" s="97">
        <f t="shared" si="14"/>
        <v>174000000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3"/>
        <v>75</v>
      </c>
      <c r="S118" s="97">
        <f t="shared" si="14"/>
        <v>-150000000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3"/>
        <v>75</v>
      </c>
      <c r="S119" s="97">
        <f t="shared" si="14"/>
        <v>-300000000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3"/>
        <v>74</v>
      </c>
      <c r="S120" s="97">
        <f t="shared" si="14"/>
        <v>-222000000</v>
      </c>
      <c r="T120" s="97"/>
    </row>
    <row r="121" spans="1:23">
      <c r="A121" s="9"/>
      <c r="B121" s="18"/>
      <c r="O121" s="97" t="s">
        <v>5824</v>
      </c>
      <c r="P121" s="18">
        <v>-6000000</v>
      </c>
      <c r="Q121" s="97">
        <v>1</v>
      </c>
      <c r="R121" s="97">
        <f t="shared" si="13"/>
        <v>71</v>
      </c>
      <c r="S121" s="97">
        <f t="shared" si="14"/>
        <v>-426000000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3"/>
        <v>70</v>
      </c>
      <c r="S122" s="97">
        <f t="shared" si="14"/>
        <v>-700000000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3"/>
        <v>70</v>
      </c>
      <c r="S123" s="97">
        <f t="shared" si="14"/>
        <v>-385000000</v>
      </c>
      <c r="T123" s="97"/>
    </row>
    <row r="124" spans="1:23">
      <c r="A124" s="94"/>
      <c r="B124" s="94"/>
      <c r="E124" s="94"/>
      <c r="F124" s="94"/>
      <c r="G124" s="94"/>
      <c r="H124" s="94"/>
      <c r="I124" s="94"/>
      <c r="J124" s="94"/>
      <c r="O124" s="97" t="s">
        <v>5829</v>
      </c>
      <c r="P124" s="18">
        <v>-1500000</v>
      </c>
      <c r="Q124" s="97">
        <v>9</v>
      </c>
      <c r="R124" s="97">
        <f t="shared" si="13"/>
        <v>69</v>
      </c>
      <c r="S124" s="97">
        <f t="shared" si="14"/>
        <v>-103500000</v>
      </c>
      <c r="T124" s="97"/>
    </row>
    <row r="125" spans="1:23">
      <c r="A125" s="94"/>
      <c r="B125" s="94"/>
      <c r="E125" s="94"/>
      <c r="F125" s="94"/>
      <c r="G125" s="94"/>
      <c r="H125" s="94"/>
      <c r="I125" s="94" t="s">
        <v>25</v>
      </c>
      <c r="J125" s="94"/>
      <c r="O125" s="97" t="s">
        <v>5858</v>
      </c>
      <c r="P125" s="18">
        <v>-22545000</v>
      </c>
      <c r="Q125" s="97">
        <v>18</v>
      </c>
      <c r="R125" s="97">
        <f t="shared" si="13"/>
        <v>60</v>
      </c>
      <c r="S125" s="97">
        <f t="shared" si="14"/>
        <v>-1352700000</v>
      </c>
      <c r="T125" s="97" t="s">
        <v>5863</v>
      </c>
    </row>
    <row r="126" spans="1:23">
      <c r="A126" s="94"/>
      <c r="B126" s="94"/>
      <c r="E126" s="94"/>
      <c r="F126" s="94"/>
      <c r="G126" s="94"/>
      <c r="H126" s="94"/>
      <c r="I126" s="94"/>
      <c r="J126" s="94"/>
      <c r="O126" s="97" t="s">
        <v>5876</v>
      </c>
      <c r="P126" s="18">
        <v>5000000</v>
      </c>
      <c r="Q126" s="97">
        <v>9</v>
      </c>
      <c r="R126" s="97">
        <f t="shared" si="13"/>
        <v>42</v>
      </c>
      <c r="S126" s="97">
        <f t="shared" si="14"/>
        <v>210000000</v>
      </c>
      <c r="T126" s="97"/>
    </row>
    <row r="127" spans="1:23">
      <c r="A127" s="315" t="s">
        <v>6479</v>
      </c>
      <c r="B127" s="316" t="s">
        <v>6477</v>
      </c>
      <c r="C127" s="32" t="s">
        <v>6508</v>
      </c>
      <c r="D127" s="239" t="s">
        <v>1100</v>
      </c>
      <c r="E127" s="32" t="s">
        <v>6478</v>
      </c>
      <c r="F127" s="207" t="s">
        <v>5920</v>
      </c>
      <c r="G127" s="207" t="s">
        <v>6507</v>
      </c>
      <c r="H127" s="94"/>
      <c r="I127" s="94"/>
      <c r="J127" s="94"/>
      <c r="O127" s="97" t="s">
        <v>5894</v>
      </c>
      <c r="P127" s="18">
        <v>3000000</v>
      </c>
      <c r="Q127" s="97">
        <v>0</v>
      </c>
      <c r="R127" s="97">
        <f t="shared" si="13"/>
        <v>33</v>
      </c>
      <c r="S127" s="97">
        <f t="shared" si="14"/>
        <v>99000000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5894</v>
      </c>
      <c r="P128" s="18">
        <v>-3000000</v>
      </c>
      <c r="Q128" s="97">
        <v>1</v>
      </c>
      <c r="R128" s="97">
        <f t="shared" si="13"/>
        <v>33</v>
      </c>
      <c r="S128" s="97">
        <f t="shared" si="14"/>
        <v>-99000000</v>
      </c>
      <c r="T128" s="97"/>
    </row>
    <row r="129" spans="1:22">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5895</v>
      </c>
      <c r="P129" s="18">
        <v>-11455000</v>
      </c>
      <c r="Q129" s="97">
        <v>14</v>
      </c>
      <c r="R129" s="97">
        <f t="shared" si="13"/>
        <v>32</v>
      </c>
      <c r="S129" s="97">
        <f t="shared" si="14"/>
        <v>-366560000</v>
      </c>
      <c r="T129" s="97"/>
    </row>
    <row r="130" spans="1:22">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6485</v>
      </c>
      <c r="P130" s="18">
        <v>2317100</v>
      </c>
      <c r="Q130" s="97">
        <v>3</v>
      </c>
      <c r="R130" s="97">
        <f t="shared" si="13"/>
        <v>18</v>
      </c>
      <c r="S130" s="97">
        <f t="shared" si="14"/>
        <v>41707800</v>
      </c>
      <c r="T130" s="97"/>
    </row>
    <row r="131" spans="1:22">
      <c r="A131" s="315">
        <v>1393</v>
      </c>
      <c r="B131" s="316">
        <v>782</v>
      </c>
      <c r="C131" s="32">
        <f t="shared" si="17"/>
        <v>22.1875</v>
      </c>
      <c r="D131" s="239">
        <v>3300</v>
      </c>
      <c r="E131" s="32">
        <f t="shared" si="15"/>
        <v>236.96969696969697</v>
      </c>
      <c r="F131" s="18">
        <v>1000000</v>
      </c>
      <c r="G131" s="207">
        <f t="shared" si="16"/>
        <v>782</v>
      </c>
      <c r="H131" s="94" t="s">
        <v>25</v>
      </c>
      <c r="I131" s="94"/>
      <c r="J131" s="94"/>
      <c r="O131" s="97" t="s">
        <v>6494</v>
      </c>
      <c r="P131" s="18">
        <v>699000</v>
      </c>
      <c r="Q131" s="97">
        <v>3</v>
      </c>
      <c r="R131" s="97">
        <f t="shared" si="13"/>
        <v>15</v>
      </c>
      <c r="S131" s="97">
        <f t="shared" si="14"/>
        <v>10485000</v>
      </c>
      <c r="T131" s="97"/>
    </row>
    <row r="132" spans="1:22">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6500</v>
      </c>
      <c r="P132" s="18">
        <v>-1016100</v>
      </c>
      <c r="Q132" s="97">
        <v>5</v>
      </c>
      <c r="R132" s="97">
        <f t="shared" si="13"/>
        <v>12</v>
      </c>
      <c r="S132" s="97">
        <f t="shared" si="14"/>
        <v>-12193200</v>
      </c>
      <c r="T132" s="97"/>
    </row>
    <row r="133" spans="1:22">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6509</v>
      </c>
      <c r="P133" s="18">
        <v>-680000</v>
      </c>
      <c r="Q133" s="97">
        <v>3</v>
      </c>
      <c r="R133" s="97">
        <f t="shared" si="13"/>
        <v>7</v>
      </c>
      <c r="S133" s="97">
        <f t="shared" si="14"/>
        <v>-4760000</v>
      </c>
      <c r="T133" s="97"/>
    </row>
    <row r="134" spans="1:22">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6511</v>
      </c>
      <c r="P134" s="18">
        <v>-216000</v>
      </c>
      <c r="Q134" s="97">
        <v>3</v>
      </c>
      <c r="R134" s="97">
        <f t="shared" si="13"/>
        <v>4</v>
      </c>
      <c r="S134" s="97">
        <f t="shared" si="14"/>
        <v>-864000</v>
      </c>
      <c r="T134" s="97"/>
    </row>
    <row r="135" spans="1:22">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t="s">
        <v>6521</v>
      </c>
      <c r="P135" s="18">
        <v>-619000</v>
      </c>
      <c r="Q135" s="97">
        <v>1</v>
      </c>
      <c r="R135" s="97">
        <f>Q135+R139</f>
        <v>1</v>
      </c>
      <c r="S135" s="97">
        <f t="shared" si="14"/>
        <v>-619000</v>
      </c>
      <c r="T135" s="97"/>
    </row>
    <row r="136" spans="1:22">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c r="S136" s="97"/>
      <c r="T136" s="97"/>
      <c r="V136" t="s">
        <v>25</v>
      </c>
    </row>
    <row r="137" spans="1:22">
      <c r="A137" s="315">
        <v>1399</v>
      </c>
      <c r="B137" s="316">
        <v>3350</v>
      </c>
      <c r="C137" s="32">
        <f t="shared" si="17"/>
        <v>35.517799352750806</v>
      </c>
      <c r="D137" s="239">
        <v>25000</v>
      </c>
      <c r="E137" s="32">
        <f t="shared" si="19"/>
        <v>134</v>
      </c>
      <c r="F137" s="18">
        <v>12000000</v>
      </c>
      <c r="G137" s="207">
        <f t="shared" si="18"/>
        <v>279.16666666666669</v>
      </c>
      <c r="O137" s="97"/>
      <c r="P137" s="18"/>
      <c r="Q137" s="97"/>
      <c r="R137" s="97"/>
      <c r="S137" s="97"/>
      <c r="T137" s="97"/>
    </row>
    <row r="138" spans="1:22">
      <c r="A138" s="315">
        <v>1400</v>
      </c>
      <c r="B138" s="316">
        <f>B137*(1+C137/100)</f>
        <v>4539.8462783171526</v>
      </c>
      <c r="C138" s="32">
        <f t="shared" ref="C138" si="20">B138-B137</f>
        <v>1189.8462783171526</v>
      </c>
      <c r="D138" s="239">
        <v>15000</v>
      </c>
      <c r="E138" s="32">
        <f t="shared" si="19"/>
        <v>302.65641855447683</v>
      </c>
      <c r="F138" s="18">
        <v>15000000</v>
      </c>
      <c r="G138" s="207">
        <f t="shared" si="18"/>
        <v>302.65641855447689</v>
      </c>
      <c r="M138" t="s">
        <v>25</v>
      </c>
      <c r="O138" s="97"/>
      <c r="P138" s="18"/>
      <c r="Q138" s="97"/>
      <c r="R138" s="97"/>
      <c r="S138" s="97"/>
      <c r="T138" s="97"/>
    </row>
    <row r="139" spans="1:22">
      <c r="A139" s="94"/>
      <c r="B139" s="94"/>
      <c r="E139" s="94"/>
      <c r="F139" s="94"/>
      <c r="G139" s="94"/>
      <c r="O139" s="97"/>
      <c r="P139" s="18"/>
      <c r="Q139" s="97"/>
      <c r="R139" s="97">
        <f t="shared" si="13"/>
        <v>0</v>
      </c>
      <c r="S139" s="97"/>
      <c r="T139" s="97"/>
    </row>
    <row r="140" spans="1:22">
      <c r="A140" s="94"/>
      <c r="B140" s="94"/>
      <c r="E140" s="94"/>
      <c r="F140" s="94"/>
      <c r="G140" s="94"/>
      <c r="O140" s="97"/>
      <c r="P140" s="18"/>
      <c r="Q140" s="97"/>
      <c r="R140" s="97">
        <f t="shared" si="13"/>
        <v>0</v>
      </c>
      <c r="S140" s="97"/>
      <c r="T140" s="97"/>
    </row>
    <row r="141" spans="1:22">
      <c r="A141" s="94"/>
      <c r="B141" s="94"/>
      <c r="E141" s="94"/>
      <c r="F141" s="94"/>
      <c r="G141" s="94"/>
      <c r="O141" s="97"/>
      <c r="P141" s="18"/>
      <c r="Q141" s="97"/>
      <c r="R141" s="97">
        <f t="shared" si="13"/>
        <v>0</v>
      </c>
      <c r="S141" s="97"/>
      <c r="T141" s="97"/>
    </row>
    <row r="142" spans="1:22">
      <c r="A142" s="94"/>
      <c r="B142" s="94"/>
      <c r="E142" s="94"/>
      <c r="O142" s="97"/>
      <c r="P142" s="18">
        <f>SUM(P28:P141)</f>
        <v>485000</v>
      </c>
      <c r="Q142" s="97"/>
      <c r="R142" s="97"/>
      <c r="S142" s="18">
        <f>SUM(S28:S141)</f>
        <v>11487497500</v>
      </c>
      <c r="T142" s="97"/>
    </row>
    <row r="143" spans="1:22">
      <c r="A143" s="94"/>
      <c r="B143" s="94"/>
      <c r="E143" s="94"/>
      <c r="P143" t="s">
        <v>4913</v>
      </c>
    </row>
    <row r="144" spans="1:22">
      <c r="A144" s="94"/>
      <c r="B144" s="94"/>
      <c r="E144" s="94"/>
    </row>
    <row r="145" spans="1:18">
      <c r="A145" s="94"/>
      <c r="B145" s="94"/>
      <c r="E145" s="94"/>
      <c r="O145" t="s">
        <v>6520</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E37" zoomScale="80" zoomScaleNormal="80" workbookViewId="0">
      <selection activeCell="J53" sqref="J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4371441583.5833597</v>
      </c>
      <c r="M21" s="166" t="s">
        <v>4275</v>
      </c>
      <c r="N21" s="111">
        <f>O21*P21</f>
        <v>2417987520</v>
      </c>
      <c r="O21" s="97">
        <v>2605590</v>
      </c>
      <c r="P21" s="183">
        <f>P50</f>
        <v>928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1183</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55044900</v>
      </c>
      <c r="O23" s="97">
        <v>32190</v>
      </c>
      <c r="P23" s="183">
        <f>P51</f>
        <v>1710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4369481621.5833597</v>
      </c>
      <c r="G24" s="93">
        <f t="shared" si="0"/>
        <v>-4089175276.2014213</v>
      </c>
      <c r="H24" s="11"/>
      <c r="I24" s="94"/>
      <c r="J24" s="94"/>
      <c r="K24" s="207"/>
      <c r="L24" s="115"/>
      <c r="M24" s="207" t="s">
        <v>4357</v>
      </c>
      <c r="N24" s="111">
        <f>O24*P24</f>
        <v>34861000</v>
      </c>
      <c r="O24" s="97">
        <v>2455</v>
      </c>
      <c r="P24" s="183">
        <f>P48</f>
        <v>14200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14200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287110208</v>
      </c>
      <c r="O31" s="67">
        <v>309386</v>
      </c>
      <c r="P31" s="97">
        <f>P50</f>
        <v>928</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-4371441583.5833597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-12666272</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6493</v>
      </c>
      <c r="L42" s="115">
        <f>(548)*P50</f>
        <v>508544</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-12157728</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33761568</v>
      </c>
      <c r="O44" s="67">
        <v>36381</v>
      </c>
      <c r="P44" s="67">
        <f>P50</f>
        <v>928</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6514</v>
      </c>
      <c r="N46" s="115">
        <f>O46*P46</f>
        <v>2200000</v>
      </c>
      <c r="O46" s="67">
        <v>11000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33761568</v>
      </c>
      <c r="M47" s="21" t="s">
        <v>5878</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82998240</v>
      </c>
      <c r="M48" s="19" t="s">
        <v>4357</v>
      </c>
      <c r="N48" s="115">
        <f t="shared" si="26"/>
        <v>6489400</v>
      </c>
      <c r="O48" s="67">
        <v>457</v>
      </c>
      <c r="P48" s="67">
        <v>14200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-485000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6512</v>
      </c>
      <c r="L50" s="115">
        <v>100794185</v>
      </c>
      <c r="M50" s="19" t="s">
        <v>4159</v>
      </c>
      <c r="N50" s="111">
        <f>O50*P50</f>
        <v>4039589568</v>
      </c>
      <c r="O50" s="97">
        <v>4353006</v>
      </c>
      <c r="P50" s="97">
        <v>928</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f>L50-89967385</f>
        <v>10826800</v>
      </c>
      <c r="K51" s="97"/>
      <c r="L51" s="115"/>
      <c r="M51" s="19" t="s">
        <v>5929</v>
      </c>
      <c r="N51" s="111">
        <f>O51*P51</f>
        <v>43083450</v>
      </c>
      <c r="O51" s="97">
        <v>25195</v>
      </c>
      <c r="P51" s="97">
        <v>1710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5896</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147340284</v>
      </c>
      <c r="O54" s="97">
        <v>124548</v>
      </c>
      <c r="P54" s="97">
        <v>1183</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930000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-81310153.184316337</v>
      </c>
      <c r="O63">
        <f>O50-60000</f>
        <v>4293006</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2673633764.2323241</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4369481621.5833597</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6490</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4469481621.5833597</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6491</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6492</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6494</v>
      </c>
      <c r="S73" s="194">
        <f>S72-3</f>
        <v>11</v>
      </c>
      <c r="T73" s="207" t="s">
        <v>6495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6496</v>
      </c>
      <c r="S74" s="194">
        <f>S73-1</f>
        <v>10</v>
      </c>
      <c r="T74" s="207" t="s">
        <v>6497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6498</v>
      </c>
      <c r="S75" s="194">
        <f>S74-1</f>
        <v>9</v>
      </c>
      <c r="T75" s="207" t="s">
        <v>6499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6501</v>
      </c>
      <c r="S76" s="194">
        <f>S75-2</f>
        <v>7</v>
      </c>
      <c r="T76" s="207" t="s">
        <v>6502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6501</v>
      </c>
      <c r="S77" s="194">
        <f>S76</f>
        <v>7</v>
      </c>
      <c r="T77" s="207" t="s">
        <v>6503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703296602.67580938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10021.551724137931</v>
      </c>
      <c r="G108" s="196">
        <f>P50</f>
        <v>928</v>
      </c>
      <c r="H108" s="196" t="s">
        <v>4704</v>
      </c>
      <c r="I108" s="196" t="s">
        <v>5299</v>
      </c>
      <c r="J108" s="208" t="s">
        <v>4219</v>
      </c>
      <c r="K108" s="196">
        <v>210</v>
      </c>
      <c r="L108" s="209">
        <f t="shared" ref="L108:L113" si="40">K108*$L$116</f>
        <v>1953000000</v>
      </c>
      <c r="M108" s="209">
        <f>N21+N31+N50+N44</f>
        <v>6778448864</v>
      </c>
      <c r="N108" s="181">
        <f t="shared" ref="N108:N113" si="41">L108-M108</f>
        <v>-4825448864</v>
      </c>
      <c r="P108" s="94"/>
      <c r="Q108" s="111">
        <f>SUM(N28:N31)-SUM(Q87:Q107)</f>
        <v>306149630.7462979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19500</v>
      </c>
      <c r="H109" s="207" t="s">
        <v>4863</v>
      </c>
      <c r="I109" s="207" t="s">
        <v>5300</v>
      </c>
      <c r="J109" s="32" t="s">
        <v>4361</v>
      </c>
      <c r="K109" s="207">
        <v>33</v>
      </c>
      <c r="L109" s="1">
        <f t="shared" si="40"/>
        <v>306900000</v>
      </c>
      <c r="M109" s="1">
        <f>N49+N28+N22</f>
        <v>32608040</v>
      </c>
      <c r="N109" s="111">
        <f t="shared" si="41"/>
        <v>274291960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14200</v>
      </c>
      <c r="H110" s="196" t="s">
        <v>4979</v>
      </c>
      <c r="I110" s="196" t="s">
        <v>5301</v>
      </c>
      <c r="J110" s="208" t="s">
        <v>4357</v>
      </c>
      <c r="K110" s="196">
        <v>0</v>
      </c>
      <c r="L110" s="209">
        <f t="shared" si="40"/>
        <v>0</v>
      </c>
      <c r="M110" s="209">
        <f>N48+N24</f>
        <v>41350400</v>
      </c>
      <c r="N110" s="181">
        <f t="shared" si="41"/>
        <v>-41350400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9300000</v>
      </c>
      <c r="M112" s="209">
        <v>0</v>
      </c>
      <c r="N112" s="181">
        <f t="shared" si="41"/>
        <v>9300000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489</v>
      </c>
      <c r="L113" s="240">
        <f t="shared" si="40"/>
        <v>4547700000</v>
      </c>
      <c r="M113" s="240">
        <v>0</v>
      </c>
      <c r="N113" s="84">
        <f t="shared" si="41"/>
        <v>4547700000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32157728</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733</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9300000</v>
      </c>
      <c r="M116" s="1">
        <f>K116*L116</f>
        <v>0</v>
      </c>
      <c r="N116" s="111">
        <f>SUM(N108:N114)-M116</f>
        <v>-3715785</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928</v>
      </c>
      <c r="H126" s="97" t="s">
        <v>4219</v>
      </c>
      <c r="I126" s="97">
        <v>51250</v>
      </c>
      <c r="J126" s="1">
        <f>I126*G126</f>
        <v>47560000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14200</v>
      </c>
      <c r="H127" s="97" t="s">
        <v>4357</v>
      </c>
      <c r="I127" s="97">
        <v>6709</v>
      </c>
      <c r="J127" s="1">
        <f>I127*G127</f>
        <v>95267800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12827800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6511</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928</v>
      </c>
      <c r="H139" s="207" t="s">
        <v>4219</v>
      </c>
      <c r="I139" s="207">
        <v>86460</v>
      </c>
      <c r="J139" s="1">
        <f>G139*I139</f>
        <v>80234880</v>
      </c>
      <c r="Q139" s="167"/>
      <c r="R139" s="207" t="s">
        <v>5834</v>
      </c>
      <c r="S139" s="207">
        <f>S138-9</f>
        <v>58</v>
      </c>
      <c r="T139" s="207" t="s">
        <v>6510</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1710</v>
      </c>
      <c r="H140" s="207" t="s">
        <v>5929</v>
      </c>
      <c r="I140" s="207">
        <v>1616</v>
      </c>
      <c r="J140" s="1">
        <f>G140*I140</f>
        <v>2763360</v>
      </c>
      <c r="P140" t="s">
        <v>25</v>
      </c>
      <c r="Q140" s="167"/>
      <c r="R140" s="207" t="s">
        <v>5874</v>
      </c>
      <c r="S140" s="207">
        <f>S139-9</f>
        <v>49</v>
      </c>
      <c r="T140" s="207" t="s">
        <v>6529</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-67001760</v>
      </c>
      <c r="J142" s="1">
        <f>SUM(J139:J140)</f>
        <v>82998240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122841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6" si="59">V146*(1+$W$19/100)</f>
        <v>2067.7502709041096</v>
      </c>
      <c r="X146" s="32">
        <f t="shared" ref="X146:X156"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7354442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119055.35344827586</v>
      </c>
      <c r="H148" s="280" t="s">
        <v>5459</v>
      </c>
      <c r="I148" s="32">
        <f>(J139+N30+N50+N48+N31+N24+N21)/P49</f>
        <v>352116.54235897434</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7473497.3534482755</v>
      </c>
      <c r="H149" s="32" t="s">
        <v>5460</v>
      </c>
      <c r="I149" s="32">
        <f>I147+I148</f>
        <v>416973.54235897434</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364826.8514705518</v>
      </c>
      <c r="H150" s="32" t="s">
        <v>5436</v>
      </c>
      <c r="I150" s="32">
        <f>(W167+W168)/P49</f>
        <v>17362.016316137029</v>
      </c>
      <c r="J150" s="112"/>
      <c r="K150" s="94"/>
      <c r="L150" s="94"/>
      <c r="M150" s="94"/>
      <c r="N150" s="94"/>
      <c r="O150" s="94"/>
      <c r="Q150" s="167"/>
      <c r="R150" s="207" t="s">
        <v>6511</v>
      </c>
      <c r="S150" s="207">
        <f>S149-14</f>
        <v>0</v>
      </c>
      <c r="T150" s="207" t="s">
        <v>6513</v>
      </c>
      <c r="U150" s="207">
        <v>260</v>
      </c>
      <c r="V150" s="97">
        <f t="shared" si="42"/>
        <v>263.952</v>
      </c>
      <c r="W150" s="32">
        <f t="shared" si="59"/>
        <v>269.23104000000001</v>
      </c>
      <c r="X150" s="32">
        <f t="shared" si="60"/>
        <v>274.51008000000002</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2690279.3203146206</v>
      </c>
      <c r="H151" s="32" t="s">
        <v>481</v>
      </c>
      <c r="I151" s="32">
        <f>W165/P49</f>
        <v>128029.70303856245</v>
      </c>
      <c r="J151" s="112"/>
      <c r="K151" s="94"/>
      <c r="L151" s="94"/>
      <c r="N151" s="94"/>
      <c r="O151" s="94"/>
      <c r="Q151" s="167"/>
      <c r="R151" s="207" t="s">
        <v>6511</v>
      </c>
      <c r="S151" s="207">
        <f>S150</f>
        <v>0</v>
      </c>
      <c r="T151" s="207" t="s">
        <v>6515</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4418391.1816631034</v>
      </c>
      <c r="H152" s="32" t="s">
        <v>5</v>
      </c>
      <c r="I152" s="32">
        <f>I149-I150-I151</f>
        <v>271581.82300427486</v>
      </c>
      <c r="J152" s="112"/>
      <c r="K152" s="94"/>
      <c r="L152" s="94"/>
      <c r="M152" t="s">
        <v>25</v>
      </c>
      <c r="N152" s="94"/>
      <c r="O152" s="94"/>
      <c r="Q152" s="167"/>
      <c r="R152" s="207" t="s">
        <v>6522</v>
      </c>
      <c r="S152" s="207">
        <f>S151-4</f>
        <v>-4</v>
      </c>
      <c r="T152" s="207" t="s">
        <v>6528</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2457449251.36867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2496579209.2519679</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4371441583.5833597</v>
      </c>
      <c r="X166" s="94">
        <f>W166*100/$W$171</f>
        <v>60.659029890070421</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81310153.184316337</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257249164.98035574</v>
      </c>
      <c r="X168" s="94">
        <f>W168*100/$W$171</f>
        <v>3.5696427572864287</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7206580111</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5869</v>
      </c>
      <c r="W172" s="140">
        <f>R183-W168</f>
        <v>81813499.01964426</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5868</v>
      </c>
      <c r="W173" s="140">
        <f>W167-W172</f>
        <v>-503345.8353279233</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-11817556.583360195</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4335166270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2507893420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339062664</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6471</v>
      </c>
      <c r="R189" s="93">
        <v>-452</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6489</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6516</v>
      </c>
      <c r="R192" s="93">
        <v>7920000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6517</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6518</v>
      </c>
      <c r="R194" s="93">
        <f>-1000*P50</f>
        <v>-928000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6530</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6531</v>
      </c>
      <c r="R196" s="93">
        <f>-98000*P45</f>
        <v>-29400000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7206580111</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5938</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5863</v>
      </c>
      <c r="R245" s="187" t="s">
        <v>5858</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5900</v>
      </c>
      <c r="R246" s="187" t="s">
        <v>5895</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5895</v>
      </c>
      <c r="S247" s="115"/>
      <c r="T247" s="207" t="s">
        <v>4878</v>
      </c>
      <c r="U247" s="207">
        <v>1524</v>
      </c>
      <c r="V247" s="111">
        <v>314.95999999999998</v>
      </c>
      <c r="W247" s="111">
        <f t="shared" si="66"/>
        <v>479999.04</v>
      </c>
      <c r="X247" s="97" t="s">
        <v>1071</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19" t="s">
        <v>6505</v>
      </c>
      <c r="R248" s="19" t="s">
        <v>6501</v>
      </c>
      <c r="S248" s="111"/>
      <c r="T248" s="207" t="s">
        <v>4885</v>
      </c>
      <c r="U248" s="207">
        <v>4435</v>
      </c>
      <c r="V248" s="111">
        <v>316.4375</v>
      </c>
      <c r="W248" s="111">
        <f t="shared" si="66"/>
        <v>1403400.3125</v>
      </c>
      <c r="X248" s="97" t="s">
        <v>452</v>
      </c>
      <c r="AH248" s="97">
        <v>228</v>
      </c>
      <c r="AI248" s="111" t="s">
        <v>5876</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5911</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5913</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5913</v>
      </c>
      <c r="AJ255" s="111">
        <v>-30000000</v>
      </c>
      <c r="AK255" s="97">
        <v>3</v>
      </c>
      <c r="AL255" s="20">
        <f t="shared" si="73"/>
        <v>11</v>
      </c>
      <c r="AM255" s="115"/>
      <c r="AN255" s="264" t="s">
        <v>5914</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5930</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5779</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5791</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5802</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5803</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5804</v>
      </c>
      <c r="H276" s="111">
        <v>1500094.75168</v>
      </c>
      <c r="Q276" s="97" t="s">
        <v>4664</v>
      </c>
      <c r="R276" s="93">
        <v>41248054</v>
      </c>
      <c r="T276" s="207" t="s">
        <v>5010</v>
      </c>
      <c r="U276" s="207">
        <v>1285</v>
      </c>
      <c r="V276" s="111">
        <v>388.84</v>
      </c>
      <c r="W276" s="111">
        <f t="shared" si="66"/>
        <v>499659.39999999997</v>
      </c>
      <c r="X276" s="36" t="s">
        <v>452</v>
      </c>
      <c r="AI276" t="s">
        <v>4048</v>
      </c>
      <c r="AJ276" s="112">
        <f>SUM(N42:N55)</f>
        <v>4335530870</v>
      </c>
      <c r="AM276" t="s">
        <v>25</v>
      </c>
    </row>
    <row r="277" spans="7:40">
      <c r="G277" s="207" t="s">
        <v>5805</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3847049920.938436</v>
      </c>
      <c r="AM277" t="s">
        <v>25</v>
      </c>
    </row>
    <row r="278" spans="7:40">
      <c r="G278" s="207" t="s">
        <v>5807</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5809</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3612603636.6936245</v>
      </c>
      <c r="AN279" t="s">
        <v>25</v>
      </c>
    </row>
    <row r="280" spans="7:40">
      <c r="G280" s="207" t="s">
        <v>5810</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5814</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5829</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5832</v>
      </c>
      <c r="H283" s="111">
        <v>558320.40202399995</v>
      </c>
      <c r="Q283" s="97" t="s">
        <v>4936</v>
      </c>
      <c r="R283" s="93">
        <v>2290500</v>
      </c>
      <c r="T283" s="207" t="s">
        <v>5065</v>
      </c>
      <c r="U283" s="207">
        <v>671</v>
      </c>
      <c r="V283" s="111">
        <v>447</v>
      </c>
      <c r="W283" s="111">
        <f t="shared" si="75"/>
        <v>299937</v>
      </c>
      <c r="X283" s="36" t="s">
        <v>744</v>
      </c>
    </row>
    <row r="284" spans="7:40">
      <c r="G284" s="207" t="s">
        <v>5834</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5874</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5875</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5930</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5934</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6498</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6501</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6506</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6511</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5864</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5895</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5917</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5918</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6469</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6501</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5899</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5939</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5771</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5779</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5791</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5802</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5803</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5804</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5805</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5807</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5808</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5810</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5814</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5829</v>
      </c>
      <c r="U463" s="19">
        <v>232</v>
      </c>
      <c r="V463" s="115">
        <v>1830.5750069999999</v>
      </c>
      <c r="W463" s="115">
        <f t="shared" si="91"/>
        <v>424693.40162399999</v>
      </c>
      <c r="X463" s="264" t="s">
        <v>5116</v>
      </c>
      <c r="Y463" t="s">
        <v>25</v>
      </c>
      <c r="AH463" s="147">
        <v>177</v>
      </c>
      <c r="AI463" s="147" t="s">
        <v>5789</v>
      </c>
      <c r="AJ463" s="186">
        <v>-15000000</v>
      </c>
      <c r="AK463" s="147">
        <v>65</v>
      </c>
      <c r="AL463" s="147">
        <f t="shared" si="108"/>
        <v>93</v>
      </c>
      <c r="AM463" s="147">
        <f t="shared" si="109"/>
        <v>-1395000000</v>
      </c>
      <c r="AN463" s="147" t="s">
        <v>5790</v>
      </c>
    </row>
    <row r="464" spans="17:44">
      <c r="Q464" s="97" t="s">
        <v>5652</v>
      </c>
      <c r="R464" s="93">
        <v>3577366.94</v>
      </c>
      <c r="T464" s="19" t="s">
        <v>5832</v>
      </c>
      <c r="U464" s="19">
        <v>308</v>
      </c>
      <c r="V464" s="115">
        <v>1812.728578</v>
      </c>
      <c r="W464" s="115">
        <f t="shared" si="91"/>
        <v>558320.40202399995</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5656</v>
      </c>
      <c r="R465" s="93">
        <v>21239029.173567999</v>
      </c>
      <c r="T465" s="19" t="s">
        <v>5834</v>
      </c>
      <c r="U465" s="19">
        <v>106</v>
      </c>
      <c r="V465" s="115">
        <v>1958.8888869</v>
      </c>
      <c r="W465" s="115">
        <f t="shared" si="91"/>
        <v>207642.22201140001</v>
      </c>
      <c r="X465" s="264" t="s">
        <v>5116</v>
      </c>
      <c r="AA465" t="s">
        <v>25</v>
      </c>
      <c r="AH465" s="20">
        <v>197</v>
      </c>
      <c r="AI465" s="20" t="s">
        <v>5858</v>
      </c>
      <c r="AJ465" s="115">
        <v>20033075</v>
      </c>
      <c r="AK465" s="20">
        <v>28</v>
      </c>
      <c r="AL465" s="20">
        <f t="shared" si="108"/>
        <v>28</v>
      </c>
      <c r="AM465" s="20">
        <f t="shared" si="109"/>
        <v>560926100</v>
      </c>
      <c r="AN465" s="20" t="s">
        <v>5863</v>
      </c>
      <c r="AR465" t="s">
        <v>25</v>
      </c>
    </row>
    <row r="466" spans="17:45">
      <c r="Q466" s="97" t="s">
        <v>5661</v>
      </c>
      <c r="R466" s="93">
        <v>242957252.40163299</v>
      </c>
      <c r="T466" s="19" t="s">
        <v>5858</v>
      </c>
      <c r="U466" s="19">
        <v>17050</v>
      </c>
      <c r="V466" s="115">
        <v>1984.311475</v>
      </c>
      <c r="W466" s="115">
        <f t="shared" si="91"/>
        <v>33832510.64875</v>
      </c>
      <c r="X466" s="264" t="s">
        <v>5861</v>
      </c>
      <c r="Y466" t="s">
        <v>25</v>
      </c>
      <c r="AH466" s="147">
        <v>198</v>
      </c>
      <c r="AI466" s="147" t="s">
        <v>5895</v>
      </c>
      <c r="AJ466" s="186">
        <v>-22520813.151772</v>
      </c>
      <c r="AK466" s="147">
        <v>0</v>
      </c>
      <c r="AL466" s="147">
        <f>AK466+AL477</f>
        <v>0</v>
      </c>
      <c r="AM466" s="147">
        <f t="shared" si="109"/>
        <v>0</v>
      </c>
      <c r="AN466" s="147" t="s">
        <v>5905</v>
      </c>
    </row>
    <row r="467" spans="17:45">
      <c r="Q467" s="97" t="s">
        <v>5662</v>
      </c>
      <c r="R467" s="93">
        <v>7357181.2750800001</v>
      </c>
      <c r="T467" s="19" t="s">
        <v>5858</v>
      </c>
      <c r="U467" s="19">
        <v>17050</v>
      </c>
      <c r="V467" s="115">
        <v>1984.311475</v>
      </c>
      <c r="W467" s="115">
        <f t="shared" si="91"/>
        <v>33832510.64875</v>
      </c>
      <c r="X467" s="264" t="s">
        <v>5862</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5666</v>
      </c>
      <c r="R468" s="93">
        <v>14951411.942400001</v>
      </c>
      <c r="T468" s="19" t="s">
        <v>5864</v>
      </c>
      <c r="U468" s="19">
        <v>9659</v>
      </c>
      <c r="V468" s="115">
        <v>2073.8685089999999</v>
      </c>
      <c r="W468" s="115">
        <f t="shared" si="91"/>
        <v>20031495.928431001</v>
      </c>
      <c r="X468" s="264" t="s">
        <v>5865</v>
      </c>
      <c r="Y468" t="s">
        <v>25</v>
      </c>
      <c r="AH468" s="20">
        <v>200</v>
      </c>
      <c r="AI468" s="20" t="s">
        <v>5895</v>
      </c>
      <c r="AJ468" s="115">
        <v>50000000</v>
      </c>
      <c r="AK468" s="20">
        <v>1</v>
      </c>
      <c r="AL468" s="20">
        <f t="shared" si="110"/>
        <v>12</v>
      </c>
      <c r="AM468" s="20">
        <f t="shared" si="111"/>
        <v>600000000</v>
      </c>
      <c r="AN468" s="20" t="s">
        <v>5907</v>
      </c>
    </row>
    <row r="469" spans="17:45">
      <c r="Q469" s="97" t="s">
        <v>5668</v>
      </c>
      <c r="R469" s="93">
        <v>47928209.377011999</v>
      </c>
      <c r="T469" s="19" t="s">
        <v>5874</v>
      </c>
      <c r="U469" s="19">
        <v>323</v>
      </c>
      <c r="V469" s="115">
        <v>1975.162028</v>
      </c>
      <c r="W469" s="115">
        <f t="shared" si="91"/>
        <v>637977.33504399995</v>
      </c>
      <c r="X469" s="264" t="s">
        <v>5116</v>
      </c>
      <c r="AH469" s="20">
        <v>201</v>
      </c>
      <c r="AI469" s="20" t="s">
        <v>5913</v>
      </c>
      <c r="AJ469" s="115">
        <v>50000000</v>
      </c>
      <c r="AK469" s="20">
        <v>8</v>
      </c>
      <c r="AL469" s="20">
        <f t="shared" si="110"/>
        <v>11</v>
      </c>
      <c r="AM469" s="20">
        <f t="shared" si="111"/>
        <v>550000000</v>
      </c>
      <c r="AN469" s="20" t="s">
        <v>5907</v>
      </c>
    </row>
    <row r="470" spans="17:45">
      <c r="Q470" s="97" t="s">
        <v>5670</v>
      </c>
      <c r="R470" s="93">
        <v>2281595.69937</v>
      </c>
      <c r="T470" s="19" t="s">
        <v>5875</v>
      </c>
      <c r="U470" s="19">
        <v>238</v>
      </c>
      <c r="V470" s="115">
        <v>1960.303598</v>
      </c>
      <c r="W470" s="115">
        <f t="shared" si="91"/>
        <v>466552.25632400002</v>
      </c>
      <c r="X470" s="264" t="s">
        <v>5116</v>
      </c>
      <c r="Z470" t="s">
        <v>25</v>
      </c>
      <c r="AH470" s="20">
        <v>202</v>
      </c>
      <c r="AI470" s="20" t="s">
        <v>6465</v>
      </c>
      <c r="AJ470" s="115">
        <v>30000000</v>
      </c>
      <c r="AK470" s="20">
        <v>2</v>
      </c>
      <c r="AL470" s="20">
        <f t="shared" si="110"/>
        <v>3</v>
      </c>
      <c r="AM470" s="20">
        <f t="shared" si="111"/>
        <v>90000000</v>
      </c>
      <c r="AN470" s="20" t="s">
        <v>6467</v>
      </c>
    </row>
    <row r="471" spans="17:45">
      <c r="Q471" s="97" t="s">
        <v>5671</v>
      </c>
      <c r="R471" s="93">
        <v>2964916.035069</v>
      </c>
      <c r="T471" s="19" t="s">
        <v>5876</v>
      </c>
      <c r="U471" s="19">
        <v>75</v>
      </c>
      <c r="V471" s="115">
        <v>1990.893174</v>
      </c>
      <c r="W471" s="115">
        <f t="shared" si="91"/>
        <v>149316.98805000001</v>
      </c>
      <c r="X471" s="264" t="s">
        <v>5877</v>
      </c>
      <c r="Z471" t="s">
        <v>25</v>
      </c>
      <c r="AH471" s="147">
        <v>203</v>
      </c>
      <c r="AI471" s="147" t="s">
        <v>6475</v>
      </c>
      <c r="AJ471" s="186">
        <v>20000000</v>
      </c>
      <c r="AK471" s="147">
        <v>1</v>
      </c>
      <c r="AL471" s="147">
        <f t="shared" si="110"/>
        <v>1</v>
      </c>
      <c r="AM471" s="147">
        <f t="shared" si="111"/>
        <v>20000000</v>
      </c>
      <c r="AN471" s="147" t="s">
        <v>6476</v>
      </c>
    </row>
    <row r="472" spans="17:45">
      <c r="Q472" s="97" t="s">
        <v>5673</v>
      </c>
      <c r="R472" s="93">
        <v>6460549.4269619994</v>
      </c>
      <c r="T472" s="19" t="s">
        <v>5876</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5882</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5895</v>
      </c>
      <c r="U474" s="187">
        <v>11034</v>
      </c>
      <c r="V474" s="186">
        <v>1960.6845390000001</v>
      </c>
      <c r="W474" s="186">
        <f t="shared" si="91"/>
        <v>21634193.203326002</v>
      </c>
      <c r="X474" s="263" t="s">
        <v>5901</v>
      </c>
      <c r="Z474" t="s">
        <v>25</v>
      </c>
      <c r="AH474" s="20"/>
      <c r="AI474" s="20"/>
      <c r="AJ474" s="115"/>
      <c r="AK474" s="20"/>
      <c r="AL474" s="20">
        <f t="shared" si="110"/>
        <v>0</v>
      </c>
      <c r="AM474" s="20">
        <f t="shared" si="111"/>
        <v>0</v>
      </c>
      <c r="AN474" s="20"/>
    </row>
    <row r="475" spans="17:45" ht="30">
      <c r="Q475" s="97" t="s">
        <v>5680</v>
      </c>
      <c r="R475" s="93">
        <v>22866040.240959998</v>
      </c>
      <c r="T475" s="19" t="s">
        <v>5895</v>
      </c>
      <c r="U475" s="19">
        <v>4469</v>
      </c>
      <c r="V475" s="115">
        <v>1960.6845390000001</v>
      </c>
      <c r="W475" s="115">
        <f t="shared" si="91"/>
        <v>8762299.2047910001</v>
      </c>
      <c r="X475" s="264" t="s">
        <v>5902</v>
      </c>
      <c r="Z475" t="s">
        <v>25</v>
      </c>
      <c r="AH475" s="20"/>
      <c r="AI475" s="20"/>
      <c r="AJ475" s="115"/>
      <c r="AK475" s="20"/>
      <c r="AL475" s="20">
        <f t="shared" si="110"/>
        <v>0</v>
      </c>
      <c r="AM475" s="20">
        <f t="shared" si="111"/>
        <v>0</v>
      </c>
      <c r="AN475" s="20"/>
    </row>
    <row r="476" spans="17:45">
      <c r="Q476" s="97" t="s">
        <v>5682</v>
      </c>
      <c r="R476" s="93">
        <v>15359304.269892</v>
      </c>
      <c r="T476" s="19" t="s">
        <v>5895</v>
      </c>
      <c r="U476" s="19">
        <v>-174834</v>
      </c>
      <c r="V476" s="115">
        <v>1955.271154</v>
      </c>
      <c r="W476" s="115">
        <f t="shared" si="91"/>
        <v>-341847876.93843603</v>
      </c>
      <c r="X476" s="264" t="s">
        <v>5903</v>
      </c>
      <c r="AH476" s="20"/>
      <c r="AI476" s="20"/>
      <c r="AJ476" s="115"/>
      <c r="AK476" s="20"/>
      <c r="AL476" s="20">
        <f t="shared" si="110"/>
        <v>0</v>
      </c>
      <c r="AM476" s="20">
        <f t="shared" si="111"/>
        <v>0</v>
      </c>
      <c r="AN476" s="20"/>
    </row>
    <row r="477" spans="17:45">
      <c r="Q477" s="97" t="s">
        <v>5683</v>
      </c>
      <c r="R477" s="93">
        <v>2868508.1846330003</v>
      </c>
      <c r="T477" s="19" t="s">
        <v>5895</v>
      </c>
      <c r="U477" s="19">
        <v>-78942</v>
      </c>
      <c r="V477" s="115">
        <v>1955.271154</v>
      </c>
      <c r="W477" s="115">
        <f t="shared" si="91"/>
        <v>-154353015.43906799</v>
      </c>
      <c r="X477" s="264" t="s">
        <v>5904</v>
      </c>
      <c r="Z477" t="s">
        <v>25</v>
      </c>
      <c r="AA477" t="s">
        <v>25</v>
      </c>
      <c r="AH477" s="97"/>
      <c r="AI477" s="97"/>
      <c r="AJ477" s="115"/>
      <c r="AK477" s="97"/>
      <c r="AL477" s="20">
        <f t="shared" si="110"/>
        <v>0</v>
      </c>
      <c r="AM477" s="20">
        <f t="shared" si="111"/>
        <v>0</v>
      </c>
      <c r="AN477" s="20"/>
    </row>
    <row r="478" spans="17:45">
      <c r="Q478" s="97" t="s">
        <v>5684</v>
      </c>
      <c r="R478" s="93">
        <v>17450393.011856001</v>
      </c>
      <c r="T478" s="187" t="s">
        <v>5895</v>
      </c>
      <c r="U478" s="187">
        <v>-11518</v>
      </c>
      <c r="V478" s="186">
        <v>1955.271154</v>
      </c>
      <c r="W478" s="186">
        <f t="shared" si="91"/>
        <v>-22520813.151772</v>
      </c>
      <c r="X478" s="263" t="s">
        <v>5905</v>
      </c>
      <c r="AH478" s="97"/>
      <c r="AI478" s="97"/>
      <c r="AJ478" s="115"/>
      <c r="AK478" s="97"/>
      <c r="AL478" s="20">
        <f t="shared" si="106"/>
        <v>0</v>
      </c>
      <c r="AM478" s="20">
        <f t="shared" si="107"/>
        <v>0</v>
      </c>
      <c r="AN478" s="97"/>
    </row>
    <row r="479" spans="17:45">
      <c r="Q479" s="97" t="s">
        <v>5685</v>
      </c>
      <c r="R479" s="93">
        <v>31388943.254850004</v>
      </c>
      <c r="T479" s="19" t="s">
        <v>5917</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5918</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5930</v>
      </c>
      <c r="U481" s="19">
        <v>133</v>
      </c>
      <c r="V481" s="115">
        <v>1954.8389770000001</v>
      </c>
      <c r="W481" s="115">
        <f t="shared" si="91"/>
        <v>259993.58394100002</v>
      </c>
      <c r="X481" s="264" t="s">
        <v>5116</v>
      </c>
    </row>
    <row r="482" spans="17:40">
      <c r="Q482" s="97" t="s">
        <v>5693</v>
      </c>
      <c r="R482" s="93">
        <v>34458590.308710001</v>
      </c>
      <c r="T482" s="19" t="s">
        <v>5934</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6469</v>
      </c>
      <c r="U483" s="19">
        <v>15839</v>
      </c>
      <c r="V483" s="115">
        <v>1893.9957079999999</v>
      </c>
      <c r="W483" s="115">
        <f t="shared" si="91"/>
        <v>29998998.019012</v>
      </c>
      <c r="X483" s="264" t="s">
        <v>6467</v>
      </c>
      <c r="Z483" t="s">
        <v>25</v>
      </c>
      <c r="AI483" t="s">
        <v>4048</v>
      </c>
      <c r="AJ483" s="112">
        <f>SUM(N20:N31)</f>
        <v>2846957693</v>
      </c>
    </row>
    <row r="484" spans="17:40">
      <c r="Q484" s="97" t="s">
        <v>5696</v>
      </c>
      <c r="R484" s="93">
        <v>25340079.252110001</v>
      </c>
      <c r="T484" s="19" t="s">
        <v>6475</v>
      </c>
      <c r="U484" s="19">
        <v>26601</v>
      </c>
      <c r="V484" s="115">
        <v>1880.082026</v>
      </c>
      <c r="W484" s="115">
        <f t="shared" si="91"/>
        <v>50012061.973626003</v>
      </c>
      <c r="X484" s="264" t="s">
        <v>5356</v>
      </c>
      <c r="AI484" t="s">
        <v>4118</v>
      </c>
      <c r="AJ484" s="112">
        <f>AJ483-AJ479</f>
        <v>2627165016.151772</v>
      </c>
    </row>
    <row r="485" spans="17:40">
      <c r="Q485" s="97" t="s">
        <v>5699</v>
      </c>
      <c r="R485" s="93">
        <v>14780983.183526</v>
      </c>
      <c r="T485" s="187" t="s">
        <v>6475</v>
      </c>
      <c r="U485" s="187">
        <v>10637</v>
      </c>
      <c r="V485" s="186">
        <v>1880.082026</v>
      </c>
      <c r="W485" s="186">
        <f t="shared" si="91"/>
        <v>19998432.510561999</v>
      </c>
      <c r="X485" s="263" t="s">
        <v>6476</v>
      </c>
      <c r="Y485" t="s">
        <v>25</v>
      </c>
      <c r="AI485" t="s">
        <v>928</v>
      </c>
      <c r="AJ485" s="112">
        <f>AN479</f>
        <v>122845171.58762801</v>
      </c>
    </row>
    <row r="486" spans="17:40">
      <c r="Q486" s="97" t="s">
        <v>5699</v>
      </c>
      <c r="R486" s="93">
        <v>17804396.448481999</v>
      </c>
      <c r="T486" s="19" t="s">
        <v>6485</v>
      </c>
      <c r="U486" s="19">
        <v>306</v>
      </c>
      <c r="V486" s="115">
        <v>1831.8117119999999</v>
      </c>
      <c r="W486" s="115">
        <f t="shared" si="91"/>
        <v>560534.38387200003</v>
      </c>
      <c r="X486" s="264" t="s">
        <v>5116</v>
      </c>
      <c r="Y486" t="s">
        <v>25</v>
      </c>
      <c r="AI486" t="s">
        <v>4049</v>
      </c>
      <c r="AJ486" s="112">
        <f>AJ484-AJ485</f>
        <v>2504319844.5641441</v>
      </c>
      <c r="AM486" t="s">
        <v>25</v>
      </c>
      <c r="AN486" t="s">
        <v>25</v>
      </c>
    </row>
    <row r="487" spans="17:40">
      <c r="Q487" s="97" t="s">
        <v>5703</v>
      </c>
      <c r="R487" s="93">
        <v>260260000</v>
      </c>
      <c r="T487" s="19" t="s">
        <v>6498</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6501</v>
      </c>
      <c r="U488" s="19">
        <v>1154</v>
      </c>
      <c r="V488" s="115">
        <v>1851.788857</v>
      </c>
      <c r="W488" s="115">
        <f t="shared" si="91"/>
        <v>2136964.3409779998</v>
      </c>
      <c r="X488" s="264" t="s">
        <v>5116</v>
      </c>
      <c r="Z488" t="s">
        <v>25</v>
      </c>
      <c r="AA488" t="s">
        <v>25</v>
      </c>
    </row>
    <row r="489" spans="17:40" ht="30">
      <c r="Q489" s="97" t="s">
        <v>5714</v>
      </c>
      <c r="R489" s="93">
        <v>12429517.767776001</v>
      </c>
      <c r="T489" s="19" t="s">
        <v>6501</v>
      </c>
      <c r="U489" s="19">
        <v>3240</v>
      </c>
      <c r="V489" s="115">
        <v>1851.788857</v>
      </c>
      <c r="W489" s="115">
        <f t="shared" si="91"/>
        <v>5999795.8966800002</v>
      </c>
      <c r="X489" s="264" t="s">
        <v>6504</v>
      </c>
    </row>
    <row r="490" spans="17:40">
      <c r="Q490" s="97" t="s">
        <v>5716</v>
      </c>
      <c r="R490" s="93">
        <v>5031176.5087869996</v>
      </c>
      <c r="T490" s="19" t="s">
        <v>6501</v>
      </c>
      <c r="U490" s="19">
        <v>-3240</v>
      </c>
      <c r="V490" s="115">
        <v>1851.788857</v>
      </c>
      <c r="W490" s="115">
        <f t="shared" si="91"/>
        <v>-5999795.8966800002</v>
      </c>
      <c r="X490" s="264" t="s">
        <v>6505</v>
      </c>
      <c r="Z490" t="s">
        <v>25</v>
      </c>
      <c r="AA490" t="s">
        <v>25</v>
      </c>
      <c r="AN490" t="s">
        <v>25</v>
      </c>
    </row>
    <row r="491" spans="17:40">
      <c r="Q491" s="97" t="s">
        <v>5720</v>
      </c>
      <c r="R491" s="93">
        <v>6822803.9080700008</v>
      </c>
      <c r="T491" s="19" t="s">
        <v>6506</v>
      </c>
      <c r="U491" s="19">
        <v>330</v>
      </c>
      <c r="V491" s="115">
        <v>1799.34311</v>
      </c>
      <c r="W491" s="115">
        <f t="shared" si="91"/>
        <v>593783.22629999998</v>
      </c>
      <c r="X491" s="264" t="s">
        <v>5116</v>
      </c>
      <c r="AN491" t="s">
        <v>25</v>
      </c>
    </row>
    <row r="492" spans="17:40">
      <c r="Q492" s="97" t="s">
        <v>5730</v>
      </c>
      <c r="R492" s="93">
        <v>330889.73324399994</v>
      </c>
      <c r="T492" s="19" t="s">
        <v>6511</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5771</v>
      </c>
      <c r="R504" s="93">
        <v>94992058.939007998</v>
      </c>
      <c r="T504" s="197" t="s">
        <v>4438</v>
      </c>
      <c r="Y504" t="s">
        <v>25</v>
      </c>
    </row>
    <row r="505" spans="17:28">
      <c r="Q505" s="97" t="s">
        <v>5779</v>
      </c>
      <c r="R505" s="93">
        <v>275021.925965</v>
      </c>
      <c r="T505" s="196">
        <f>R204/U502</f>
        <v>1672.1538515262687</v>
      </c>
      <c r="X505" t="s">
        <v>25</v>
      </c>
    </row>
    <row r="506" spans="17:28">
      <c r="Q506" s="97" t="s">
        <v>5791</v>
      </c>
      <c r="R506" s="93">
        <v>327451.9203</v>
      </c>
      <c r="W506" s="112"/>
      <c r="X506">
        <v>26601</v>
      </c>
      <c r="Z506" t="s">
        <v>25</v>
      </c>
    </row>
    <row r="507" spans="17:28">
      <c r="Q507" s="97" t="s">
        <v>5802</v>
      </c>
      <c r="R507" s="93">
        <v>260081.94096800001</v>
      </c>
      <c r="U507" s="94" t="s">
        <v>267</v>
      </c>
      <c r="V507" t="s">
        <v>4439</v>
      </c>
      <c r="X507" t="s">
        <v>25</v>
      </c>
    </row>
    <row r="508" spans="17:28">
      <c r="Q508" s="97" t="s">
        <v>5803</v>
      </c>
      <c r="R508" s="93">
        <v>2909284.5308940001</v>
      </c>
      <c r="T508" s="112"/>
      <c r="U508" s="93">
        <v>-469922</v>
      </c>
      <c r="V508">
        <f>U508/T505</f>
        <v>-281.0279685515037</v>
      </c>
      <c r="X508" t="s">
        <v>25</v>
      </c>
    </row>
    <row r="509" spans="17:28">
      <c r="Q509" s="97" t="s">
        <v>5804</v>
      </c>
      <c r="R509" s="93">
        <v>37723205.094084002</v>
      </c>
      <c r="T509" t="s">
        <v>25</v>
      </c>
      <c r="X509" t="s">
        <v>25</v>
      </c>
    </row>
    <row r="510" spans="17:28">
      <c r="Q510" s="97" t="s">
        <v>5805</v>
      </c>
      <c r="R510" s="93">
        <v>1500094.75168</v>
      </c>
      <c r="T510" t="s">
        <v>25</v>
      </c>
      <c r="U510" s="94" t="s">
        <v>25</v>
      </c>
      <c r="V510" s="22"/>
      <c r="W510" s="214"/>
      <c r="X510" s="273" t="s">
        <v>25</v>
      </c>
    </row>
    <row r="511" spans="17:28">
      <c r="Q511" s="97" t="s">
        <v>5807</v>
      </c>
      <c r="R511" s="93">
        <v>7230628.4378079996</v>
      </c>
      <c r="V511" t="s">
        <v>25</v>
      </c>
      <c r="X511" t="s">
        <v>25</v>
      </c>
    </row>
    <row r="512" spans="17:28">
      <c r="Q512" s="97" t="s">
        <v>5808</v>
      </c>
      <c r="R512" s="93">
        <v>29767389.390390001</v>
      </c>
      <c r="W512" s="112"/>
      <c r="X512" t="s">
        <v>25</v>
      </c>
    </row>
    <row r="513" spans="16:24" ht="60">
      <c r="Q513" s="97" t="s">
        <v>5810</v>
      </c>
      <c r="R513" s="93">
        <v>151560.25597</v>
      </c>
      <c r="T513" s="22" t="s">
        <v>4424</v>
      </c>
      <c r="V513" s="214"/>
    </row>
    <row r="514" spans="16:24" ht="45">
      <c r="Q514" s="97" t="s">
        <v>5814</v>
      </c>
      <c r="R514" s="93">
        <v>481318.88078800001</v>
      </c>
      <c r="T514" s="22" t="s">
        <v>4425</v>
      </c>
      <c r="W514" s="273"/>
    </row>
    <row r="515" spans="16:24">
      <c r="P515" t="s">
        <v>25</v>
      </c>
      <c r="Q515" s="97" t="s">
        <v>5829</v>
      </c>
      <c r="R515" s="93">
        <v>146277.56820000001</v>
      </c>
    </row>
    <row r="516" spans="16:24">
      <c r="Q516" s="97" t="s">
        <v>5832</v>
      </c>
      <c r="R516" s="93">
        <v>424693.40162399999</v>
      </c>
    </row>
    <row r="517" spans="16:24">
      <c r="Q517" s="97" t="s">
        <v>5834</v>
      </c>
      <c r="R517" s="93">
        <v>558320.40202399995</v>
      </c>
      <c r="T517" s="97" t="s">
        <v>4440</v>
      </c>
      <c r="U517" s="97" t="s">
        <v>4419</v>
      </c>
      <c r="V517" s="97" t="s">
        <v>938</v>
      </c>
      <c r="W517" s="72" t="s">
        <v>5555</v>
      </c>
    </row>
    <row r="518" spans="16:24">
      <c r="Q518" s="97" t="s">
        <v>5858</v>
      </c>
      <c r="R518" s="93">
        <v>207642.22201140001</v>
      </c>
      <c r="T518" s="93">
        <f>S249+R319+R540</f>
        <v>2397012607.7952032</v>
      </c>
      <c r="U518" s="93">
        <f>R204</f>
        <v>7206580111</v>
      </c>
      <c r="V518" s="93">
        <f>U518-T518</f>
        <v>4809567503.2047968</v>
      </c>
    </row>
    <row r="519" spans="16:24">
      <c r="Q519" s="97" t="s">
        <v>5858</v>
      </c>
      <c r="R519" s="93">
        <v>33832510.64875</v>
      </c>
      <c r="W519" s="94" t="s">
        <v>25</v>
      </c>
    </row>
    <row r="520" spans="16:24">
      <c r="Q520" s="97" t="s">
        <v>5874</v>
      </c>
      <c r="R520" s="93">
        <v>637977.33504399995</v>
      </c>
    </row>
    <row r="521" spans="16:24">
      <c r="Q521" s="97" t="s">
        <v>5875</v>
      </c>
      <c r="R521" s="93">
        <v>466552.25632400002</v>
      </c>
      <c r="T521" s="115"/>
      <c r="V521" s="112">
        <f>(444000000+2500000)*2/3</f>
        <v>297666666.66666669</v>
      </c>
    </row>
    <row r="522" spans="16:24">
      <c r="Q522" s="97" t="s">
        <v>5876</v>
      </c>
      <c r="R522" s="93">
        <v>149316.98805000001</v>
      </c>
    </row>
    <row r="523" spans="16:24">
      <c r="Q523" s="97" t="s">
        <v>5876</v>
      </c>
      <c r="R523" s="93">
        <v>189134.85153000001</v>
      </c>
      <c r="T523" s="112">
        <f>W326+W327+W329+W330+W332+W333</f>
        <v>-301699041.74755996</v>
      </c>
    </row>
    <row r="524" spans="16:24">
      <c r="Q524" s="97" t="s">
        <v>5882</v>
      </c>
      <c r="R524" s="93">
        <v>564888.82799599995</v>
      </c>
      <c r="T524" t="s">
        <v>25</v>
      </c>
    </row>
    <row r="525" spans="16:24">
      <c r="Q525" s="97" t="s">
        <v>5895</v>
      </c>
      <c r="R525" s="93">
        <v>8762299.2047910001</v>
      </c>
      <c r="T525" s="112">
        <f>V521+T523</f>
        <v>-4032375.0808932781</v>
      </c>
    </row>
    <row r="526" spans="16:24">
      <c r="Q526" s="97" t="s">
        <v>5895</v>
      </c>
      <c r="R526" s="93">
        <v>-341847876.93843603</v>
      </c>
      <c r="T526" t="s">
        <v>25</v>
      </c>
    </row>
    <row r="527" spans="16:24">
      <c r="Q527" s="97" t="s">
        <v>5930</v>
      </c>
      <c r="R527" s="93">
        <v>259993.58394100002</v>
      </c>
      <c r="T527" t="s">
        <v>25</v>
      </c>
      <c r="X527" s="112">
        <f>V535+V537</f>
        <v>22521440</v>
      </c>
    </row>
    <row r="528" spans="16:24">
      <c r="Q528" s="97" t="s">
        <v>5934</v>
      </c>
      <c r="R528" s="93">
        <v>269955.31205999997</v>
      </c>
      <c r="W528" s="94" t="s">
        <v>25</v>
      </c>
    </row>
    <row r="529" spans="17:24">
      <c r="Q529" s="97" t="s">
        <v>6485</v>
      </c>
      <c r="R529" s="93">
        <v>560534.38387200003</v>
      </c>
    </row>
    <row r="530" spans="17:24">
      <c r="Q530" s="97" t="s">
        <v>6498</v>
      </c>
      <c r="R530" s="93">
        <v>581484.96802499995</v>
      </c>
      <c r="T530" t="s">
        <v>25</v>
      </c>
    </row>
    <row r="531" spans="17:24">
      <c r="Q531" s="97" t="s">
        <v>6501</v>
      </c>
      <c r="R531" s="93">
        <v>2136964.3409779998</v>
      </c>
      <c r="T531" s="97" t="s">
        <v>4737</v>
      </c>
      <c r="U531" s="97"/>
      <c r="V531" s="97"/>
    </row>
    <row r="532" spans="17:24">
      <c r="Q532" s="97" t="s">
        <v>6506</v>
      </c>
      <c r="R532" s="93">
        <v>593783.22629999998</v>
      </c>
      <c r="T532" s="97" t="s">
        <v>452</v>
      </c>
      <c r="U532" s="97">
        <v>4217700</v>
      </c>
      <c r="V532" s="35">
        <f>U532*80</f>
        <v>337416000</v>
      </c>
      <c r="W532" s="94" t="s">
        <v>25</v>
      </c>
    </row>
    <row r="533" spans="17:24">
      <c r="Q533" s="97" t="s">
        <v>6511</v>
      </c>
      <c r="R533" s="93">
        <v>469469.96222000004</v>
      </c>
      <c r="T533" s="97" t="s">
        <v>5898</v>
      </c>
      <c r="U533" s="97">
        <v>2527652</v>
      </c>
      <c r="V533" s="49">
        <f>U533*80-50000000</f>
        <v>152212160</v>
      </c>
      <c r="X533" t="s">
        <v>25</v>
      </c>
    </row>
    <row r="534" spans="17:24">
      <c r="Q534" s="97"/>
      <c r="R534" s="93"/>
      <c r="T534" s="97" t="s">
        <v>5871</v>
      </c>
      <c r="U534" s="97">
        <v>47381</v>
      </c>
      <c r="V534" s="35">
        <f t="shared" ref="V534" si="112">U534*80</f>
        <v>3790480</v>
      </c>
    </row>
    <row r="535" spans="17:24">
      <c r="Q535" s="97"/>
      <c r="R535" s="93"/>
      <c r="T535" s="97" t="s">
        <v>1071</v>
      </c>
      <c r="U535" s="97">
        <v>226303</v>
      </c>
      <c r="V535" s="186">
        <f>U535*80</f>
        <v>18104240</v>
      </c>
    </row>
    <row r="536" spans="17:24">
      <c r="Q536" s="97"/>
      <c r="R536" s="93"/>
      <c r="T536" s="97" t="s">
        <v>5870</v>
      </c>
      <c r="U536" s="97">
        <v>8020</v>
      </c>
      <c r="V536" s="35">
        <f>U536*80</f>
        <v>641600</v>
      </c>
    </row>
    <row r="537" spans="17:24">
      <c r="Q537" s="97"/>
      <c r="R537" s="93"/>
      <c r="T537" s="97" t="s">
        <v>5866</v>
      </c>
      <c r="U537" s="97">
        <v>55215</v>
      </c>
      <c r="V537" s="186">
        <f>U537*80</f>
        <v>4417200</v>
      </c>
    </row>
    <row r="538" spans="17:24">
      <c r="Q538" s="97" t="s">
        <v>25</v>
      </c>
      <c r="R538" s="93"/>
      <c r="T538" s="97" t="s">
        <v>5867</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20" priority="15" operator="greaterThan">
      <formula>0</formula>
    </cfRule>
  </conditionalFormatting>
  <conditionalFormatting sqref="G2:G62">
    <cfRule type="cellIs" dxfId="19" priority="14" operator="greaterThan">
      <formula>0</formula>
    </cfRule>
  </conditionalFormatting>
  <conditionalFormatting sqref="G67:G74 G1:G65 G104:G113 G146 G157:G159 G315:G1048576 G174:G195 G304:G310 G141:G143 G119:G127">
    <cfRule type="cellIs" dxfId="18" priority="13" operator="lessThan">
      <formula>0</formula>
    </cfRule>
  </conditionalFormatting>
  <conditionalFormatting sqref="G114">
    <cfRule type="cellIs" dxfId="17" priority="4" operator="lessThan">
      <formula>0</formula>
    </cfRule>
  </conditionalFormatting>
  <conditionalFormatting sqref="G115 G117">
    <cfRule type="cellIs" dxfId="16" priority="5" operator="lessThan">
      <formula>0</formula>
    </cfRule>
  </conditionalFormatting>
  <conditionalFormatting sqref="G118">
    <cfRule type="cellIs" dxfId="15" priority="2" operator="lessThan">
      <formula>0</formula>
    </cfRule>
  </conditionalFormatting>
  <conditionalFormatting sqref="G116">
    <cfRule type="cellIs" dxfId="14" priority="3" operator="lessThan">
      <formula>0</formula>
    </cfRule>
  </conditionalFormatting>
  <conditionalFormatting sqref="G138">
    <cfRule type="cellIs" dxfId="13"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R4" sqref="R4"/>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8" si="0">C1*D1*0.99114/(F1*1.0037158)</f>
        <v>3675.0457776439484</v>
      </c>
      <c r="H1" s="204">
        <f t="shared" ref="H1:H31" si="1">C1/F1</f>
        <v>1.2405585193966937</v>
      </c>
      <c r="I1" s="290">
        <f>$R$5/$R$4</f>
        <v>1.3900709219858156</v>
      </c>
      <c r="J1" s="20">
        <f t="shared" ref="J1:J31" si="2">I1/H1</f>
        <v>1.1205202336297948</v>
      </c>
      <c r="K1" s="97">
        <f t="shared" ref="K1:K28" si="3">(1/J1-1.0256)*100</f>
        <v>-13.315739165850104</v>
      </c>
      <c r="L1" s="20"/>
      <c r="M1" s="20"/>
      <c r="N1" s="20">
        <v>1</v>
      </c>
      <c r="P1" s="94"/>
      <c r="Q1" s="67" t="s">
        <v>5929</v>
      </c>
      <c r="R1" s="317">
        <v>1714</v>
      </c>
      <c r="S1" s="94" t="s">
        <v>5872</v>
      </c>
      <c r="T1" s="94" t="s">
        <v>5873</v>
      </c>
      <c r="U1" s="94"/>
      <c r="V1" s="94"/>
      <c r="W1" s="94"/>
      <c r="X1" s="5" t="s">
        <v>6523</v>
      </c>
      <c r="Y1" s="5" t="s">
        <v>6524</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1.3900709219858156</v>
      </c>
      <c r="J2" s="20">
        <f t="shared" si="2"/>
        <v>1.057808335408424</v>
      </c>
      <c r="K2" s="97">
        <f t="shared" si="3"/>
        <v>-8.0249158522752602</v>
      </c>
      <c r="L2" s="20" t="s">
        <v>25</v>
      </c>
      <c r="M2" s="20"/>
      <c r="N2" s="20">
        <f>H2/H1</f>
        <v>1.0592847457542085</v>
      </c>
      <c r="P2" s="94"/>
      <c r="Q2" s="97" t="s">
        <v>4219</v>
      </c>
      <c r="R2" s="284">
        <v>970</v>
      </c>
      <c r="S2" s="94">
        <v>80</v>
      </c>
      <c r="T2" s="112">
        <v>1099</v>
      </c>
      <c r="U2" s="94">
        <f>S2/T2</f>
        <v>7.2793448589626927E-2</v>
      </c>
      <c r="V2" s="94"/>
      <c r="W2" s="94"/>
      <c r="X2" s="5" t="s">
        <v>744</v>
      </c>
      <c r="Y2" s="5" t="s">
        <v>6525</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1.3900709219858156</v>
      </c>
      <c r="J3" s="20">
        <f t="shared" si="2"/>
        <v>1.0482343284545648</v>
      </c>
      <c r="K3" s="97">
        <f t="shared" si="3"/>
        <v>-7.1614833845098147</v>
      </c>
      <c r="L3" s="20"/>
      <c r="M3" s="20"/>
      <c r="N3" s="20">
        <f>H3/H2</f>
        <v>1.0091334606146456</v>
      </c>
      <c r="P3" s="113"/>
      <c r="Q3" s="97" t="s">
        <v>5280</v>
      </c>
      <c r="R3" s="299">
        <v>1200</v>
      </c>
      <c r="S3" s="113"/>
      <c r="T3" s="113"/>
      <c r="U3" s="113"/>
      <c r="V3" s="113"/>
      <c r="W3" s="113"/>
      <c r="X3" s="5" t="s">
        <v>1071</v>
      </c>
      <c r="Y3" s="35" t="s">
        <v>6526</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20.206185567010309</v>
      </c>
      <c r="J4" s="97">
        <f t="shared" si="2"/>
        <v>1.1411258429075113</v>
      </c>
      <c r="K4" s="97">
        <f t="shared" si="3"/>
        <v>-14.9272462406015</v>
      </c>
      <c r="L4" s="97"/>
      <c r="M4" s="97"/>
      <c r="N4" s="282">
        <v>1</v>
      </c>
      <c r="P4" s="113"/>
      <c r="Q4" s="97" t="s">
        <v>4357</v>
      </c>
      <c r="R4" s="298">
        <v>14100</v>
      </c>
      <c r="S4" s="113"/>
      <c r="T4" s="113"/>
      <c r="U4" s="113"/>
      <c r="X4" s="5" t="s">
        <v>452</v>
      </c>
      <c r="Y4" s="5" t="s">
        <v>6527</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20.206185567010309</v>
      </c>
      <c r="J5" s="97">
        <f t="shared" si="2"/>
        <v>1.1242341774697358</v>
      </c>
      <c r="K5" s="97">
        <f t="shared" si="3"/>
        <v>-13.61056045790604</v>
      </c>
      <c r="L5" s="97"/>
      <c r="M5" s="97"/>
      <c r="N5" s="282">
        <f>H5/H4</f>
        <v>1.015025041736227</v>
      </c>
      <c r="P5" s="113"/>
      <c r="Q5" s="97" t="s">
        <v>4361</v>
      </c>
      <c r="R5" s="283">
        <v>19600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20.206185567010309</v>
      </c>
      <c r="J6" s="97">
        <f t="shared" si="2"/>
        <v>1.1148499188931937</v>
      </c>
      <c r="K6" s="97">
        <f t="shared" si="3"/>
        <v>-12.861827801827808</v>
      </c>
      <c r="L6" s="97"/>
      <c r="M6" s="97"/>
      <c r="N6" s="282">
        <f>H6/H5</f>
        <v>1.0084175084175084</v>
      </c>
      <c r="P6" s="113"/>
      <c r="Q6" s="67" t="s">
        <v>5890</v>
      </c>
      <c r="R6" s="303">
        <v>410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20.206185567010309</v>
      </c>
      <c r="J7" s="97">
        <f t="shared" si="2"/>
        <v>1.111096215462577</v>
      </c>
      <c r="K7" s="97">
        <f t="shared" si="3"/>
        <v>-12.558793436293447</v>
      </c>
      <c r="L7" s="36"/>
      <c r="M7" s="97"/>
      <c r="N7" s="282">
        <f>H7/H6</f>
        <v>1.0033783783783783</v>
      </c>
      <c r="O7" s="94"/>
      <c r="P7" s="113"/>
      <c r="Q7" s="67" t="s">
        <v>6514</v>
      </c>
      <c r="R7" s="322">
        <v>319</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20.206185567010309</v>
      </c>
      <c r="J8" s="97">
        <f t="shared" si="2"/>
        <v>1.1273492544062338</v>
      </c>
      <c r="K8" s="97">
        <f t="shared" si="3"/>
        <v>-13.85634440334178</v>
      </c>
      <c r="L8" s="36"/>
      <c r="M8" s="97"/>
      <c r="N8" s="282">
        <f>H8/H7</f>
        <v>0.98558296031142778</v>
      </c>
      <c r="P8" s="113"/>
      <c r="Q8" s="67" t="s">
        <v>5878</v>
      </c>
      <c r="R8" s="301">
        <v>419</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14.536082474226804</v>
      </c>
      <c r="J9" s="20">
        <f t="shared" si="2"/>
        <v>1.0395618976759602</v>
      </c>
      <c r="K9" s="20">
        <f t="shared" si="3"/>
        <v>-6.3656317535689455</v>
      </c>
      <c r="L9" s="20"/>
      <c r="M9" s="20"/>
      <c r="N9" s="20">
        <v>1</v>
      </c>
      <c r="P9" s="113"/>
      <c r="Q9" s="113"/>
      <c r="R9" s="113"/>
      <c r="Y9" t="s">
        <v>25</v>
      </c>
    </row>
    <row r="10" spans="1:29">
      <c r="A10" s="60" t="s">
        <v>5808</v>
      </c>
      <c r="B10" s="60" t="s">
        <v>4357</v>
      </c>
      <c r="C10" s="49">
        <v>13371</v>
      </c>
      <c r="D10" s="60">
        <v>598</v>
      </c>
      <c r="E10" s="276" t="s">
        <v>4219</v>
      </c>
      <c r="F10" s="278">
        <v>1163</v>
      </c>
      <c r="G10" s="276">
        <f t="shared" si="0"/>
        <v>6789.0592824092246</v>
      </c>
      <c r="H10" s="277">
        <f t="shared" si="1"/>
        <v>11.496990541702493</v>
      </c>
      <c r="I10" s="281">
        <f t="shared" si="4"/>
        <v>14.536082474226804</v>
      </c>
      <c r="J10" s="20">
        <f t="shared" si="2"/>
        <v>1.2643380388546686</v>
      </c>
      <c r="K10" s="20">
        <f t="shared" si="3"/>
        <v>-23.467228188287812</v>
      </c>
      <c r="L10" s="20"/>
      <c r="M10" s="20"/>
      <c r="N10" s="20">
        <f t="shared" ref="N10:N21"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14.536082474226804</v>
      </c>
      <c r="J11" s="20">
        <f t="shared" si="2"/>
        <v>1.2530348871955774</v>
      </c>
      <c r="K11" s="20">
        <f t="shared" si="3"/>
        <v>-22.753762343033877</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14.536082474226804</v>
      </c>
      <c r="J12" s="20">
        <f t="shared" si="2"/>
        <v>1.2409653742716269</v>
      </c>
      <c r="K12" s="20">
        <f t="shared" si="3"/>
        <v>-21.977574355211914</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14.536082474226804</v>
      </c>
      <c r="J13" s="20">
        <f t="shared" si="2"/>
        <v>1.2248864582944308</v>
      </c>
      <c r="K13" s="20">
        <f t="shared" si="3"/>
        <v>-20.919779942997295</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14.536082474226804</v>
      </c>
      <c r="J14" s="20">
        <f t="shared" si="2"/>
        <v>1.2349056573256689</v>
      </c>
      <c r="K14" s="20">
        <f t="shared" si="3"/>
        <v>-21.582154116160122</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14.536082474226804</v>
      </c>
      <c r="J15" s="20">
        <f t="shared" si="2"/>
        <v>1.20422639243066</v>
      </c>
      <c r="K15" s="20">
        <f t="shared" si="3"/>
        <v>-19.519136065639707</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14.536082474226804</v>
      </c>
      <c r="J16" s="20">
        <f t="shared" si="2"/>
        <v>1.1808611706708998</v>
      </c>
      <c r="K16" s="20">
        <f t="shared" si="3"/>
        <v>-17.876040120799686</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14.536082474226804</v>
      </c>
      <c r="J17" s="20">
        <f t="shared" si="2"/>
        <v>1.1588380567389387</v>
      </c>
      <c r="K17" s="20">
        <f t="shared" si="3"/>
        <v>-16.266665553073178</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14.536082474226804</v>
      </c>
      <c r="J18" s="20">
        <f t="shared" si="2"/>
        <v>1.1500457346908615</v>
      </c>
      <c r="K18" s="20">
        <f t="shared" si="3"/>
        <v>-15.606936323031938</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14.536082474226804</v>
      </c>
      <c r="J19" s="20">
        <f t="shared" si="2"/>
        <v>1.129326844738231</v>
      </c>
      <c r="K19" s="20">
        <f t="shared" si="3"/>
        <v>-14.011675424239822</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14.536082474226804</v>
      </c>
      <c r="J20" s="20">
        <f t="shared" si="2"/>
        <v>1.0587058480929035</v>
      </c>
      <c r="K20" s="20">
        <f t="shared" si="3"/>
        <v>-8.105057505694635</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14.536082474226804</v>
      </c>
      <c r="J21" s="20">
        <f t="shared" si="2"/>
        <v>1.0216061825806686</v>
      </c>
      <c r="K21" s="321">
        <f t="shared" si="3"/>
        <v>-4.6749228488505707</v>
      </c>
      <c r="L21" s="20"/>
      <c r="M21" s="20"/>
      <c r="N21" s="20">
        <f>H21/H20</f>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0.80833333333333335</v>
      </c>
      <c r="J22" s="97">
        <f t="shared" si="2"/>
        <v>0.97228773584905659</v>
      </c>
      <c r="K22" s="320">
        <f t="shared" si="3"/>
        <v>0.29021224984839833</v>
      </c>
      <c r="L22" s="97"/>
      <c r="M22" s="97"/>
      <c r="N22" s="97">
        <v>1</v>
      </c>
      <c r="P22">
        <f>1028/1290</f>
        <v>0.79689922480620157</v>
      </c>
      <c r="Q22">
        <f>998/1274</f>
        <v>0.78335949764521196</v>
      </c>
    </row>
    <row r="23" spans="1:24" ht="21">
      <c r="A23" s="276" t="s">
        <v>6533</v>
      </c>
      <c r="B23" s="276" t="s">
        <v>4219</v>
      </c>
      <c r="C23" s="278">
        <v>985</v>
      </c>
      <c r="D23" s="276">
        <v>12841</v>
      </c>
      <c r="E23" s="297" t="s">
        <v>5280</v>
      </c>
      <c r="F23" s="318">
        <v>1190</v>
      </c>
      <c r="G23" s="297">
        <f t="shared" si="0"/>
        <v>10495.722941349995</v>
      </c>
      <c r="H23" s="297">
        <f t="shared" si="1"/>
        <v>0.82773109243697474</v>
      </c>
      <c r="I23" s="297">
        <f>$R$2/$R$3</f>
        <v>0.80833333333333335</v>
      </c>
      <c r="J23" s="97">
        <f t="shared" ref="J23" si="6">I23/H23</f>
        <v>0.97656514382402715</v>
      </c>
      <c r="K23" s="320">
        <f t="shared" ref="K23" si="7">(1/J23-1.0256)*100</f>
        <v>-0.16027722429179381</v>
      </c>
      <c r="L23" s="97"/>
      <c r="M23" s="97" t="s">
        <v>25</v>
      </c>
      <c r="N23" s="97">
        <f>H23/H22</f>
        <v>0.99561994609164406</v>
      </c>
      <c r="P23">
        <f>I22/P22</f>
        <v>1.0143482490272373</v>
      </c>
      <c r="Q23" s="94">
        <f>I22/P22</f>
        <v>1.0143482490272373</v>
      </c>
    </row>
    <row r="24" spans="1:24">
      <c r="A24" s="60" t="s">
        <v>5814</v>
      </c>
      <c r="B24" s="60" t="s">
        <v>4357</v>
      </c>
      <c r="C24" s="49">
        <v>12975.5</v>
      </c>
      <c r="D24" s="60">
        <v>8000</v>
      </c>
      <c r="E24" s="297" t="s">
        <v>5280</v>
      </c>
      <c r="F24" s="318">
        <v>1266.3</v>
      </c>
      <c r="G24" s="297">
        <f t="shared" si="0"/>
        <v>80947.180267609016</v>
      </c>
      <c r="H24" s="297">
        <f t="shared" si="1"/>
        <v>10.246781963199874</v>
      </c>
      <c r="I24" s="297">
        <f>$R$4/$R$3</f>
        <v>11.75</v>
      </c>
      <c r="J24" s="97">
        <f t="shared" si="2"/>
        <v>1.1467014758583485</v>
      </c>
      <c r="K24" s="97">
        <f t="shared" si="3"/>
        <v>-15.353344994043638</v>
      </c>
      <c r="L24" s="97"/>
      <c r="M24" s="97"/>
      <c r="N24" s="97">
        <v>1</v>
      </c>
      <c r="P24" s="112">
        <f>R3-R2</f>
        <v>230</v>
      </c>
      <c r="X24" t="s">
        <v>25</v>
      </c>
    </row>
    <row r="25" spans="1:24" ht="21">
      <c r="A25" s="60" t="s">
        <v>5816</v>
      </c>
      <c r="B25" s="60" t="s">
        <v>4357</v>
      </c>
      <c r="C25" s="49">
        <v>12936</v>
      </c>
      <c r="D25" s="60">
        <v>316</v>
      </c>
      <c r="E25" s="297" t="s">
        <v>5280</v>
      </c>
      <c r="F25" s="318">
        <v>1250.3</v>
      </c>
      <c r="G25" s="297">
        <f t="shared" si="0"/>
        <v>3228.4725727825744</v>
      </c>
      <c r="H25" s="297">
        <f t="shared" si="1"/>
        <v>10.346316883947853</v>
      </c>
      <c r="I25" s="297">
        <f>$R$4/$R$3</f>
        <v>11.75</v>
      </c>
      <c r="J25" s="97">
        <f t="shared" si="2"/>
        <v>1.1356698361162645</v>
      </c>
      <c r="K25" s="320">
        <f t="shared" si="3"/>
        <v>-14.506239285550182</v>
      </c>
      <c r="L25" s="97" t="s">
        <v>25</v>
      </c>
      <c r="M25" s="97" t="s">
        <v>25</v>
      </c>
      <c r="N25" s="97">
        <f>H25/H24</f>
        <v>1.0097137736613746</v>
      </c>
    </row>
    <row r="26" spans="1:24">
      <c r="A26" s="60" t="s">
        <v>6469</v>
      </c>
      <c r="B26" s="60" t="s">
        <v>4357</v>
      </c>
      <c r="C26" s="49">
        <v>14500</v>
      </c>
      <c r="D26" s="60">
        <v>32</v>
      </c>
      <c r="E26" s="150" t="s">
        <v>5929</v>
      </c>
      <c r="F26" s="230">
        <v>1973</v>
      </c>
      <c r="G26" s="150">
        <f t="shared" si="0"/>
        <v>232.22829744562071</v>
      </c>
      <c r="H26" s="150">
        <f t="shared" si="1"/>
        <v>7.3492143943233659</v>
      </c>
      <c r="I26" s="150">
        <f>$R$4/$R$1</f>
        <v>8.2263710618436399</v>
      </c>
      <c r="J26" s="97">
        <f t="shared" si="2"/>
        <v>1.1193538003460346</v>
      </c>
      <c r="K26" s="97">
        <f t="shared" si="3"/>
        <v>-13.222741334253563</v>
      </c>
      <c r="L26" s="97"/>
      <c r="M26" s="97"/>
      <c r="N26" s="97">
        <v>1</v>
      </c>
      <c r="P26">
        <v>235</v>
      </c>
      <c r="R26" t="s">
        <v>25</v>
      </c>
      <c r="X26" t="s">
        <v>25</v>
      </c>
    </row>
    <row r="27" spans="1:24" ht="21">
      <c r="A27" s="60" t="s">
        <v>6485</v>
      </c>
      <c r="B27" s="60" t="s">
        <v>4357</v>
      </c>
      <c r="C27" s="49">
        <v>14503</v>
      </c>
      <c r="D27" s="60">
        <v>200</v>
      </c>
      <c r="E27" s="150" t="s">
        <v>5929</v>
      </c>
      <c r="F27" s="230">
        <v>1898</v>
      </c>
      <c r="G27" s="150">
        <f t="shared" si="0"/>
        <v>1509.0925581296149</v>
      </c>
      <c r="H27" s="150">
        <f t="shared" si="1"/>
        <v>7.6412012644889353</v>
      </c>
      <c r="I27" s="150">
        <f>$R$4/$R$1</f>
        <v>8.2263710618436399</v>
      </c>
      <c r="J27" s="97">
        <f t="shared" si="2"/>
        <v>1.0765808643300854</v>
      </c>
      <c r="K27" s="320">
        <f t="shared" si="3"/>
        <v>-9.6733406572054204</v>
      </c>
      <c r="L27" s="97" t="s">
        <v>25</v>
      </c>
      <c r="M27" s="97" t="s">
        <v>25</v>
      </c>
      <c r="N27" s="97">
        <f>H27/H26</f>
        <v>1.039730351368046</v>
      </c>
    </row>
    <row r="28" spans="1:24">
      <c r="A28" s="276" t="s">
        <v>6475</v>
      </c>
      <c r="B28" s="276" t="s">
        <v>4219</v>
      </c>
      <c r="C28" s="278">
        <v>1038</v>
      </c>
      <c r="D28" s="276">
        <v>100000</v>
      </c>
      <c r="E28" s="150" t="s">
        <v>5929</v>
      </c>
      <c r="F28" s="150">
        <v>1955</v>
      </c>
      <c r="G28" s="150">
        <f t="shared" si="0"/>
        <v>52429.393600945587</v>
      </c>
      <c r="H28" s="150">
        <f t="shared" si="1"/>
        <v>0.53094629156010231</v>
      </c>
      <c r="I28" s="150">
        <f>$R$2/$R$1</f>
        <v>0.56592765460910155</v>
      </c>
      <c r="J28" s="97">
        <f t="shared" si="2"/>
        <v>1.0658849371491268</v>
      </c>
      <c r="K28" s="97">
        <f t="shared" si="3"/>
        <v>-8.741242914019054</v>
      </c>
      <c r="L28" s="97"/>
      <c r="M28" s="97"/>
      <c r="N28" s="97">
        <v>1</v>
      </c>
    </row>
    <row r="29" spans="1:24">
      <c r="A29" s="276" t="s">
        <v>6501</v>
      </c>
      <c r="B29" s="276" t="s">
        <v>4219</v>
      </c>
      <c r="C29" s="278">
        <v>1028</v>
      </c>
      <c r="D29" s="276">
        <v>12246</v>
      </c>
      <c r="E29" s="150" t="s">
        <v>5929</v>
      </c>
      <c r="F29" s="150">
        <v>1862</v>
      </c>
      <c r="G29" s="150">
        <f t="shared" ref="G29" si="8">C29*D29*0.99114/(F29*1.0037158)</f>
        <v>6676.2399315934426</v>
      </c>
      <c r="H29" s="150">
        <f t="shared" ref="H29" si="9">C29/F29</f>
        <v>0.55209452201933407</v>
      </c>
      <c r="I29" s="150">
        <f>$R$2/$R$1</f>
        <v>0.56592765460910155</v>
      </c>
      <c r="J29" s="97">
        <f t="shared" ref="J29" si="10">I29/H29</f>
        <v>1.0250557323756295</v>
      </c>
      <c r="K29" s="97">
        <f>(1/J29-1.0256)*100</f>
        <v>-5.0043287895733641</v>
      </c>
      <c r="L29" s="97"/>
      <c r="M29" s="97"/>
      <c r="N29" s="97">
        <f>H29/H28</f>
        <v>1.0398312047666649</v>
      </c>
      <c r="S29" t="s">
        <v>25</v>
      </c>
    </row>
    <row r="30" spans="1:24">
      <c r="A30" s="297" t="s">
        <v>5876</v>
      </c>
      <c r="B30" s="297" t="s">
        <v>5280</v>
      </c>
      <c r="C30" s="297">
        <v>1461.2</v>
      </c>
      <c r="D30" s="297">
        <v>8502</v>
      </c>
      <c r="E30" s="23" t="s">
        <v>5878</v>
      </c>
      <c r="F30" s="35">
        <v>410</v>
      </c>
      <c r="G30" s="23">
        <f>C30*D30*0.99114/(F30*1.00103)</f>
        <v>30000.936926516904</v>
      </c>
      <c r="H30" s="23">
        <f t="shared" si="1"/>
        <v>3.5639024390243903</v>
      </c>
      <c r="I30" s="23">
        <f>$R$3/$R$8</f>
        <v>2.8639618138424821</v>
      </c>
      <c r="J30" s="97">
        <f t="shared" si="2"/>
        <v>0.80360275367876921</v>
      </c>
      <c r="K30" s="97">
        <f>(1/J30-1.0146358)*100</f>
        <v>22.976013495934964</v>
      </c>
      <c r="L30" s="97"/>
      <c r="M30" s="97"/>
      <c r="N30" s="97">
        <v>1</v>
      </c>
      <c r="S30" t="s">
        <v>25</v>
      </c>
    </row>
    <row r="31" spans="1:24">
      <c r="A31" s="60" t="s">
        <v>5889</v>
      </c>
      <c r="B31" s="60" t="s">
        <v>4357</v>
      </c>
      <c r="C31" s="49">
        <v>15396.7</v>
      </c>
      <c r="D31" s="60">
        <v>835.71</v>
      </c>
      <c r="E31" s="302" t="s">
        <v>5890</v>
      </c>
      <c r="F31" s="319">
        <v>490</v>
      </c>
      <c r="G31" s="302">
        <f>C31*D31*0.99114/(F31*1.00103)</f>
        <v>26000.103518373991</v>
      </c>
      <c r="H31" s="302">
        <f t="shared" si="1"/>
        <v>31.42183673469388</v>
      </c>
      <c r="I31" s="302">
        <f>$R$4/$R$6</f>
        <v>34.390243902439025</v>
      </c>
      <c r="J31" s="97">
        <f t="shared" si="2"/>
        <v>1.0944695624513774</v>
      </c>
      <c r="K31" s="97">
        <f>(1/J31-1.0146358)*100</f>
        <v>-10.095118572875961</v>
      </c>
      <c r="L31" s="97"/>
      <c r="M31" s="97"/>
      <c r="N31" s="97">
        <v>1</v>
      </c>
    </row>
    <row r="32" spans="1:24">
      <c r="A32" s="94"/>
      <c r="B32" s="113"/>
      <c r="C32" s="113"/>
      <c r="D32" s="94"/>
      <c r="E32" s="94"/>
      <c r="F32" s="94"/>
      <c r="G32" s="94"/>
      <c r="H32" s="94"/>
      <c r="I32" s="94"/>
      <c r="J32" s="94"/>
      <c r="K32" s="94"/>
      <c r="L32" s="94"/>
      <c r="M32" s="94"/>
      <c r="N32" s="94"/>
      <c r="R32" t="s">
        <v>25</v>
      </c>
    </row>
    <row r="33" spans="1:18">
      <c r="A33" s="276" t="s">
        <v>6485</v>
      </c>
      <c r="B33" s="276" t="s">
        <v>4219</v>
      </c>
      <c r="C33" s="278">
        <v>1019</v>
      </c>
      <c r="D33" s="276">
        <v>10000</v>
      </c>
      <c r="E33" s="302" t="s">
        <v>5890</v>
      </c>
      <c r="F33" s="319">
        <v>390</v>
      </c>
      <c r="G33" s="302">
        <v>10000</v>
      </c>
      <c r="H33" s="302"/>
      <c r="I33" s="319">
        <f>C33*D33*0.99114-F33*G33*1.00125</f>
        <v>6194841.5999999996</v>
      </c>
      <c r="J33" s="97">
        <f>(G33*$R$6*0.99875+I33)/(R2*1.0037158)</f>
        <v>10568.684141200089</v>
      </c>
      <c r="K33" s="97">
        <f>J33-D33</f>
        <v>568.68414120008856</v>
      </c>
      <c r="L33" s="97"/>
      <c r="M33" s="97"/>
      <c r="N33" s="97"/>
    </row>
    <row r="34" spans="1:18">
      <c r="A34" s="276" t="s">
        <v>6511</v>
      </c>
      <c r="B34" s="276" t="s">
        <v>4219</v>
      </c>
      <c r="C34" s="278">
        <v>990</v>
      </c>
      <c r="D34" s="276">
        <v>4000</v>
      </c>
      <c r="E34" s="302" t="s">
        <v>5890</v>
      </c>
      <c r="F34" s="319">
        <v>360</v>
      </c>
      <c r="G34" s="302">
        <v>4000</v>
      </c>
      <c r="H34" s="302"/>
      <c r="I34" s="319">
        <f>C34*D34*0.99114-F34*G34*1.00125</f>
        <v>2483114.4</v>
      </c>
      <c r="J34" s="97">
        <f>(G34*$R$6*0.99875+I34)/(R2*1.0037158)</f>
        <v>4232.7917922583265</v>
      </c>
      <c r="K34" s="97">
        <f>J34-D34</f>
        <v>232.7917922583265</v>
      </c>
      <c r="L34" s="97"/>
      <c r="M34" s="97"/>
      <c r="N34" s="97"/>
      <c r="P34">
        <f>C33/F33</f>
        <v>2.6128205128205129</v>
      </c>
      <c r="Q34">
        <f>R2/R6</f>
        <v>2.3658536585365852</v>
      </c>
    </row>
    <row r="35" spans="1:18">
      <c r="A35" s="276" t="s">
        <v>6522</v>
      </c>
      <c r="B35" s="276" t="s">
        <v>4219</v>
      </c>
      <c r="C35" s="278">
        <v>930</v>
      </c>
      <c r="D35" s="276">
        <v>158000</v>
      </c>
      <c r="E35" s="302" t="s">
        <v>5890</v>
      </c>
      <c r="F35" s="319">
        <v>300</v>
      </c>
      <c r="G35" s="302">
        <v>158000</v>
      </c>
      <c r="H35" s="302"/>
      <c r="I35" s="319">
        <f>C35*D35*0.99114-F35*G35*1.00125</f>
        <v>98178861.599999994</v>
      </c>
      <c r="J35" s="97">
        <f>(G35*$R$6*0.99875+I35)/(R2*1.0037158)</f>
        <v>167293.71701661893</v>
      </c>
      <c r="K35" s="97">
        <f>J35-D35</f>
        <v>9293.7170166189317</v>
      </c>
      <c r="L35" s="97"/>
      <c r="M35" s="97"/>
      <c r="N35" s="97"/>
      <c r="P35" s="112">
        <f>C33-F33</f>
        <v>629</v>
      </c>
      <c r="Q35" s="112">
        <f>R2-R6</f>
        <v>560</v>
      </c>
    </row>
    <row r="36" spans="1:18">
      <c r="A36" s="276" t="s">
        <v>6511</v>
      </c>
      <c r="B36" s="276" t="s">
        <v>4219</v>
      </c>
      <c r="C36" s="278">
        <v>993</v>
      </c>
      <c r="D36" s="276">
        <v>11000</v>
      </c>
      <c r="E36" s="323" t="s">
        <v>6514</v>
      </c>
      <c r="F36" s="324">
        <v>260</v>
      </c>
      <c r="G36" s="323">
        <v>11000</v>
      </c>
      <c r="H36" s="323"/>
      <c r="I36" s="319">
        <f>C36*D36*0.99114-F36*G36*1.00125</f>
        <v>7962647.2200000007</v>
      </c>
      <c r="J36" s="97">
        <f>(G36*$R$7*0.99875+I36)/(R2*1.0037158)</f>
        <v>11778.153263875291</v>
      </c>
      <c r="K36" s="97">
        <f>J36-D36</f>
        <v>778.15326387529058</v>
      </c>
      <c r="L36" s="97"/>
      <c r="M36" s="97"/>
      <c r="N36" s="97"/>
    </row>
    <row r="37" spans="1:18">
      <c r="A37" s="94"/>
      <c r="B37" s="94"/>
      <c r="C37" s="94"/>
      <c r="D37" s="94"/>
      <c r="E37" s="94"/>
      <c r="F37" s="94"/>
      <c r="G37" s="94"/>
      <c r="H37" s="94"/>
      <c r="I37" s="94"/>
      <c r="J37" s="94"/>
      <c r="K37" s="94"/>
      <c r="L37" s="94"/>
      <c r="M37" s="94"/>
      <c r="N37" s="94"/>
    </row>
    <row r="38" spans="1:18">
      <c r="A38" s="113"/>
      <c r="B38" s="113"/>
      <c r="C38" s="113"/>
      <c r="D38" s="113"/>
      <c r="E38" s="113"/>
      <c r="F38" s="113"/>
      <c r="G38" s="113"/>
      <c r="H38" s="113"/>
      <c r="I38" s="113"/>
      <c r="J38" s="113"/>
      <c r="K38" s="113"/>
      <c r="L38" s="113"/>
      <c r="M38" s="113"/>
      <c r="N38" s="113"/>
    </row>
    <row r="39" spans="1:18">
      <c r="A39" s="97" t="s">
        <v>5537</v>
      </c>
      <c r="B39" s="97"/>
      <c r="C39" s="97"/>
      <c r="D39" s="97"/>
      <c r="E39" s="97"/>
      <c r="F39" s="97"/>
      <c r="G39" s="97"/>
      <c r="H39" s="97"/>
      <c r="I39" s="97"/>
      <c r="J39" s="97"/>
      <c r="K39" s="97"/>
      <c r="L39" s="97"/>
      <c r="M39" s="97"/>
      <c r="N39" s="97"/>
    </row>
    <row r="40" spans="1:18">
      <c r="A40" s="274" t="s">
        <v>5764</v>
      </c>
      <c r="B40" s="274" t="s">
        <v>4361</v>
      </c>
      <c r="C40" s="274">
        <v>21532</v>
      </c>
      <c r="D40" s="274">
        <v>1859</v>
      </c>
      <c r="E40" s="276" t="s">
        <v>4219</v>
      </c>
      <c r="F40" s="276">
        <v>1187</v>
      </c>
      <c r="G40" s="276">
        <f>C40*D40*0.99114/(F40*1.0037158)</f>
        <v>33299.467209851166</v>
      </c>
      <c r="H40" s="276">
        <f>C40/F40</f>
        <v>18.139848357203032</v>
      </c>
      <c r="I40" s="276">
        <f>$R$5/$R$2</f>
        <v>20.206185567010309</v>
      </c>
      <c r="J40" s="97">
        <f>I40/H40</f>
        <v>1.1139114930355396</v>
      </c>
      <c r="K40" s="97">
        <f>(1/J40-1.0256)*100</f>
        <v>-12.786260681189088</v>
      </c>
      <c r="L40" s="97"/>
      <c r="M40" s="97"/>
      <c r="N40" s="97">
        <v>1</v>
      </c>
    </row>
    <row r="41" spans="1:18">
      <c r="A41" s="274" t="s">
        <v>5771</v>
      </c>
      <c r="B41" s="274" t="s">
        <v>4361</v>
      </c>
      <c r="C41" s="274">
        <v>22420.1</v>
      </c>
      <c r="D41" s="274">
        <v>1000</v>
      </c>
      <c r="E41" s="276" t="s">
        <v>4219</v>
      </c>
      <c r="F41" s="276">
        <v>1161</v>
      </c>
      <c r="G41" s="276">
        <f>C41*D41*0.99114/(F41*1.0037158)</f>
        <v>19069.072437793271</v>
      </c>
      <c r="H41" s="276">
        <f>C41/F41</f>
        <v>19.311024978466836</v>
      </c>
      <c r="I41" s="276">
        <f>$R$5/$R$2</f>
        <v>20.206185567010309</v>
      </c>
      <c r="J41" s="97">
        <f>I41/H41</f>
        <v>1.0463548977613379</v>
      </c>
      <c r="K41" s="97">
        <f>(1/J41-1.0256)*100</f>
        <v>-6.9901314841182121</v>
      </c>
      <c r="L41" s="97" t="s">
        <v>25</v>
      </c>
      <c r="M41" s="97"/>
      <c r="N41" s="97">
        <f>H41/H40</f>
        <v>1.064563749277361</v>
      </c>
    </row>
    <row r="42" spans="1:18">
      <c r="A42" s="274" t="s">
        <v>5774</v>
      </c>
      <c r="B42" s="274" t="s">
        <v>4361</v>
      </c>
      <c r="C42" s="274">
        <v>23233.1</v>
      </c>
      <c r="D42" s="274">
        <v>1000</v>
      </c>
      <c r="E42" s="276" t="s">
        <v>4219</v>
      </c>
      <c r="F42" s="276">
        <v>1152</v>
      </c>
      <c r="G42" s="276">
        <f>C42*D42*0.99114/(F42*1.0037158)</f>
        <v>19914.936480069027</v>
      </c>
      <c r="H42" s="276">
        <f>C42/F42</f>
        <v>20.167621527777776</v>
      </c>
      <c r="I42" s="276">
        <f>$R$5/$R$2</f>
        <v>20.206185567010309</v>
      </c>
      <c r="J42" s="97">
        <f>I42/H42</f>
        <v>1.0019121758695946</v>
      </c>
      <c r="K42" s="97">
        <f>(1/J42-1.0256)*100</f>
        <v>-2.7508526431406</v>
      </c>
      <c r="L42" s="97"/>
      <c r="M42" s="97"/>
      <c r="N42" s="97">
        <f>H42/H41</f>
        <v>1.0443579017823292</v>
      </c>
      <c r="R42" t="s">
        <v>25</v>
      </c>
    </row>
    <row r="43" spans="1:18">
      <c r="A43" s="274" t="s">
        <v>5776</v>
      </c>
      <c r="B43" s="274" t="s">
        <v>4361</v>
      </c>
      <c r="C43" s="274">
        <v>23900</v>
      </c>
      <c r="D43" s="274">
        <v>1000</v>
      </c>
      <c r="E43" s="276" t="s">
        <v>4219</v>
      </c>
      <c r="F43" s="276">
        <v>1153</v>
      </c>
      <c r="G43" s="276">
        <f>C43*D43*0.99114/(F43*1.0037158)</f>
        <v>20468.821398374203</v>
      </c>
      <c r="H43" s="276">
        <f>C43/F43</f>
        <v>20.7285342584562</v>
      </c>
      <c r="I43" s="276">
        <f>$R$5/$R$2</f>
        <v>20.206185567010309</v>
      </c>
      <c r="J43" s="97">
        <f>I43/H43</f>
        <v>0.974800500366648</v>
      </c>
      <c r="K43" s="97">
        <f>(1/J43-1.0256)*100</f>
        <v>2.5093013788324292E-2</v>
      </c>
      <c r="L43" s="97"/>
      <c r="M43" s="97"/>
      <c r="N43" s="97">
        <f>H43/H42</f>
        <v>1.0278125375322942</v>
      </c>
    </row>
    <row r="44" spans="1:18">
      <c r="A44" s="274" t="s">
        <v>5789</v>
      </c>
      <c r="B44" s="274" t="s">
        <v>4361</v>
      </c>
      <c r="C44" s="274">
        <v>22500</v>
      </c>
      <c r="D44" s="274">
        <v>2000</v>
      </c>
      <c r="E44" s="276" t="s">
        <v>4219</v>
      </c>
      <c r="F44" s="276">
        <v>1093</v>
      </c>
      <c r="G44" s="276">
        <f>C44*D44*0.99114/(F44*1.0037158)</f>
        <v>40655.246136679802</v>
      </c>
      <c r="H44" s="276">
        <f>C44/F44</f>
        <v>20.585544373284538</v>
      </c>
      <c r="I44" s="276">
        <f>$R$5/$R$2</f>
        <v>20.206185567010309</v>
      </c>
      <c r="J44" s="97">
        <f>I44/H44</f>
        <v>0.9815715922107674</v>
      </c>
      <c r="K44" s="97">
        <f>(1/J44-1.0256)*100</f>
        <v>-0.68256100976529233</v>
      </c>
      <c r="L44" s="97"/>
      <c r="M44" s="97"/>
      <c r="N44" s="97">
        <f>H44/H43</f>
        <v>0.99310178503753443</v>
      </c>
    </row>
    <row r="45" spans="1:18">
      <c r="A45" s="94"/>
      <c r="N45" s="94"/>
    </row>
    <row r="46" spans="1:18">
      <c r="A46" s="94"/>
      <c r="N46" s="94"/>
    </row>
    <row r="47" spans="1:18">
      <c r="A47" s="94"/>
    </row>
    <row r="48" spans="1:18">
      <c r="A48" s="97"/>
      <c r="B48" s="97"/>
      <c r="C48" s="97"/>
      <c r="D48" s="97"/>
    </row>
    <row r="49" spans="1:19">
      <c r="A49" s="97" t="s">
        <v>5890</v>
      </c>
      <c r="B49" s="97">
        <v>620</v>
      </c>
      <c r="C49" s="97">
        <v>199000</v>
      </c>
      <c r="D49" s="93">
        <f>C49*B49</f>
        <v>123380000</v>
      </c>
    </row>
    <row r="50" spans="1:19">
      <c r="A50" s="97" t="s">
        <v>6514</v>
      </c>
      <c r="B50" s="97">
        <v>720</v>
      </c>
      <c r="C50" s="97">
        <v>11000</v>
      </c>
      <c r="D50" s="93">
        <f t="shared" ref="D50:D51" si="11">C50*B50</f>
        <v>7920000</v>
      </c>
      <c r="J50" t="s">
        <v>25</v>
      </c>
    </row>
    <row r="51" spans="1:19">
      <c r="A51" s="97" t="s">
        <v>5878</v>
      </c>
      <c r="B51" s="97">
        <v>820</v>
      </c>
      <c r="C51" s="97">
        <v>30000</v>
      </c>
      <c r="D51" s="93">
        <f t="shared" si="11"/>
        <v>24600000</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155900000</v>
      </c>
    </row>
    <row r="61" spans="1:19">
      <c r="A61" s="97"/>
      <c r="B61" s="97"/>
      <c r="C61" s="97"/>
      <c r="D61" s="97"/>
    </row>
    <row r="62" spans="1:19">
      <c r="A62" s="97" t="s">
        <v>6532</v>
      </c>
      <c r="B62" s="93">
        <v>114000000</v>
      </c>
      <c r="C62" s="97"/>
      <c r="D62" s="97"/>
    </row>
    <row r="63" spans="1:19">
      <c r="A63" s="97"/>
      <c r="B63" s="97"/>
      <c r="C63" s="97"/>
      <c r="D63" s="97"/>
      <c r="S63" s="94"/>
    </row>
    <row r="64" spans="1:19">
      <c r="A64" s="97" t="s">
        <v>4595</v>
      </c>
      <c r="B64" s="93">
        <f>D60-B62</f>
        <v>41900000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A88" s="94"/>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12" priority="4" operator="lessThan">
      <formula>0</formula>
    </cfRule>
    <cfRule type="cellIs" dxfId="11" priority="5" operator="greaterThan">
      <formula>0</formula>
    </cfRule>
    <cfRule type="cellIs" dxfId="10" priority="6" operator="greaterThan">
      <formula>0</formula>
    </cfRule>
  </conditionalFormatting>
  <conditionalFormatting sqref="K40:K44">
    <cfRule type="cellIs" dxfId="9" priority="1" operator="lessThan">
      <formula>0</formula>
    </cfRule>
    <cfRule type="cellIs" dxfId="8" priority="2" operator="greaterThan">
      <formula>0</formula>
    </cfRule>
    <cfRule type="cellIs" dxfId="7"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6" priority="3" operator="lessThan">
      <formula>-0.05</formula>
    </cfRule>
    <cfRule type="cellIs" dxfId="5" priority="4" operator="lessThan">
      <formula>-0.05</formula>
    </cfRule>
  </conditionalFormatting>
  <conditionalFormatting sqref="Q1:Q1048576">
    <cfRule type="cellIs" dxfId="4" priority="1" operator="lessThan">
      <formula>-0.05</formula>
    </cfRule>
    <cfRule type="cellIs" dxfId="3"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928</v>
      </c>
      <c r="H4" s="115">
        <f>C4*G4</f>
        <v>273760000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299167261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928</v>
      </c>
      <c r="H19" s="115">
        <f>C19*G19</f>
        <v>12004608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283003236</v>
      </c>
    </row>
    <row r="26" spans="1:8">
      <c r="D26" t="s">
        <v>5405</v>
      </c>
      <c r="E26" s="112">
        <f>'خرید خانه'!H10+'خرید خانه'!H23-'خرید خانه'!D10-'خرید خانه'!D23</f>
        <v>280470497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2021-05-10T06:17:52Z</dcterms:modified>
</cp:coreProperties>
</file>