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99" i="63" l="1"/>
  <c r="L52" i="18"/>
  <c r="T158" i="18"/>
  <c r="W356" i="18"/>
  <c r="H237" i="18" l="1"/>
  <c r="F100" i="63"/>
  <c r="C100" i="63"/>
  <c r="H96" i="63"/>
  <c r="G96" i="63"/>
  <c r="L115" i="63" s="1"/>
  <c r="I96" i="63"/>
  <c r="O362" i="52"/>
  <c r="J362" i="52"/>
  <c r="G91" i="63"/>
  <c r="H91" i="63"/>
  <c r="I91" i="63"/>
  <c r="I100" i="63" l="1"/>
  <c r="H100" i="63"/>
  <c r="G100" i="63"/>
  <c r="E145" i="63"/>
  <c r="D145" i="63"/>
  <c r="K100" i="63" l="1"/>
  <c r="L100" i="63" s="1"/>
  <c r="E147" i="63"/>
  <c r="M193" i="18" l="1"/>
  <c r="L193" i="18"/>
  <c r="M359" i="52" l="1"/>
  <c r="M360" i="52" s="1"/>
  <c r="W355" i="18"/>
  <c r="G90" i="63"/>
  <c r="H90" i="63"/>
  <c r="I90" i="63"/>
  <c r="G89" i="63"/>
  <c r="H89" i="63"/>
  <c r="I89" i="63"/>
  <c r="W354" i="18" l="1"/>
  <c r="R396" i="18" l="1"/>
  <c r="W353" i="18"/>
  <c r="M192" i="18" l="1"/>
  <c r="L192" i="18"/>
  <c r="W352" i="18"/>
  <c r="W351" i="18" l="1"/>
  <c r="K119" i="63"/>
  <c r="K120" i="63"/>
  <c r="G88" i="63"/>
  <c r="H88" i="63"/>
  <c r="I88" i="63"/>
  <c r="U364" i="18" l="1"/>
  <c r="W350" i="18"/>
  <c r="D140" i="58" l="1"/>
  <c r="M191" i="18" l="1"/>
  <c r="L191" i="18"/>
  <c r="I175" i="18"/>
  <c r="J175" i="18" s="1"/>
  <c r="J180" i="18" s="1"/>
  <c r="G175" i="18"/>
  <c r="M190" i="18" l="1"/>
  <c r="L190" i="18"/>
  <c r="G98" i="63"/>
  <c r="H98" i="63"/>
  <c r="I98" i="63"/>
  <c r="F99" i="63"/>
  <c r="C99" i="63"/>
  <c r="I99" i="63" l="1"/>
  <c r="G99" i="63"/>
  <c r="H99" i="63"/>
  <c r="L187" i="18"/>
  <c r="M187" i="18"/>
  <c r="L188" i="18"/>
  <c r="M188" i="18"/>
  <c r="L189" i="18"/>
  <c r="M189" i="18"/>
  <c r="L196" i="18"/>
  <c r="M196" i="18"/>
  <c r="N50" i="18"/>
  <c r="P44" i="18"/>
  <c r="G87" i="63"/>
  <c r="L114" i="63" s="1"/>
  <c r="O348" i="52" l="1"/>
  <c r="G132" i="18"/>
  <c r="J132" i="18" s="1"/>
  <c r="W349" i="18"/>
  <c r="AL413" i="18"/>
  <c r="AL412" i="18" s="1"/>
  <c r="AM412" i="18" l="1"/>
  <c r="AL411" i="18"/>
  <c r="AM413" i="18"/>
  <c r="G109" i="18"/>
  <c r="G108" i="18"/>
  <c r="P22" i="18"/>
  <c r="N22" i="18" s="1"/>
  <c r="P29" i="18"/>
  <c r="N29" i="18" s="1"/>
  <c r="N46" i="18"/>
  <c r="J153" i="18"/>
  <c r="G152" i="18"/>
  <c r="J152" i="18" s="1"/>
  <c r="W348" i="18"/>
  <c r="J347" i="52"/>
  <c r="AL410" i="18" l="1"/>
  <c r="AM411" i="18"/>
  <c r="I155" i="18"/>
  <c r="L186" i="18"/>
  <c r="M186" i="18"/>
  <c r="M185" i="18"/>
  <c r="L185" i="18"/>
  <c r="W347" i="18"/>
  <c r="AM410" i="18" l="1"/>
  <c r="AL409" i="18"/>
  <c r="AL408" i="18" l="1"/>
  <c r="AM409" i="18"/>
  <c r="F123" i="63"/>
  <c r="C123" i="63"/>
  <c r="W346" i="18"/>
  <c r="AM408" i="18" l="1"/>
  <c r="AL407" i="18"/>
  <c r="I123" i="63"/>
  <c r="G123" i="63"/>
  <c r="H123" i="63"/>
  <c r="P24" i="18"/>
  <c r="N24" i="18" s="1"/>
  <c r="P30" i="18"/>
  <c r="N30" i="18" s="1"/>
  <c r="N51" i="18"/>
  <c r="AL406" i="18" l="1"/>
  <c r="AM407" i="18"/>
  <c r="N108" i="63"/>
  <c r="AL405" i="18" l="1"/>
  <c r="AM406" i="18"/>
  <c r="H87" i="63"/>
  <c r="L99" i="63" l="1"/>
  <c r="W345" i="18"/>
  <c r="AL230" i="18"/>
  <c r="AM230" i="18" s="1"/>
  <c r="AL231" i="18"/>
  <c r="AM231" i="18" s="1"/>
  <c r="AL232" i="18"/>
  <c r="AM232" i="18" s="1"/>
  <c r="AL233" i="18"/>
  <c r="AM233" i="18" s="1"/>
  <c r="AL234" i="18"/>
  <c r="AM234" i="18" s="1"/>
  <c r="AL235" i="18"/>
  <c r="AM235" i="18" s="1"/>
  <c r="AL236" i="18"/>
  <c r="AM236" i="18" s="1"/>
  <c r="G114" i="63" l="1"/>
  <c r="H114" i="63"/>
  <c r="I114" i="63"/>
  <c r="G121" i="63"/>
  <c r="H121" i="63"/>
  <c r="I121" i="63"/>
  <c r="G115" i="63"/>
  <c r="H115" i="63"/>
  <c r="K123" i="63" s="1"/>
  <c r="I115" i="63"/>
  <c r="G113" i="63"/>
  <c r="H113" i="63"/>
  <c r="I113" i="63"/>
  <c r="G112" i="63"/>
  <c r="H112" i="63"/>
  <c r="I112" i="63"/>
  <c r="G111" i="63"/>
  <c r="H111" i="63"/>
  <c r="I111" i="63"/>
  <c r="G109" i="63"/>
  <c r="H109" i="63"/>
  <c r="I109" i="63"/>
  <c r="G108" i="63"/>
  <c r="H108" i="63"/>
  <c r="I108" i="63"/>
  <c r="L123" i="63" l="1"/>
  <c r="K115" i="63"/>
  <c r="M123" i="63"/>
  <c r="M124" i="63" s="1"/>
  <c r="K112" i="63"/>
  <c r="K114" i="63"/>
  <c r="K109" i="63"/>
  <c r="K113" i="63"/>
  <c r="W344" i="18"/>
  <c r="N123" i="63" l="1"/>
  <c r="N124" i="63"/>
  <c r="M125" i="63"/>
  <c r="W343" i="18"/>
  <c r="M126" i="63" l="1"/>
  <c r="N125" i="63"/>
  <c r="W342" i="18"/>
  <c r="N348" i="52"/>
  <c r="M127" i="63" l="1"/>
  <c r="N126" i="63"/>
  <c r="W341" i="18"/>
  <c r="M128" i="63" l="1"/>
  <c r="N127" i="63"/>
  <c r="N128" i="63" l="1"/>
  <c r="M129" i="63"/>
  <c r="L80" i="63"/>
  <c r="M130" i="63" l="1"/>
  <c r="N129" i="63"/>
  <c r="R185" i="18"/>
  <c r="M131" i="63" l="1"/>
  <c r="N130" i="63"/>
  <c r="O333" i="52"/>
  <c r="M132" i="63" l="1"/>
  <c r="N131" i="63"/>
  <c r="S229" i="18"/>
  <c r="M133" i="63" l="1"/>
  <c r="N132" i="63"/>
  <c r="J333" i="52"/>
  <c r="M134" i="63" l="1"/>
  <c r="N133" i="63"/>
  <c r="J332" i="52"/>
  <c r="M135" i="63" l="1"/>
  <c r="N134"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P362" i="52" s="1"/>
  <c r="N363" i="52"/>
  <c r="O363" i="52"/>
  <c r="N364" i="52"/>
  <c r="O364" i="52"/>
  <c r="N365" i="52"/>
  <c r="O365" i="52"/>
  <c r="N366" i="52"/>
  <c r="O366" i="52"/>
  <c r="N367" i="52"/>
  <c r="O367" i="52"/>
  <c r="N368" i="52"/>
  <c r="O368"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J366" i="52"/>
  <c r="J367" i="52"/>
  <c r="J368" i="52"/>
  <c r="P364" i="52" l="1"/>
  <c r="P365" i="52"/>
  <c r="P361" i="52"/>
  <c r="P359" i="52"/>
  <c r="P357" i="52"/>
  <c r="P344" i="52"/>
  <c r="P342" i="52"/>
  <c r="P336" i="52"/>
  <c r="P368" i="52"/>
  <c r="P366" i="52"/>
  <c r="P352" i="52"/>
  <c r="P350" i="52"/>
  <c r="P347" i="52"/>
  <c r="P346" i="52"/>
  <c r="P360" i="52"/>
  <c r="P367" i="52"/>
  <c r="P358" i="52"/>
  <c r="P351" i="52"/>
  <c r="P345" i="52"/>
  <c r="P333" i="52"/>
  <c r="P353" i="52"/>
  <c r="P356" i="52"/>
  <c r="P354" i="52"/>
  <c r="P335" i="52"/>
  <c r="M136" i="63"/>
  <c r="N135" i="63"/>
  <c r="P343" i="52"/>
  <c r="P341" i="52"/>
  <c r="P340" i="52"/>
  <c r="P338" i="52"/>
  <c r="P337" i="52"/>
  <c r="P349" i="52"/>
  <c r="P363" i="52"/>
  <c r="P355" i="52"/>
  <c r="P339" i="52"/>
  <c r="P332" i="52"/>
  <c r="P334" i="52"/>
  <c r="P331" i="52"/>
  <c r="J327" i="52"/>
  <c r="O327" i="52"/>
  <c r="M137" i="63" l="1"/>
  <c r="N136" i="63"/>
  <c r="M80" i="63"/>
  <c r="M138" i="63" l="1"/>
  <c r="N138" i="63" s="1"/>
  <c r="N137" i="63"/>
  <c r="C82" i="63"/>
  <c r="C81" i="63"/>
  <c r="L14" i="60"/>
  <c r="I87" i="63" l="1"/>
  <c r="G82" i="63" l="1"/>
  <c r="H82" i="63"/>
  <c r="I82" i="63"/>
  <c r="G110" i="63"/>
  <c r="H110" i="63"/>
  <c r="I110" i="63"/>
  <c r="K110" i="63" l="1"/>
  <c r="K111" i="63"/>
  <c r="P25" i="18"/>
  <c r="N25" i="18" s="1"/>
  <c r="N47" i="18" l="1"/>
  <c r="M109" i="18" s="1"/>
  <c r="D48" i="60" l="1"/>
  <c r="F48" i="60" s="1"/>
  <c r="D47" i="60"/>
  <c r="F47" i="60" s="1"/>
  <c r="Y113" i="63" l="1"/>
  <c r="Y99" i="63"/>
  <c r="Y98" i="63"/>
  <c r="Y97" i="63"/>
  <c r="X110" i="63"/>
  <c r="Y110" i="63" s="1"/>
  <c r="I81" i="63"/>
  <c r="H81" i="63"/>
  <c r="G81" i="63"/>
  <c r="I104" i="63"/>
  <c r="H104" i="63"/>
  <c r="G104" i="63"/>
  <c r="I107" i="63"/>
  <c r="H107" i="63"/>
  <c r="G107" i="63"/>
  <c r="I105" i="63"/>
  <c r="H105" i="63"/>
  <c r="G105" i="63"/>
  <c r="I83" i="63"/>
  <c r="H83" i="63"/>
  <c r="G83" i="63"/>
  <c r="J319" i="52"/>
  <c r="I106" i="63"/>
  <c r="H106" i="63"/>
  <c r="G106" i="63"/>
  <c r="K105" i="63" l="1"/>
  <c r="K106" i="63"/>
  <c r="K107" i="63"/>
  <c r="K108" i="63"/>
  <c r="O319" i="52"/>
  <c r="AL226" i="18" l="1"/>
  <c r="AM226" i="18" s="1"/>
  <c r="AL227" i="18"/>
  <c r="AM227" i="18" s="1"/>
  <c r="AL228" i="18"/>
  <c r="AM228" i="18" s="1"/>
  <c r="AL229" i="18"/>
  <c r="AM229" i="18" s="1"/>
  <c r="G84" i="63"/>
  <c r="H84" i="63"/>
  <c r="I84" i="63"/>
  <c r="G85" i="63"/>
  <c r="H85" i="63"/>
  <c r="I85" i="63"/>
  <c r="X98" i="63" l="1"/>
  <c r="I103" i="63"/>
  <c r="G103" i="63"/>
  <c r="G102" i="63"/>
  <c r="L113" i="63" s="1"/>
  <c r="H103" i="63"/>
  <c r="K104" i="63" l="1"/>
  <c r="I102" i="63"/>
  <c r="H102" i="63"/>
  <c r="G77" i="63"/>
  <c r="G78" i="63"/>
  <c r="G79" i="63"/>
  <c r="G80" i="63"/>
  <c r="I80" i="63"/>
  <c r="H80" i="63"/>
  <c r="N49" i="18"/>
  <c r="K103" i="63" l="1"/>
  <c r="W321" i="18"/>
  <c r="G144" i="18" l="1"/>
  <c r="J144" i="18" s="1"/>
  <c r="W340"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9" i="18"/>
  <c r="D418" i="15" l="1"/>
  <c r="F419" i="15"/>
  <c r="F418" i="15" l="1"/>
  <c r="D417" i="15"/>
  <c r="I77" i="63"/>
  <c r="W338" i="18"/>
  <c r="O305" i="52"/>
  <c r="J305" i="52"/>
  <c r="D416" i="15" l="1"/>
  <c r="F417" i="15"/>
  <c r="D415" i="15" l="1"/>
  <c r="F416" i="15"/>
  <c r="W337" i="18"/>
  <c r="W336" i="18"/>
  <c r="O302" i="52"/>
  <c r="F415" i="15" l="1"/>
  <c r="D414" i="15"/>
  <c r="G143" i="18"/>
  <c r="D413" i="15" l="1"/>
  <c r="F414" i="15"/>
  <c r="V383" i="18"/>
  <c r="D412" i="15" l="1"/>
  <c r="F413" i="15"/>
  <c r="W335" i="18"/>
  <c r="O301" i="52"/>
  <c r="J143" i="18"/>
  <c r="J148" i="18" l="1"/>
  <c r="L46" i="18" s="1"/>
  <c r="F412" i="15"/>
  <c r="D411" i="15"/>
  <c r="I148" i="18" l="1"/>
  <c r="D410" i="15"/>
  <c r="F411" i="15"/>
  <c r="W334" i="18"/>
  <c r="W333" i="18"/>
  <c r="J300" i="52"/>
  <c r="F410" i="15" l="1"/>
  <c r="D409" i="15"/>
  <c r="W332" i="18"/>
  <c r="O299" i="52"/>
  <c r="W331" i="18"/>
  <c r="W33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75" i="18"/>
  <c r="X376" i="18" s="1"/>
  <c r="X371" i="18"/>
  <c r="X372" i="18" s="1"/>
  <c r="D408" i="15" l="1"/>
  <c r="F409" i="15"/>
  <c r="X374" i="18"/>
  <c r="X373" i="18"/>
  <c r="W329" i="18"/>
  <c r="W328" i="18"/>
  <c r="W327" i="18"/>
  <c r="P28" i="18"/>
  <c r="N28" i="18" s="1"/>
  <c r="O298" i="52"/>
  <c r="D407" i="15" l="1"/>
  <c r="F408" i="15"/>
  <c r="J298" i="52"/>
  <c r="AL222" i="18"/>
  <c r="AM222" i="18" s="1"/>
  <c r="AL223" i="18"/>
  <c r="AM223" i="18" s="1"/>
  <c r="AL224" i="18"/>
  <c r="AM224" i="18" s="1"/>
  <c r="AL225" i="18"/>
  <c r="AM225" i="18" s="1"/>
  <c r="F407" i="15" l="1"/>
  <c r="D406" i="15"/>
  <c r="O297" i="52"/>
  <c r="W326" i="18"/>
  <c r="W325" i="18"/>
  <c r="W324" i="18"/>
  <c r="D405" i="15" l="1"/>
  <c r="F406" i="15"/>
  <c r="T385" i="18"/>
  <c r="T387" i="18" s="1"/>
  <c r="W323" i="18"/>
  <c r="J296" i="52"/>
  <c r="D404" i="15" l="1"/>
  <c r="F405" i="15"/>
  <c r="J295" i="52"/>
  <c r="F404" i="15" l="1"/>
  <c r="D403" i="15"/>
  <c r="W322" i="18"/>
  <c r="D402" i="15" l="1"/>
  <c r="F403" i="15"/>
  <c r="O296" i="52"/>
  <c r="K114" i="18"/>
  <c r="N113" i="18"/>
  <c r="B422" i="15"/>
  <c r="B428" i="15"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0"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9" i="18"/>
  <c r="J279" i="52"/>
  <c r="AL220" i="18"/>
  <c r="AM220" i="18" s="1"/>
  <c r="D391" i="15" l="1"/>
  <c r="F392" i="15"/>
  <c r="J278" i="52"/>
  <c r="O278" i="52"/>
  <c r="F391" i="15" l="1"/>
  <c r="D390" i="15"/>
  <c r="I166" i="18"/>
  <c r="J277" i="52"/>
  <c r="O277" i="52"/>
  <c r="D389" i="15" l="1"/>
  <c r="F390" i="15"/>
  <c r="I168" i="18"/>
  <c r="E366" i="15"/>
  <c r="E367" i="15"/>
  <c r="E368" i="15"/>
  <c r="E369" i="15"/>
  <c r="E370" i="15"/>
  <c r="E371" i="15"/>
  <c r="E372" i="15"/>
  <c r="E373" i="15"/>
  <c r="E374" i="15"/>
  <c r="E375" i="15"/>
  <c r="E376" i="15"/>
  <c r="E377" i="15"/>
  <c r="O276" i="52"/>
  <c r="J276" i="52"/>
  <c r="W318" i="18"/>
  <c r="D388" i="15" l="1"/>
  <c r="F389" i="15"/>
  <c r="J275" i="52"/>
  <c r="F388" i="15" l="1"/>
  <c r="D387" i="15"/>
  <c r="W317" i="18"/>
  <c r="D386" i="15" l="1"/>
  <c r="F387" i="15"/>
  <c r="J274" i="52"/>
  <c r="F386" i="15" l="1"/>
  <c r="D385" i="15"/>
  <c r="W316" i="18"/>
  <c r="D384" i="15" l="1"/>
  <c r="F385" i="15"/>
  <c r="J271" i="52"/>
  <c r="D383" i="15" l="1"/>
  <c r="F384" i="15"/>
  <c r="J162" i="18"/>
  <c r="W315" i="18"/>
  <c r="G161" i="18"/>
  <c r="J161" i="18" s="1"/>
  <c r="N45" i="18"/>
  <c r="F383" i="15" l="1"/>
  <c r="D382" i="15"/>
  <c r="O269" i="52"/>
  <c r="F382" i="15" l="1"/>
  <c r="D381" i="15"/>
  <c r="J268" i="52"/>
  <c r="N268" i="52"/>
  <c r="W314"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3" i="18"/>
  <c r="W31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10" i="18"/>
  <c r="W309" i="18"/>
  <c r="W308" i="18"/>
  <c r="D364" i="15" l="1"/>
  <c r="F365" i="15"/>
  <c r="O223" i="52"/>
  <c r="W307" i="18"/>
  <c r="F364" i="15" l="1"/>
  <c r="D363" i="15"/>
  <c r="J222" i="52"/>
  <c r="W306" i="18"/>
  <c r="D362" i="15" l="1"/>
  <c r="F363" i="15"/>
  <c r="W305" i="18"/>
  <c r="W304" i="18"/>
  <c r="D361" i="15" l="1"/>
  <c r="F362" i="15"/>
  <c r="O220" i="52"/>
  <c r="F361" i="15" l="1"/>
  <c r="D360" i="15"/>
  <c r="W303" i="18"/>
  <c r="W302" i="18"/>
  <c r="F360" i="15" l="1"/>
  <c r="D359" i="15"/>
  <c r="J218" i="52"/>
  <c r="D358" i="15" l="1"/>
  <c r="F359" i="15"/>
  <c r="F358" i="15" l="1"/>
  <c r="D357" i="15"/>
  <c r="J217" i="52"/>
  <c r="D356" i="15" l="1"/>
  <c r="F357" i="15"/>
  <c r="P81"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W300" i="18"/>
  <c r="J168" i="18" l="1"/>
  <c r="J166" i="18"/>
  <c r="J167" i="18"/>
  <c r="J170" i="18" s="1"/>
  <c r="J159" i="18"/>
  <c r="I163" i="18" s="1"/>
  <c r="F348" i="15"/>
  <c r="D347" i="15"/>
  <c r="O210" i="52"/>
  <c r="W299" i="18"/>
  <c r="D346" i="15" l="1"/>
  <c r="F347" i="15"/>
  <c r="J210" i="52"/>
  <c r="D345" i="15" l="1"/>
  <c r="F346" i="15"/>
  <c r="J209" i="52"/>
  <c r="O208" i="52"/>
  <c r="J208" i="52"/>
  <c r="D344" i="15" l="1"/>
  <c r="F345" i="15"/>
  <c r="W298" i="18"/>
  <c r="F344" i="15" l="1"/>
  <c r="D343" i="15"/>
  <c r="O207" i="52"/>
  <c r="J207" i="52"/>
  <c r="W297" i="18"/>
  <c r="D342" i="15" l="1"/>
  <c r="F343" i="15"/>
  <c r="W296" i="18"/>
  <c r="D341" i="15" l="1"/>
  <c r="F342" i="15"/>
  <c r="W295" i="18"/>
  <c r="D340" i="15" l="1"/>
  <c r="F341" i="15"/>
  <c r="O204" i="52"/>
  <c r="F340" i="15" l="1"/>
  <c r="D339" i="15"/>
  <c r="J203" i="52"/>
  <c r="W29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93" i="18"/>
  <c r="W292" i="18"/>
  <c r="W291" i="18"/>
  <c r="J202" i="52"/>
  <c r="D336" i="15" l="1"/>
  <c r="F337" i="15"/>
  <c r="W290" i="18"/>
  <c r="J201" i="52"/>
  <c r="W289" i="18"/>
  <c r="F336" i="15" l="1"/>
  <c r="D335" i="15"/>
  <c r="J200" i="52"/>
  <c r="D334" i="15" l="1"/>
  <c r="F335" i="15"/>
  <c r="W288" i="18"/>
  <c r="W287" i="18"/>
  <c r="AL221" i="18"/>
  <c r="AM221" i="18" s="1"/>
  <c r="F334" i="15" l="1"/>
  <c r="D333" i="15"/>
  <c r="W286"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5" i="18"/>
  <c r="AM217" i="18" l="1"/>
  <c r="AL216" i="18"/>
  <c r="F330" i="15"/>
  <c r="D329" i="15"/>
  <c r="AM216" i="18" l="1"/>
  <c r="AL215" i="18"/>
  <c r="D328" i="15"/>
  <c r="F329" i="15"/>
  <c r="W284" i="18"/>
  <c r="AL214" i="18" l="1"/>
  <c r="AM215" i="18"/>
  <c r="D327" i="15"/>
  <c r="F328" i="15"/>
  <c r="W283" i="18"/>
  <c r="AM214" i="18" l="1"/>
  <c r="AL213" i="18"/>
  <c r="F327" i="15"/>
  <c r="D326" i="15"/>
  <c r="AL212" i="18" l="1"/>
  <c r="AM213" i="18"/>
  <c r="F326" i="15"/>
  <c r="D325" i="15"/>
  <c r="J195" i="52"/>
  <c r="O195" i="52"/>
  <c r="J194" i="52"/>
  <c r="W282" i="18"/>
  <c r="AL211" i="18" l="1"/>
  <c r="AM212" i="18"/>
  <c r="F325" i="15"/>
  <c r="D324" i="15"/>
  <c r="N194" i="52"/>
  <c r="W281" i="18"/>
  <c r="W280" i="18"/>
  <c r="AL210" i="18" l="1"/>
  <c r="AM211" i="18"/>
  <c r="F324" i="15"/>
  <c r="D323" i="15"/>
  <c r="W279" i="18"/>
  <c r="AM210" i="18" l="1"/>
  <c r="AL209" i="18"/>
  <c r="F323" i="15"/>
  <c r="D322" i="15"/>
  <c r="R153" i="18"/>
  <c r="AL208" i="18" l="1"/>
  <c r="AM209" i="18"/>
  <c r="F322" i="15"/>
  <c r="D321" i="15"/>
  <c r="W278" i="18"/>
  <c r="AM208" i="18" l="1"/>
  <c r="AL207" i="18"/>
  <c r="F321" i="15"/>
  <c r="D320" i="15"/>
  <c r="W277" i="18"/>
  <c r="O190" i="52"/>
  <c r="J190" i="52"/>
  <c r="AL206" i="18" l="1"/>
  <c r="AM207" i="18"/>
  <c r="F320" i="15"/>
  <c r="D319" i="15"/>
  <c r="W276" i="18"/>
  <c r="AM206" i="18" l="1"/>
  <c r="AL205" i="18"/>
  <c r="F319" i="15"/>
  <c r="D318" i="15"/>
  <c r="N55" i="18"/>
  <c r="N53" i="18"/>
  <c r="AM205" i="18" l="1"/>
  <c r="AL204" i="18"/>
  <c r="F318" i="15"/>
  <c r="D317" i="15"/>
  <c r="O187" i="52"/>
  <c r="W275" i="18"/>
  <c r="AM204" i="18" l="1"/>
  <c r="AL203" i="18"/>
  <c r="F317" i="15"/>
  <c r="D316" i="15"/>
  <c r="J186" i="52"/>
  <c r="W274" i="18"/>
  <c r="W262" i="18"/>
  <c r="W261" i="18"/>
  <c r="AM203" i="18" l="1"/>
  <c r="AL202" i="18"/>
  <c r="F316" i="15"/>
  <c r="D315" i="15"/>
  <c r="J185" i="52"/>
  <c r="W273" i="18"/>
  <c r="AM202" i="18" l="1"/>
  <c r="AL201" i="18"/>
  <c r="F315" i="15"/>
  <c r="D314" i="15"/>
  <c r="AL200" i="18" l="1"/>
  <c r="AM201" i="18"/>
  <c r="F314" i="15"/>
  <c r="D313" i="15"/>
  <c r="AL199" i="18" l="1"/>
  <c r="AM200" i="18"/>
  <c r="F313" i="15"/>
  <c r="D312" i="15"/>
  <c r="N181" i="52"/>
  <c r="AL198" i="18" l="1"/>
  <c r="AM199" i="18"/>
  <c r="F312" i="15"/>
  <c r="D311" i="15"/>
  <c r="W272" i="18"/>
  <c r="B8" i="36"/>
  <c r="AL197" i="18" l="1"/>
  <c r="AM198" i="18"/>
  <c r="F311" i="15"/>
  <c r="D310" i="15"/>
  <c r="O178" i="52"/>
  <c r="J178" i="52"/>
  <c r="AM197" i="18" l="1"/>
  <c r="AL196" i="18"/>
  <c r="F310" i="15"/>
  <c r="D309" i="15"/>
  <c r="N48" i="18"/>
  <c r="G176" i="18" s="1"/>
  <c r="W271" i="18"/>
  <c r="O177" i="52"/>
  <c r="J177" i="52"/>
  <c r="M108" i="18" l="1"/>
  <c r="G177" i="18"/>
  <c r="AM196" i="18"/>
  <c r="AL195" i="18"/>
  <c r="F309" i="15"/>
  <c r="D308" i="15"/>
  <c r="O176" i="52"/>
  <c r="J176" i="52"/>
  <c r="AM195" i="18" l="1"/>
  <c r="AL194" i="18"/>
  <c r="F308" i="15"/>
  <c r="D307" i="15"/>
  <c r="F307" i="15" s="1"/>
  <c r="AM194" i="18" l="1"/>
  <c r="AL193" i="18"/>
  <c r="J174" i="52"/>
  <c r="W270" i="18"/>
  <c r="AM193" i="18" l="1"/>
  <c r="AL192" i="18"/>
  <c r="J168" i="52"/>
  <c r="O168" i="52"/>
  <c r="W269" i="18"/>
  <c r="AM192" i="18" l="1"/>
  <c r="AL191" i="18"/>
  <c r="AM191" i="18" s="1"/>
  <c r="O167" i="52"/>
  <c r="W268" i="18"/>
  <c r="O166" i="52" l="1"/>
  <c r="W267" i="18"/>
  <c r="W266" i="18" l="1"/>
  <c r="O165" i="52"/>
  <c r="J165" i="52"/>
  <c r="C7" i="60" l="1"/>
  <c r="D3" i="60"/>
  <c r="D4" i="60"/>
  <c r="D5" i="60"/>
  <c r="D2" i="60"/>
  <c r="F2" i="60"/>
  <c r="AL404" i="18" l="1"/>
  <c r="AM405" i="18"/>
  <c r="O162" i="52"/>
  <c r="J162" i="52"/>
  <c r="W265"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64" i="18"/>
  <c r="AL400" i="18" l="1"/>
  <c r="AM401" i="18"/>
  <c r="W263" i="18"/>
  <c r="AM400" i="18" l="1"/>
  <c r="AL399" i="18"/>
  <c r="AL190" i="18"/>
  <c r="AL398" i="18" l="1"/>
  <c r="AM399" i="18"/>
  <c r="AL189" i="18"/>
  <c r="AM190" i="18"/>
  <c r="N159" i="52"/>
  <c r="P160" i="52" s="1"/>
  <c r="W260"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9" i="18"/>
  <c r="W258" i="18"/>
  <c r="O150" i="52"/>
  <c r="AL393" i="18" l="1"/>
  <c r="AM394" i="18"/>
  <c r="AM185" i="18"/>
  <c r="AL184" i="18"/>
  <c r="AL392" i="18" l="1"/>
  <c r="AM393" i="18"/>
  <c r="AL183" i="18"/>
  <c r="AM184" i="18"/>
  <c r="Q146" i="52"/>
  <c r="J146" i="52"/>
  <c r="W25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6" i="18"/>
  <c r="AM390" i="18" l="1"/>
  <c r="AL389" i="18"/>
  <c r="AM181" i="18"/>
  <c r="AL180" i="18"/>
  <c r="G137" i="18"/>
  <c r="J137" i="18" s="1"/>
  <c r="J139" i="18" s="1"/>
  <c r="I139" i="18" s="1"/>
  <c r="G131" i="18"/>
  <c r="J131" i="18" s="1"/>
  <c r="J133" i="18" s="1"/>
  <c r="I133" i="18" s="1"/>
  <c r="W255" i="18"/>
  <c r="AL388" i="18" l="1"/>
  <c r="AM389" i="18"/>
  <c r="AM180" i="18"/>
  <c r="AL179" i="18"/>
  <c r="O142" i="52"/>
  <c r="J142" i="52"/>
  <c r="W254" i="18"/>
  <c r="AL387" i="18" l="1"/>
  <c r="AM388" i="18"/>
  <c r="AM179" i="18"/>
  <c r="AL178" i="18"/>
  <c r="AM178" i="18" s="1"/>
  <c r="O140" i="52"/>
  <c r="J140" i="52"/>
  <c r="W253" i="18"/>
  <c r="AM387" i="18" l="1"/>
  <c r="AL386" i="18"/>
  <c r="W252" i="18"/>
  <c r="W251" i="18"/>
  <c r="O139" i="52"/>
  <c r="J139" i="52"/>
  <c r="AM386" i="18" l="1"/>
  <c r="AL385" i="18"/>
  <c r="W250" i="18"/>
  <c r="AM385" i="18" l="1"/>
  <c r="AL384" i="18"/>
  <c r="AM384" i="18" l="1"/>
  <c r="AL383" i="18"/>
  <c r="M41" i="52"/>
  <c r="AM383" i="18" l="1"/>
  <c r="AL382" i="18"/>
  <c r="O135" i="52"/>
  <c r="J135" i="52"/>
  <c r="AM382" i="18" l="1"/>
  <c r="AL381" i="18"/>
  <c r="AL380" i="18" l="1"/>
  <c r="AM381" i="18"/>
  <c r="W249" i="18"/>
  <c r="AL379" i="18" l="1"/>
  <c r="AM380" i="18"/>
  <c r="O132" i="52"/>
  <c r="W248" i="18"/>
  <c r="AM379" i="18" l="1"/>
  <c r="AL378" i="18"/>
  <c r="O131" i="52"/>
  <c r="J3" i="60"/>
  <c r="J4" i="60"/>
  <c r="J5" i="60"/>
  <c r="J2" i="60"/>
  <c r="I9" i="60"/>
  <c r="I7" i="60"/>
  <c r="AL377" i="18" l="1"/>
  <c r="AM378" i="18"/>
  <c r="O130" i="52"/>
  <c r="O129" i="52"/>
  <c r="W247" i="18"/>
  <c r="W246" i="18"/>
  <c r="AL376" i="18" l="1"/>
  <c r="AM377" i="18"/>
  <c r="N129" i="52"/>
  <c r="AL375" i="18" l="1"/>
  <c r="AM376" i="18"/>
  <c r="O127" i="52"/>
  <c r="AL374" i="18" l="1"/>
  <c r="AM375" i="18"/>
  <c r="J126" i="52"/>
  <c r="O126" i="52"/>
  <c r="W245" i="18"/>
  <c r="AM374" i="18" l="1"/>
  <c r="AL373" i="18"/>
  <c r="O125" i="52"/>
  <c r="J125" i="52"/>
  <c r="AM373" i="18" l="1"/>
  <c r="AL372" i="18"/>
  <c r="W244"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3"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42" i="18"/>
  <c r="AM369" i="18" l="1"/>
  <c r="AL368" i="18"/>
  <c r="AM368" i="18" l="1"/>
  <c r="AL367" i="18"/>
  <c r="O121" i="52"/>
  <c r="J121" i="52"/>
  <c r="W241" i="18"/>
  <c r="AL366" i="18" l="1"/>
  <c r="AM367" i="18"/>
  <c r="W240" i="18"/>
  <c r="J120" i="52"/>
  <c r="AM366" i="18" l="1"/>
  <c r="AL365" i="18"/>
  <c r="AL364" i="18" l="1"/>
  <c r="AM365" i="18"/>
  <c r="O117" i="52"/>
  <c r="AM364" i="18" l="1"/>
  <c r="AL363" i="18"/>
  <c r="O116" i="52"/>
  <c r="N116" i="52"/>
  <c r="AM363" i="18" l="1"/>
  <c r="AL362" i="18"/>
  <c r="W239"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8" i="18"/>
  <c r="J108" i="52"/>
  <c r="AM354" i="18" l="1"/>
  <c r="AL353" i="18"/>
  <c r="D303" i="15"/>
  <c r="F303" i="15" s="1"/>
  <c r="W237" i="18"/>
  <c r="W236" i="18"/>
  <c r="AM353" i="18" l="1"/>
  <c r="AL352" i="18"/>
  <c r="D302" i="15"/>
  <c r="F302" i="15" s="1"/>
  <c r="O106" i="52"/>
  <c r="J106" i="52"/>
  <c r="AL351" i="18" l="1"/>
  <c r="AM352" i="18"/>
  <c r="D301" i="15"/>
  <c r="F301" i="15" s="1"/>
  <c r="J104" i="52"/>
  <c r="G124" i="18"/>
  <c r="J124" i="18" s="1"/>
  <c r="J127" i="18" s="1"/>
  <c r="I127" i="18" s="1"/>
  <c r="E276" i="15"/>
  <c r="E277" i="15"/>
  <c r="E278" i="15"/>
  <c r="E279" i="15"/>
  <c r="E280" i="15"/>
  <c r="AL350" i="18" l="1"/>
  <c r="AM351" i="18"/>
  <c r="D300" i="15"/>
  <c r="F300" i="15" s="1"/>
  <c r="W235"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4"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J90" i="52"/>
  <c r="J95" i="52"/>
  <c r="W233"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82" i="18"/>
  <c r="T380" i="18" s="1"/>
  <c r="W232" i="18"/>
  <c r="W231" i="18"/>
  <c r="W230" i="18"/>
  <c r="M48" i="52"/>
  <c r="M47" i="52"/>
  <c r="N38" i="52"/>
  <c r="N37" i="52"/>
  <c r="M49" i="52"/>
  <c r="N50" i="52" s="1"/>
  <c r="AL337" i="18" l="1"/>
  <c r="AM338" i="18"/>
  <c r="D287" i="15"/>
  <c r="F287" i="15" s="1"/>
  <c r="N49" i="52"/>
  <c r="W229" i="18"/>
  <c r="AM337" i="18" l="1"/>
  <c r="AL336" i="18"/>
  <c r="D286" i="15"/>
  <c r="F286" i="15" s="1"/>
  <c r="AL335" i="18" l="1"/>
  <c r="AM336" i="18"/>
  <c r="D285" i="15"/>
  <c r="F285" i="15" s="1"/>
  <c r="W228" i="18"/>
  <c r="AL334" i="18" l="1"/>
  <c r="AM335" i="18"/>
  <c r="D284" i="15"/>
  <c r="F284" i="15" s="1"/>
  <c r="O90" i="52"/>
  <c r="O91" i="52"/>
  <c r="J91" i="52"/>
  <c r="AM334" i="18" l="1"/>
  <c r="AL333"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7" i="18"/>
  <c r="AM333" i="18" l="1"/>
  <c r="AL332" i="18"/>
  <c r="D282" i="15"/>
  <c r="F282" i="15" s="1"/>
  <c r="G32" i="57"/>
  <c r="H32" i="57"/>
  <c r="D32" i="57"/>
  <c r="I32" i="57" s="1"/>
  <c r="D345" i="20"/>
  <c r="W226" i="18"/>
  <c r="W225"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24" i="18"/>
  <c r="D343" i="20"/>
  <c r="AL328" i="18" l="1"/>
  <c r="AM329" i="18"/>
  <c r="D278" i="15"/>
  <c r="F278" i="15" s="1"/>
  <c r="W223" i="18"/>
  <c r="D342" i="20"/>
  <c r="J83" i="52"/>
  <c r="O83" i="52"/>
  <c r="W222" i="18"/>
  <c r="W221" i="18"/>
  <c r="F44" i="14"/>
  <c r="F45" i="14"/>
  <c r="F46" i="14"/>
  <c r="F47" i="14"/>
  <c r="F48" i="14"/>
  <c r="F49" i="14"/>
  <c r="F50" i="14"/>
  <c r="D341" i="20"/>
  <c r="AL327" i="18" l="1"/>
  <c r="AM328" i="18"/>
  <c r="D277" i="15"/>
  <c r="F277" i="15" s="1"/>
  <c r="AJ414" i="18"/>
  <c r="AM327" i="18" l="1"/>
  <c r="AL326" i="18"/>
  <c r="D276" i="15"/>
  <c r="F276" i="15" s="1"/>
  <c r="W220" i="18"/>
  <c r="AL325" i="18" l="1"/>
  <c r="AM326" i="18"/>
  <c r="D340" i="20"/>
  <c r="W219" i="18"/>
  <c r="H337" i="20"/>
  <c r="H338" i="20"/>
  <c r="H339" i="20"/>
  <c r="H340" i="20"/>
  <c r="H341" i="20"/>
  <c r="H368" i="20"/>
  <c r="H369" i="20"/>
  <c r="D339" i="20"/>
  <c r="AL324" i="18" l="1"/>
  <c r="AM325" i="18"/>
  <c r="B371" i="20"/>
  <c r="D332" i="20"/>
  <c r="D333" i="20"/>
  <c r="D334" i="20"/>
  <c r="D335" i="20"/>
  <c r="D336" i="20"/>
  <c r="D337" i="20"/>
  <c r="D338" i="20"/>
  <c r="D369" i="20"/>
  <c r="AL323" i="18" l="1"/>
  <c r="AM324" i="18"/>
  <c r="W218" i="18"/>
  <c r="D80" i="57"/>
  <c r="AL322" i="18" l="1"/>
  <c r="AM323" i="18"/>
  <c r="G46" i="10"/>
  <c r="AL321" i="18" l="1"/>
  <c r="AM322" i="18"/>
  <c r="D331" i="20"/>
  <c r="AL320" i="18" l="1"/>
  <c r="AM321" i="18"/>
  <c r="D330" i="20"/>
  <c r="AL319" i="18" l="1"/>
  <c r="AM320" i="18"/>
  <c r="W217" i="18"/>
  <c r="W216"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15" i="18"/>
  <c r="W214" i="18"/>
  <c r="AL307" i="18" l="1"/>
  <c r="AM308" i="18"/>
  <c r="R17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13" i="18"/>
  <c r="W212" i="18"/>
  <c r="L36" i="18"/>
  <c r="N36" i="52"/>
  <c r="N35" i="52"/>
  <c r="Q42" i="52"/>
  <c r="AL305" i="18" l="1"/>
  <c r="AM306" i="18"/>
  <c r="W211" i="18"/>
  <c r="W210"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9" i="18"/>
  <c r="W208" i="18"/>
  <c r="N32" i="52"/>
  <c r="N31" i="52"/>
  <c r="AL300" i="18" l="1"/>
  <c r="AM300" i="18" s="1"/>
  <c r="AM301" i="18"/>
  <c r="W207" i="18"/>
  <c r="W206" i="18"/>
  <c r="N30" i="52"/>
  <c r="N29" i="52"/>
  <c r="W205" i="18" l="1"/>
  <c r="W204" i="18"/>
  <c r="N28" i="52"/>
  <c r="N27" i="52"/>
  <c r="AL299" i="18" l="1"/>
  <c r="D313" i="20"/>
  <c r="AL298" i="18" l="1"/>
  <c r="AM299" i="18"/>
  <c r="L115" i="18"/>
  <c r="L110" i="18" l="1"/>
  <c r="N110" i="18" s="1"/>
  <c r="L112" i="18"/>
  <c r="N112" i="18" s="1"/>
  <c r="L111" i="18"/>
  <c r="N111" i="18" s="1"/>
  <c r="M115" i="18"/>
  <c r="AM298" i="18"/>
  <c r="AL297" i="18"/>
  <c r="L107" i="18"/>
  <c r="W203" i="18"/>
  <c r="W202" i="18"/>
  <c r="N24" i="52"/>
  <c r="N26" i="52"/>
  <c r="N25" i="52"/>
  <c r="AL296" i="18" l="1"/>
  <c r="AM297"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201" i="18"/>
  <c r="W200" i="18"/>
  <c r="N23" i="52"/>
  <c r="N22" i="52"/>
  <c r="I368" i="20" l="1"/>
  <c r="G367" i="20"/>
  <c r="J368" i="20"/>
  <c r="K368" i="20"/>
  <c r="AL294" i="18"/>
  <c r="AM295" i="18"/>
  <c r="W199" i="18"/>
  <c r="W198"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7" i="18"/>
  <c r="W196" i="18"/>
  <c r="AL176" i="18" l="1"/>
  <c r="AM177" i="18"/>
  <c r="K362" i="20"/>
  <c r="G361" i="20"/>
  <c r="I362" i="20"/>
  <c r="J362" i="20"/>
  <c r="AL288" i="18"/>
  <c r="AM289" i="18"/>
  <c r="AL175" i="18" l="1"/>
  <c r="AM176" i="18"/>
  <c r="I361" i="20"/>
  <c r="G360" i="20"/>
  <c r="J361" i="20"/>
  <c r="K361" i="20"/>
  <c r="AL287" i="18"/>
  <c r="AM288" i="18"/>
  <c r="G107" i="18"/>
  <c r="F107"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95" i="18"/>
  <c r="W194" i="18"/>
  <c r="N17" i="52"/>
  <c r="N16" i="52"/>
  <c r="AL170" i="18" l="1"/>
  <c r="AM171" i="18"/>
  <c r="I356" i="20"/>
  <c r="G355" i="20"/>
  <c r="J356" i="20"/>
  <c r="K356" i="20"/>
  <c r="L108" i="18"/>
  <c r="AL169" i="18" l="1"/>
  <c r="AL168" i="18" s="1"/>
  <c r="AM170" i="18"/>
  <c r="J355" i="20"/>
  <c r="I355" i="20"/>
  <c r="G354" i="20"/>
  <c r="K355" i="20"/>
  <c r="W193" i="18"/>
  <c r="W192" i="18"/>
  <c r="D303" i="20"/>
  <c r="D302" i="20"/>
  <c r="W191"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9" i="18"/>
  <c r="AL163" i="18" l="1"/>
  <c r="AM164" i="18"/>
  <c r="I350" i="20"/>
  <c r="J350" i="20"/>
  <c r="K350" i="20"/>
  <c r="G349" i="20"/>
  <c r="D296" i="20"/>
  <c r="D295" i="20"/>
  <c r="AM163" i="18" l="1"/>
  <c r="AL162" i="18"/>
  <c r="K349" i="20"/>
  <c r="I349" i="20"/>
  <c r="J349" i="20"/>
  <c r="G348" i="20"/>
  <c r="W188" i="18"/>
  <c r="W187"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6" i="18"/>
  <c r="W185" i="18"/>
  <c r="AM161" i="18" l="1"/>
  <c r="AL160" i="18"/>
  <c r="G346" i="20"/>
  <c r="J347" i="20"/>
  <c r="I347" i="20"/>
  <c r="K347" i="20"/>
  <c r="D293" i="20"/>
  <c r="AL159" i="18" l="1"/>
  <c r="AM160" i="18"/>
  <c r="K346" i="20"/>
  <c r="G345" i="20"/>
  <c r="J346" i="20"/>
  <c r="I346" i="20"/>
  <c r="W184" i="18"/>
  <c r="AM159" i="18" l="1"/>
  <c r="AL158" i="18"/>
  <c r="K345" i="20"/>
  <c r="G344" i="20"/>
  <c r="J345" i="20"/>
  <c r="I345" i="20"/>
  <c r="D292" i="20"/>
  <c r="C8" i="36"/>
  <c r="W18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3"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2"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9" i="18"/>
  <c r="AM124" i="18" l="1"/>
  <c r="AL123" i="18"/>
  <c r="AM123" i="18" l="1"/>
  <c r="AL122" i="18"/>
  <c r="AL121" i="18" l="1"/>
  <c r="AM122" i="18"/>
  <c r="W173" i="18"/>
  <c r="W174" i="18"/>
  <c r="W175" i="18"/>
  <c r="W176" i="18"/>
  <c r="W177" i="18"/>
  <c r="W178" i="18"/>
  <c r="W190" i="18"/>
  <c r="W172" i="18"/>
  <c r="AM121" i="18" l="1"/>
  <c r="AL120" i="18"/>
  <c r="N54" i="18"/>
  <c r="AM120" i="18" l="1"/>
  <c r="AL119" i="18"/>
  <c r="AM119" i="18" l="1"/>
  <c r="AL118" i="18"/>
  <c r="S60" i="18"/>
  <c r="S61" i="18" s="1"/>
  <c r="S62" i="18" s="1"/>
  <c r="R177" i="18"/>
  <c r="R175" i="18"/>
  <c r="D57" i="51"/>
  <c r="AL117" i="18" l="1"/>
  <c r="AM118" i="18"/>
  <c r="S63" i="18"/>
  <c r="S64" i="18" s="1"/>
  <c r="AM117" i="18" l="1"/>
  <c r="AL116" i="18"/>
  <c r="S65" i="18"/>
  <c r="S66" i="18" s="1"/>
  <c r="N31" i="18"/>
  <c r="Q83" i="18" l="1"/>
  <c r="R17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Q148" i="18" l="1"/>
  <c r="S70" i="18"/>
  <c r="S71" i="18" s="1"/>
  <c r="AM112" i="18"/>
  <c r="AL111" i="18"/>
  <c r="D108" i="50"/>
  <c r="S72" i="18" l="1"/>
  <c r="S73" i="18" s="1"/>
  <c r="AL110" i="18"/>
  <c r="AM111" i="18"/>
  <c r="S74" i="18" l="1"/>
  <c r="S75" i="18" s="1"/>
  <c r="S76" i="18" s="1"/>
  <c r="S77" i="18" s="1"/>
  <c r="AL109" i="18"/>
  <c r="AM110" i="18"/>
  <c r="N109" i="18" l="1"/>
  <c r="AL108" i="18"/>
  <c r="AM109" i="18"/>
  <c r="N22" i="33"/>
  <c r="R22" i="33" s="1"/>
  <c r="S78" i="18" l="1"/>
  <c r="S79" i="18" s="1"/>
  <c r="S80"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8"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6" i="18" s="1"/>
  <c r="M107" i="18" l="1"/>
  <c r="I177" i="18"/>
  <c r="Q55" i="18"/>
  <c r="R173" i="18"/>
  <c r="AJ418" i="18"/>
  <c r="AJ419" i="18" s="1"/>
  <c r="AM94" i="18"/>
  <c r="AL93" i="18"/>
  <c r="AL266" i="18"/>
  <c r="AM267" i="18"/>
  <c r="AL92" i="18" l="1"/>
  <c r="AM93" i="18"/>
  <c r="AL265" i="18"/>
  <c r="AM266" i="18"/>
  <c r="S93" i="18"/>
  <c r="S94"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5" i="18"/>
  <c r="S96" i="18" s="1"/>
  <c r="S97" i="18" s="1"/>
  <c r="S41" i="18" l="1"/>
  <c r="S42" i="18" s="1"/>
  <c r="AL85" i="18"/>
  <c r="AM86" i="18"/>
  <c r="S98" i="18"/>
  <c r="AL258" i="18"/>
  <c r="AM259" i="18"/>
  <c r="N25" i="33"/>
  <c r="N24" i="33"/>
  <c r="N21" i="33"/>
  <c r="N20" i="33"/>
  <c r="N19" i="33"/>
  <c r="N18" i="33"/>
  <c r="L18" i="33" s="1"/>
  <c r="N17" i="33"/>
  <c r="N9" i="33"/>
  <c r="N3" i="33"/>
  <c r="N4" i="33"/>
  <c r="S43" i="18" l="1"/>
  <c r="S44" i="18" s="1"/>
  <c r="S45" i="18" s="1"/>
  <c r="S46" i="18" s="1"/>
  <c r="S47" i="18" s="1"/>
  <c r="S48" i="18" s="1"/>
  <c r="S49" i="18" s="1"/>
  <c r="S50" i="18" s="1"/>
  <c r="S51" i="18" s="1"/>
  <c r="S52" i="18" s="1"/>
  <c r="AL84" i="18"/>
  <c r="AM85" i="18"/>
  <c r="AM258" i="18"/>
  <c r="AL257" i="18"/>
  <c r="S99" i="18"/>
  <c r="S100" i="18" s="1"/>
  <c r="S101"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14" i="18" l="1"/>
  <c r="AN414" i="18" s="1"/>
  <c r="AJ41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20" i="18" l="1"/>
  <c r="AJ42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2" i="18" l="1"/>
  <c r="AL77" i="18"/>
  <c r="AM78" i="18"/>
  <c r="G307" i="20" l="1"/>
  <c r="K308" i="20"/>
  <c r="J308" i="20"/>
  <c r="I308" i="20"/>
  <c r="S103" i="18"/>
  <c r="AL76" i="18"/>
  <c r="AM77" i="18"/>
  <c r="S104" i="18" l="1"/>
  <c r="S105" i="18" s="1"/>
  <c r="G306" i="20"/>
  <c r="J307" i="20"/>
  <c r="I307" i="20"/>
  <c r="K307" i="20"/>
  <c r="AL75" i="18"/>
  <c r="AM76" i="18"/>
  <c r="N107" i="18" l="1"/>
  <c r="N115" i="18" s="1"/>
  <c r="R172" i="18"/>
  <c r="R188" i="18" s="1"/>
  <c r="S106" i="18"/>
  <c r="S107" i="18" s="1"/>
  <c r="AJ243" i="18"/>
  <c r="AJ244" i="18" s="1"/>
  <c r="G305" i="20"/>
  <c r="I306" i="20"/>
  <c r="K306" i="20"/>
  <c r="J306" i="20"/>
  <c r="AL74" i="18"/>
  <c r="AM75" i="18"/>
  <c r="T367" i="18" l="1"/>
  <c r="W157" i="18" s="1"/>
  <c r="G304" i="20"/>
  <c r="I305" i="20"/>
  <c r="K305" i="20"/>
  <c r="J305" i="20"/>
  <c r="AL73" i="18"/>
  <c r="AM74" i="18"/>
  <c r="R87" i="18"/>
  <c r="V52" i="18" l="1"/>
  <c r="X52" i="18" s="1"/>
  <c r="V147" i="18"/>
  <c r="V146" i="18"/>
  <c r="V50" i="18"/>
  <c r="V53" i="18"/>
  <c r="V80" i="18"/>
  <c r="V54" i="18"/>
  <c r="V51" i="18"/>
  <c r="V48" i="18"/>
  <c r="V49" i="18"/>
  <c r="V46" i="18"/>
  <c r="V47" i="18"/>
  <c r="V79" i="18"/>
  <c r="W79" i="18" s="1"/>
  <c r="V45" i="18"/>
  <c r="W45" i="18" s="1"/>
  <c r="V44" i="18"/>
  <c r="X44" i="18" s="1"/>
  <c r="V78" i="18"/>
  <c r="V77" i="18"/>
  <c r="W77" i="18" s="1"/>
  <c r="V43" i="18"/>
  <c r="V42" i="18"/>
  <c r="V41" i="18"/>
  <c r="V40" i="18"/>
  <c r="V38" i="18"/>
  <c r="V39" i="18"/>
  <c r="V37" i="18"/>
  <c r="W37" i="18" s="1"/>
  <c r="V35" i="18"/>
  <c r="V36" i="18"/>
  <c r="V76" i="18"/>
  <c r="V34" i="18"/>
  <c r="X34" i="18" s="1"/>
  <c r="V75" i="18"/>
  <c r="W75" i="18" s="1"/>
  <c r="V74" i="18"/>
  <c r="X74" i="18" s="1"/>
  <c r="V370" i="18"/>
  <c r="W160" i="18"/>
  <c r="V73" i="18"/>
  <c r="X73" i="18" s="1"/>
  <c r="V72" i="18"/>
  <c r="W72" i="18" s="1"/>
  <c r="V82" i="18"/>
  <c r="V33" i="18"/>
  <c r="U380" i="18"/>
  <c r="V380" i="18" s="1"/>
  <c r="W159" i="18"/>
  <c r="V71" i="18"/>
  <c r="W71" i="18" s="1"/>
  <c r="V91" i="18"/>
  <c r="V70" i="18"/>
  <c r="V69" i="18"/>
  <c r="V68" i="18"/>
  <c r="W68" i="18" s="1"/>
  <c r="V32" i="18"/>
  <c r="V31" i="18"/>
  <c r="V30" i="18"/>
  <c r="V29" i="18"/>
  <c r="V28" i="18"/>
  <c r="W28" i="18" s="1"/>
  <c r="V67" i="18"/>
  <c r="V66" i="18"/>
  <c r="V27" i="18"/>
  <c r="G303" i="20"/>
  <c r="K304" i="20"/>
  <c r="I304" i="20"/>
  <c r="J304" i="20"/>
  <c r="V106" i="18"/>
  <c r="V26" i="18"/>
  <c r="W26" i="18" s="1"/>
  <c r="V65" i="18"/>
  <c r="V104" i="18"/>
  <c r="W104" i="18" s="1"/>
  <c r="V105" i="18"/>
  <c r="V102" i="18"/>
  <c r="W102" i="18" s="1"/>
  <c r="V103" i="18"/>
  <c r="V101" i="18"/>
  <c r="W101" i="18" s="1"/>
  <c r="V25" i="18"/>
  <c r="V24" i="18"/>
  <c r="W24" i="18" s="1"/>
  <c r="V64" i="18"/>
  <c r="V23" i="18"/>
  <c r="X23" i="18" s="1"/>
  <c r="V63" i="18"/>
  <c r="V62" i="18"/>
  <c r="V100" i="18"/>
  <c r="V61" i="18"/>
  <c r="V99" i="18"/>
  <c r="V22" i="18"/>
  <c r="V98" i="18"/>
  <c r="V21" i="18"/>
  <c r="V97" i="18"/>
  <c r="V96" i="18"/>
  <c r="V94" i="18"/>
  <c r="V95" i="18"/>
  <c r="V20" i="18"/>
  <c r="V92" i="18"/>
  <c r="V93" i="18"/>
  <c r="AL72" i="18"/>
  <c r="AM73" i="18"/>
  <c r="W52" i="18" l="1"/>
  <c r="W147" i="18"/>
  <c r="X147" i="18"/>
  <c r="X146" i="18"/>
  <c r="W146" i="18"/>
  <c r="X51" i="18"/>
  <c r="W51" i="18"/>
  <c r="W53" i="18"/>
  <c r="X53" i="18"/>
  <c r="W80" i="18"/>
  <c r="X80" i="18"/>
  <c r="X50" i="18"/>
  <c r="W50" i="18"/>
  <c r="X54" i="18"/>
  <c r="W54" i="18"/>
  <c r="W49" i="18"/>
  <c r="X49" i="18"/>
  <c r="W48" i="18"/>
  <c r="X48" i="18"/>
  <c r="W47" i="18"/>
  <c r="X47" i="18"/>
  <c r="W46" i="18"/>
  <c r="X46" i="18"/>
  <c r="X79" i="18"/>
  <c r="X45" i="18"/>
  <c r="W44" i="18"/>
  <c r="X78" i="18"/>
  <c r="W78" i="18"/>
  <c r="X77" i="18"/>
  <c r="W43" i="18"/>
  <c r="X43" i="18"/>
  <c r="X41" i="18"/>
  <c r="W41" i="18"/>
  <c r="W42" i="18"/>
  <c r="X42" i="18"/>
  <c r="W40" i="18"/>
  <c r="X40" i="18"/>
  <c r="W39" i="18"/>
  <c r="X39" i="18"/>
  <c r="W38" i="18"/>
  <c r="X38" i="18"/>
  <c r="X37" i="18"/>
  <c r="X36" i="18"/>
  <c r="W36" i="18"/>
  <c r="W35" i="18"/>
  <c r="X35" i="18"/>
  <c r="W76" i="18"/>
  <c r="X76" i="18"/>
  <c r="W34" i="18"/>
  <c r="X75" i="18"/>
  <c r="W74" i="18"/>
  <c r="W73" i="18"/>
  <c r="X72" i="18"/>
  <c r="W82" i="18"/>
  <c r="X82" i="18"/>
  <c r="W33" i="18"/>
  <c r="X33" i="18"/>
  <c r="X71" i="18"/>
  <c r="W70" i="18"/>
  <c r="X70" i="18"/>
  <c r="W69" i="18"/>
  <c r="X69" i="18"/>
  <c r="X68" i="18"/>
  <c r="W32" i="18"/>
  <c r="X32" i="18"/>
  <c r="W31" i="18"/>
  <c r="X31" i="18"/>
  <c r="X30" i="18"/>
  <c r="W30" i="18"/>
  <c r="W29" i="18"/>
  <c r="X29" i="18"/>
  <c r="X28" i="18"/>
  <c r="W67" i="18"/>
  <c r="X67" i="18"/>
  <c r="W66" i="18"/>
  <c r="X66" i="18"/>
  <c r="W27" i="18"/>
  <c r="X27" i="18"/>
  <c r="W158" i="18"/>
  <c r="G302" i="20"/>
  <c r="K303" i="20"/>
  <c r="I303" i="20"/>
  <c r="J303" i="20"/>
  <c r="W106" i="18"/>
  <c r="X106" i="18"/>
  <c r="X26" i="18"/>
  <c r="W65" i="18"/>
  <c r="X65" i="18"/>
  <c r="X104" i="18"/>
  <c r="W105" i="18"/>
  <c r="X105" i="18"/>
  <c r="X102" i="18"/>
  <c r="W103" i="18"/>
  <c r="X103" i="18"/>
  <c r="X101" i="18"/>
  <c r="W25" i="18"/>
  <c r="X25" i="18"/>
  <c r="X24" i="18"/>
  <c r="W64" i="18"/>
  <c r="X64" i="18"/>
  <c r="W23" i="18"/>
  <c r="W63" i="18"/>
  <c r="X63" i="18"/>
  <c r="W62" i="18"/>
  <c r="X62" i="18"/>
  <c r="N34" i="18"/>
  <c r="W156" i="18"/>
  <c r="W100" i="18"/>
  <c r="X100" i="18"/>
  <c r="X61" i="18"/>
  <c r="W61" i="18"/>
  <c r="W98" i="18"/>
  <c r="X98" i="18"/>
  <c r="W93" i="18"/>
  <c r="X93" i="18"/>
  <c r="W22" i="18"/>
  <c r="X22" i="18"/>
  <c r="W20" i="18"/>
  <c r="X20" i="18"/>
  <c r="W95" i="18"/>
  <c r="X95" i="18"/>
  <c r="X99" i="18"/>
  <c r="W99" i="18"/>
  <c r="W92" i="18"/>
  <c r="X92" i="18"/>
  <c r="W91" i="18"/>
  <c r="X91" i="18"/>
  <c r="W96" i="18"/>
  <c r="X96" i="18"/>
  <c r="W94" i="18"/>
  <c r="X94" i="18"/>
  <c r="W97" i="18"/>
  <c r="X97" i="18"/>
  <c r="W21" i="18"/>
  <c r="X21" i="18"/>
  <c r="AL71" i="18"/>
  <c r="AM72" i="18"/>
  <c r="I179" i="18" l="1"/>
  <c r="W166" i="18"/>
  <c r="G178" i="18"/>
  <c r="I178" i="18"/>
  <c r="G179" i="18"/>
  <c r="N62" i="18"/>
  <c r="L21" i="18"/>
  <c r="W167" i="18"/>
  <c r="G301" i="20"/>
  <c r="I302" i="20"/>
  <c r="K302" i="20"/>
  <c r="J302" i="20"/>
  <c r="AL70" i="18"/>
  <c r="AM71" i="18"/>
  <c r="I180" i="18" l="1"/>
  <c r="G18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8"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7" i="18"/>
  <c r="W107" i="18" s="1"/>
  <c r="J266" i="20"/>
  <c r="G265" i="20"/>
  <c r="K266" i="20"/>
  <c r="I266" i="20"/>
  <c r="AL34" i="18"/>
  <c r="AM35" i="18"/>
  <c r="E240" i="15"/>
  <c r="E239" i="15"/>
  <c r="X107" i="18" l="1"/>
  <c r="G29" i="14"/>
  <c r="E28" i="14"/>
  <c r="K265" i="20"/>
  <c r="G264" i="20"/>
  <c r="J265" i="20"/>
  <c r="I265" i="20"/>
  <c r="D259" i="15"/>
  <c r="F259" i="15" s="1"/>
  <c r="AL33" i="18"/>
  <c r="AM34" i="18"/>
  <c r="E27" i="14" l="1"/>
  <c r="G28" i="14"/>
  <c r="G263" i="20"/>
  <c r="K264" i="20"/>
  <c r="J264" i="20"/>
  <c r="I264" i="20"/>
  <c r="D258" i="15"/>
  <c r="F258" i="15" s="1"/>
  <c r="AL32" i="18"/>
  <c r="AM33" i="18"/>
  <c r="S109" i="18" l="1"/>
  <c r="S110" i="18" s="1"/>
  <c r="S111" i="18" s="1"/>
  <c r="S112" i="18" s="1"/>
  <c r="E26" i="14"/>
  <c r="G27" i="14"/>
  <c r="I263" i="20"/>
  <c r="K263" i="20"/>
  <c r="G262" i="20"/>
  <c r="J263" i="20"/>
  <c r="D257" i="15"/>
  <c r="F257" i="15" s="1"/>
  <c r="AL31" i="18"/>
  <c r="AM32" i="18"/>
  <c r="K61" i="32"/>
  <c r="U61" i="32" s="1"/>
  <c r="K60" i="32"/>
  <c r="U60" i="32" s="1"/>
  <c r="K49" i="32"/>
  <c r="U49" i="32" s="1"/>
  <c r="K48" i="32"/>
  <c r="U48" i="32" s="1"/>
  <c r="K46" i="32"/>
  <c r="I60" i="32"/>
  <c r="I48" i="32"/>
  <c r="S70" i="32"/>
  <c r="V108" i="18" l="1"/>
  <c r="X108" i="18" s="1"/>
  <c r="E25" i="14"/>
  <c r="G26" i="14"/>
  <c r="G261" i="20"/>
  <c r="I262" i="20"/>
  <c r="J262" i="20"/>
  <c r="K262" i="20"/>
  <c r="D256" i="15"/>
  <c r="F256" i="15" s="1"/>
  <c r="AL30" i="18"/>
  <c r="AM31" i="18"/>
  <c r="L60" i="32"/>
  <c r="L48" i="32"/>
  <c r="W108"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9" i="18" l="1"/>
  <c r="W10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9"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10" i="18" l="1"/>
  <c r="X110" i="18" s="1"/>
  <c r="G254" i="20"/>
  <c r="J255" i="20"/>
  <c r="I255" i="20"/>
  <c r="K255" i="20"/>
  <c r="D249" i="15"/>
  <c r="F249" i="15" s="1"/>
  <c r="AM24" i="18"/>
  <c r="AL23" i="18"/>
  <c r="E177" i="13"/>
  <c r="G178" i="13"/>
  <c r="W110"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11" i="18" l="1"/>
  <c r="W111"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3" i="18" l="1"/>
  <c r="S11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2" i="18" l="1"/>
  <c r="W112"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2"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5" i="18" l="1"/>
  <c r="V113" i="18"/>
  <c r="G189" i="20"/>
  <c r="K190" i="20"/>
  <c r="I190" i="20"/>
  <c r="J190" i="20"/>
  <c r="S116" i="18" l="1"/>
  <c r="X113" i="18"/>
  <c r="W113"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4" i="18" l="1"/>
  <c r="G186" i="20"/>
  <c r="K187" i="20"/>
  <c r="J187" i="20"/>
  <c r="I187" i="20"/>
  <c r="D141" i="20"/>
  <c r="W114" i="18" l="1"/>
  <c r="X114" i="18"/>
  <c r="G185" i="20"/>
  <c r="I186" i="20"/>
  <c r="J186" i="20"/>
  <c r="K186" i="20"/>
  <c r="F2" i="16"/>
  <c r="G2" i="16" s="1"/>
  <c r="G85" i="16" s="1"/>
  <c r="G184" i="20" l="1"/>
  <c r="I185" i="20"/>
  <c r="J185" i="20"/>
  <c r="K185" i="20"/>
  <c r="F185" i="15"/>
  <c r="D140" i="20"/>
  <c r="S117" i="18" l="1"/>
  <c r="V115"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5" i="18" l="1"/>
  <c r="X115" i="18"/>
  <c r="I183" i="20"/>
  <c r="G182" i="20"/>
  <c r="K183" i="20"/>
  <c r="J183" i="20"/>
  <c r="F183" i="15"/>
  <c r="G43" i="10"/>
  <c r="K182" i="20" l="1"/>
  <c r="I182" i="20"/>
  <c r="J182" i="20"/>
  <c r="G181" i="20"/>
  <c r="D138" i="20"/>
  <c r="V116" i="18" l="1"/>
  <c r="G180" i="20"/>
  <c r="I181" i="20"/>
  <c r="K181" i="20"/>
  <c r="J181" i="20"/>
  <c r="G42" i="10"/>
  <c r="W116" i="18" l="1"/>
  <c r="X116" i="18"/>
  <c r="I180" i="20"/>
  <c r="G179" i="20"/>
  <c r="J180" i="20"/>
  <c r="K180" i="20"/>
  <c r="E167" i="15"/>
  <c r="E168" i="15"/>
  <c r="E169" i="15"/>
  <c r="E170" i="15"/>
  <c r="E171" i="15"/>
  <c r="E172" i="15"/>
  <c r="E173" i="15"/>
  <c r="E174" i="15"/>
  <c r="E175" i="15"/>
  <c r="E176" i="15"/>
  <c r="E177" i="15"/>
  <c r="E178" i="15"/>
  <c r="E179" i="15"/>
  <c r="E180" i="15"/>
  <c r="E181" i="15"/>
  <c r="E182" i="15"/>
  <c r="S118"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7" i="18" l="1"/>
  <c r="X117" i="18" s="1"/>
  <c r="J176" i="20"/>
  <c r="G175" i="20"/>
  <c r="I176" i="20"/>
  <c r="K176" i="20"/>
  <c r="D135" i="20"/>
  <c r="D134" i="20"/>
  <c r="W117"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8" i="18" l="1"/>
  <c r="X118" i="18" s="1"/>
  <c r="S119" i="18"/>
  <c r="S120" i="18" s="1"/>
  <c r="G170" i="20"/>
  <c r="K171" i="20"/>
  <c r="I171" i="20"/>
  <c r="J171" i="20"/>
  <c r="F166" i="15"/>
  <c r="F165" i="15"/>
  <c r="F164" i="15"/>
  <c r="F163" i="15"/>
  <c r="F162" i="15"/>
  <c r="F161" i="15"/>
  <c r="F160" i="15"/>
  <c r="F159" i="15"/>
  <c r="F158" i="15"/>
  <c r="S121" i="18" l="1"/>
  <c r="S122" i="18" s="1"/>
  <c r="S123" i="18" s="1"/>
  <c r="W118" i="18"/>
  <c r="V119" i="18"/>
  <c r="I170" i="20"/>
  <c r="G169" i="20"/>
  <c r="J170" i="20"/>
  <c r="K170" i="20"/>
  <c r="D132" i="20"/>
  <c r="D131" i="20"/>
  <c r="V120" i="18" l="1"/>
  <c r="W119" i="18"/>
  <c r="X119" i="18"/>
  <c r="I169" i="20"/>
  <c r="K169" i="20"/>
  <c r="J169" i="20"/>
  <c r="G168" i="20"/>
  <c r="E3" i="18"/>
  <c r="D4" i="18"/>
  <c r="E100" i="18"/>
  <c r="N6" i="18" s="1"/>
  <c r="N10" i="18" s="1"/>
  <c r="V121" i="18" l="1"/>
  <c r="W120" i="18"/>
  <c r="X120" i="18"/>
  <c r="J168" i="20"/>
  <c r="K168" i="20"/>
  <c r="I168" i="20"/>
  <c r="G167" i="20"/>
  <c r="N11" i="18"/>
  <c r="G38" i="10"/>
  <c r="D129" i="20"/>
  <c r="W121" i="18" l="1"/>
  <c r="X121"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2" i="18" l="1"/>
  <c r="G163" i="20"/>
  <c r="J164" i="20"/>
  <c r="K164" i="20"/>
  <c r="I164" i="20"/>
  <c r="D42" i="25"/>
  <c r="W122" i="18" l="1"/>
  <c r="X122"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4" i="18" l="1"/>
  <c r="S125" i="18" s="1"/>
  <c r="I149" i="20"/>
  <c r="G148" i="20"/>
  <c r="J149" i="20"/>
  <c r="K149" i="20"/>
  <c r="V123" i="18" l="1"/>
  <c r="W123" i="18" s="1"/>
  <c r="G147" i="20"/>
  <c r="J148" i="20"/>
  <c r="K148" i="20"/>
  <c r="I148" i="20"/>
  <c r="H120" i="20"/>
  <c r="X123"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4" i="18" l="1"/>
  <c r="I145" i="20"/>
  <c r="G144" i="20"/>
  <c r="K145" i="20"/>
  <c r="J145" i="20"/>
  <c r="G30" i="10"/>
  <c r="G31" i="10"/>
  <c r="G33" i="10"/>
  <c r="G34" i="10"/>
  <c r="G35" i="10"/>
  <c r="G29" i="10"/>
  <c r="W124" i="18" l="1"/>
  <c r="X124" i="18"/>
  <c r="G143" i="20"/>
  <c r="J144" i="20"/>
  <c r="K144" i="20"/>
  <c r="I144" i="20"/>
  <c r="H119" i="20"/>
  <c r="H118" i="20"/>
  <c r="S126" i="18" l="1"/>
  <c r="K143" i="20"/>
  <c r="I143" i="20"/>
  <c r="J143" i="20"/>
  <c r="G142" i="20"/>
  <c r="G63" i="13"/>
  <c r="F52" i="13"/>
  <c r="V125"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7" i="18" l="1"/>
  <c r="V126" i="18"/>
  <c r="W125" i="18"/>
  <c r="X125" i="18"/>
  <c r="G140" i="20"/>
  <c r="I141" i="20"/>
  <c r="J141" i="20"/>
  <c r="K141" i="20"/>
  <c r="G61" i="13"/>
  <c r="W126" i="18" l="1"/>
  <c r="X126" i="18"/>
  <c r="S128" i="18"/>
  <c r="S129" i="18" s="1"/>
  <c r="V127" i="18"/>
  <c r="G139" i="20"/>
  <c r="K140" i="20"/>
  <c r="J140" i="20"/>
  <c r="I140" i="20"/>
  <c r="G60" i="13"/>
  <c r="W127" i="18" l="1"/>
  <c r="X127" i="18"/>
  <c r="V128" i="18"/>
  <c r="G138" i="20"/>
  <c r="K139" i="20"/>
  <c r="I139" i="20"/>
  <c r="J139" i="20"/>
  <c r="G59" i="13"/>
  <c r="F47" i="13"/>
  <c r="F48" i="13"/>
  <c r="F49" i="13"/>
  <c r="F50" i="13"/>
  <c r="F51" i="13"/>
  <c r="F53" i="13"/>
  <c r="F54" i="13"/>
  <c r="F55" i="13"/>
  <c r="D44" i="21"/>
  <c r="H116" i="20"/>
  <c r="X128" i="18" l="1"/>
  <c r="W128" i="18"/>
  <c r="G137" i="20"/>
  <c r="K138" i="20"/>
  <c r="J138" i="20"/>
  <c r="I138" i="20"/>
  <c r="G57" i="13"/>
  <c r="G58" i="13"/>
  <c r="S130" i="18" l="1"/>
  <c r="S131" i="18" s="1"/>
  <c r="G136" i="20"/>
  <c r="K137" i="20"/>
  <c r="I137" i="20"/>
  <c r="J137" i="20"/>
  <c r="G56" i="13"/>
  <c r="H115" i="20"/>
  <c r="F42" i="13"/>
  <c r="F43" i="13"/>
  <c r="F44" i="13"/>
  <c r="F45" i="13"/>
  <c r="F46" i="13"/>
  <c r="F41" i="13"/>
  <c r="F40" i="13"/>
  <c r="V129" i="18" l="1"/>
  <c r="K136" i="20"/>
  <c r="J136" i="20"/>
  <c r="I136" i="20"/>
  <c r="G135" i="20"/>
  <c r="G55" i="13"/>
  <c r="W129" i="18" l="1"/>
  <c r="X129" i="18"/>
  <c r="G134" i="20"/>
  <c r="J135" i="20"/>
  <c r="K135" i="20"/>
  <c r="I135" i="20"/>
  <c r="G54" i="13"/>
  <c r="F39" i="13"/>
  <c r="V130" i="18" l="1"/>
  <c r="X130"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30" i="18" l="1"/>
  <c r="S132"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31" i="18" l="1"/>
  <c r="W131" i="18" s="1"/>
  <c r="G131" i="20"/>
  <c r="I132" i="20"/>
  <c r="J132" i="20"/>
  <c r="K132" i="20"/>
  <c r="E51" i="13"/>
  <c r="G52" i="13"/>
  <c r="F124" i="15"/>
  <c r="F122" i="15"/>
  <c r="F121" i="15"/>
  <c r="X131"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2" i="18" l="1"/>
  <c r="X132" i="18" s="1"/>
  <c r="S133" i="18"/>
  <c r="S134" i="18" s="1"/>
  <c r="S135" i="18" s="1"/>
  <c r="S136" i="18" s="1"/>
  <c r="G120" i="20"/>
  <c r="J121" i="20"/>
  <c r="K121" i="20"/>
  <c r="I121" i="20"/>
  <c r="E40" i="13"/>
  <c r="G41" i="13"/>
  <c r="C13" i="18"/>
  <c r="L16" i="18"/>
  <c r="W132" i="18" l="1"/>
  <c r="V133" i="18"/>
  <c r="W133" i="18" s="1"/>
  <c r="G119" i="20"/>
  <c r="K120" i="20"/>
  <c r="J120" i="20"/>
  <c r="I120" i="20"/>
  <c r="E39" i="13"/>
  <c r="G40" i="13"/>
  <c r="C14" i="18"/>
  <c r="X133" i="18" l="1"/>
  <c r="G118" i="20"/>
  <c r="J119" i="20"/>
  <c r="I119" i="20"/>
  <c r="K119" i="20"/>
  <c r="E38" i="13"/>
  <c r="G39" i="13"/>
  <c r="F113" i="15"/>
  <c r="V134" i="18" l="1"/>
  <c r="W134" i="18" s="1"/>
  <c r="G117" i="20"/>
  <c r="K118" i="20"/>
  <c r="J118" i="20"/>
  <c r="I118" i="20"/>
  <c r="E37" i="13"/>
  <c r="G38" i="13"/>
  <c r="F112" i="15"/>
  <c r="X134" i="18" l="1"/>
  <c r="G116" i="20"/>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S137" i="18" l="1"/>
  <c r="V135" i="18"/>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36" i="18" l="1"/>
  <c r="W136" i="18" s="1"/>
  <c r="W135" i="18"/>
  <c r="X135" i="18"/>
  <c r="G110" i="20"/>
  <c r="I111" i="20"/>
  <c r="J111" i="20"/>
  <c r="K111" i="20"/>
  <c r="E30" i="13"/>
  <c r="G31" i="13"/>
  <c r="F105" i="15"/>
  <c r="E4" i="18"/>
  <c r="C23" i="18"/>
  <c r="E16" i="14"/>
  <c r="G17" i="14"/>
  <c r="D65" i="9"/>
  <c r="X136"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S138" i="18" l="1"/>
  <c r="S139" i="18" s="1"/>
  <c r="V137" i="18"/>
  <c r="U13" i="10"/>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V139" i="18" l="1"/>
  <c r="S140" i="18"/>
  <c r="V138" i="18"/>
  <c r="W138" i="18" s="1"/>
  <c r="W137" i="18"/>
  <c r="X137" i="18"/>
  <c r="G107" i="20"/>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W139" i="18" l="1"/>
  <c r="X139" i="18"/>
  <c r="S141" i="18"/>
  <c r="V140" i="18"/>
  <c r="X138" i="18"/>
  <c r="G106" i="20"/>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V141" i="18" l="1"/>
  <c r="X141" i="18" s="1"/>
  <c r="S142" i="18"/>
  <c r="W141" i="18"/>
  <c r="W140" i="18"/>
  <c r="X140" i="18"/>
  <c r="F20" i="10"/>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43" i="18" l="1"/>
  <c r="V142" i="18"/>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43" i="18" l="1"/>
  <c r="S144" i="18"/>
  <c r="W143" i="18"/>
  <c r="X143" i="18"/>
  <c r="X142" i="18"/>
  <c r="W142" i="18"/>
  <c r="G103" i="20"/>
  <c r="K104" i="20"/>
  <c r="J104" i="20"/>
  <c r="I104" i="20"/>
  <c r="E11" i="18"/>
  <c r="G10" i="18"/>
  <c r="E23" i="13"/>
  <c r="G24" i="13"/>
  <c r="F98" i="15"/>
  <c r="C30" i="18"/>
  <c r="G10" i="14"/>
  <c r="E9" i="14"/>
  <c r="G13" i="6"/>
  <c r="H16" i="6"/>
  <c r="G16" i="6"/>
  <c r="S145" i="18" l="1"/>
  <c r="V145" i="18" s="1"/>
  <c r="V144"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X144" i="18" l="1"/>
  <c r="W144" i="18"/>
  <c r="X145" i="18"/>
  <c r="W145" i="18"/>
  <c r="G101" i="20"/>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<sst xmlns="http://schemas.openxmlformats.org/spreadsheetml/2006/main" count="13881" uniqueCount="5689">
  <si>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</si>
  <si>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</si>
  <si>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</si>
  <si>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</si>
  <si>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</si>
  <si>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</si>
  <si>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</si>
  <si>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</si>
  <si>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</si>
  <si>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</si>
  <si>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</si>
  <si>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</si>
  <si>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</si>
  <si>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</si>
  <si>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</si>
  <si>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</si>
  <si>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</si>
  <si>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</si>
  <si>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</si>
  <si>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</si>
  <si>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</si>
  <si>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</si>
  <si>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</si>
  <si>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</si>
  <si>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</si>
  <si>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</si>
  <si>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</si>
  <si>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</si>
  <si>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</si>
  <si>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</si>
  <si>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</si>
  <si>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</si>
  <si>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</si>
  <si>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</si>
  <si>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</si>
  <si>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</si>
  <si>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</si>
  <si>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</si>
  <si>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</si>
  <si>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</si>
  <si>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</si>
  <si>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</si>
  <si>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</si>
  <si>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</si>
  <si>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</si>
  <si>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</si>
  <si>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</si>
  <si>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</si>
  <si>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</si>
  <si>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</si>
  <si>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</si>
  <si>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</si>
  <si>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</si>
  <si>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</si>
  <si>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</si>
  <si>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</si>
  <si>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</si>
  <si>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</si>
  <si>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</si>
  <si>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</si>
  <si>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</si>
  <si>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</si>
  <si>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</si>
  <si>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</si>
  <si>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</si>
  <si>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</si>
  <si>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</si>
  <si>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</si>
  <si>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</si>
  <si>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</si>
  <si>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</si>
  <si>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</si>
  <si>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</si>
  <si>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</si>
  <si>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</si>
  <si>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</si>
  <si>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</si>
  <si>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</si>
  <si>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</si>
  <si>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</si>
  <si>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</si>
  <si>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</si>
  <si>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</si>
  <si>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</si>
  <si>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</si>
  <si>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</si>
  <si>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</si>
  <si>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</si>
  <si>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</si>
  <si>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</si>
  <si>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</si>
  <si>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</si>
  <si>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</si>
  <si>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</si>
  <si>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</si>
  <si>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</si>
  <si>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</si>
  <si>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</si>
  <si>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</si>
  <si>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</si>
  <si>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</si>
  <si>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</si>
  <si>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</si>
  <si>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</si>
  <si>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</si>
  <si>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</si>
  <si>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</si>
  <si>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</si>
  <si>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</si>
  <si>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</si>
  <si>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</si>
  <si>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</si>
  <si>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</si>
  <si>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</si>
  <si>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</si>
  <si>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</si>
  <si>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</si>
  <si>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</si>
  <si>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</si>
  <si>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</si>
  <si>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</si>
  <si>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</si>
  <si>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</si>
  <si>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</si>
  <si>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</si>
  <si>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</si>
  <si>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</si>
  <si>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</si>
  <si>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</si>
  <si>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</si>
  <si>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</si>
  <si>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</si>
  <si>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</si>
  <si>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</si>
  <si>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</si>
  <si>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</si>
  <si>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</si>
  <si>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</si>
  <si>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</si>
  <si>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</si>
  <si>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</si>
  <si>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</si>
  <si>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</si>
  <si>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</si>
  <si>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</si>
  <si>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</si>
  <si>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</si>
  <si>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</si>
  <si>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</si>
  <si>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</si>
  <si>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</si>
  <si>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</si>
  <si>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</si>
  <si>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</si>
  <si>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</si>
  <si>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</si>
  <si>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</si>
  <si>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</si>
  <si>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</si>
  <si>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</si>
  <si>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</si>
  <si>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</si>
  <si>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</si>
  <si>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</si>
  <si>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</si>
  <si>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</si>
  <si>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</si>
  <si>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</si>
  <si>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</si>
  <si>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</si>
  <si>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</si>
  <si>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</si>
  <si>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</si>
  <si>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</si>
  <si>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</si>
  <si>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</si>
  <si>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</si>
  <si>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</si>
  <si>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</si>
  <si>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</si>
  <si>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</si>
  <si>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</si>
  <si>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</si>
  <si>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</si>
  <si>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</si>
  <si>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</si>
  <si>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</si>
  <si>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</si>
  <si>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</si>
  <si>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</si>
  <si>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</si>
  <si>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</si>
  <si>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</si>
  <si>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</si>
  <si>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</si>
  <si>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</si>
  <si>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</si>
  <si>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</si>
  <si>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</si>
  <si>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</si>
  <si>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</si>
  <si>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</si>
  <si>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</si>
  <si>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</si>
  <si>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</si>
  <si>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</si>
  <si>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</si>
  <si>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</si>
  <si>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</si>
  <si>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</si>
  <si>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</si>
  <si>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</si>
  <si>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</si>
  <si>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</si>
  <si>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</si>
  <si>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</si>
  <si>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</si>
  <si>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</si>
  <si>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</si>
  <si>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</si>
  <si>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</si>
  <si>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</si>
  <si>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</si>
  <si>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</si>
  <si>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</si>
  <si>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</si>
  <si>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</si>
  <si>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</si>
  <si>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</si>
  <si>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</si>
  <si>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</si>
  <si>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</si>
  <si>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</si>
  <si>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</si>
  <si>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</si>
  <si>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</si>
  <si>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</si>
  <si>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</si>
  <si>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</si>
  <si>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</si>
  <si>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</si>
  <si>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</si>
  <si>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</si>
  <si>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</si>
  <si>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</si>
  <si>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</si>
  <si>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</si>
  <si>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</si>
  <si>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</si>
  <si>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</si>
  <si>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</si>
  <si>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</si>
  <si>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</si>
  <si>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</si>
  <si>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</si>
  <si>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</si>
  <si>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</si>
  <si>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</si>
  <si>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</si>
  <si>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</si>
  <si>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</si>
  <si>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</si>
  <si>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</si>
  <si>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</si>
  <si>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</si>
  <si>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</si>
  <si>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</si>
  <si>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</si>
  <si>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</si>
  <si>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</si>
  <si>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</si>
  <si>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</si>
  <si>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</si>
  <si>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</si>
  <si>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</si>
  <si>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</si>
  <si>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</si>
  <si>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</si>
  <si>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</si>
  <si>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</si>
  <si>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</si>
  <si>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</si>
  <si>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</si>
  <si>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</si>
  <si>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</si>
  <si>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</si>
  <si>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</si>
  <si>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</si>
  <si>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</si>
  <si>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</si>
  <si>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</si>
  <si>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</si>
  <si>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</si>
  <si>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</si>
  <si>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</si>
  <si>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</si>
  <si>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</si>
  <si>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</si>
  <si>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</si>
  <si>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</si>
  <si>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</si>
  <si>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</si>
  <si>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</si>
  <si>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</si>
  <si>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</si>
  <si>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</si>
  <si>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</si>
  <si>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</si>
  <si>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</si>
  <si>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</si>
  <si>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</si>
  <si>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</si>
  <si>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</si>
  <si>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</si>
  <si>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</si>
  <si>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</si>
  <si>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</si>
  <si>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</si>
  <si>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</si>
  <si>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</si>
  <si>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</si>
  <si>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</si>
  <si>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</si>
  <si>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</si>
  <si>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</si>
  <si>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</si>
  <si>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</si>
  <si>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</si>
  <si>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</si>
  <si>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</si>
  <si>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</si>
  <si>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</si>
  <si>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</si>
  <si>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</si>
  <si>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</si>
  <si>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</si>
  <si>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</si>
  <si>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</si>
  <si>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</si>
  <si>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</si>
  <si>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</si>
  <si>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</si>
  <si>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</si>
  <si>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</si>
  <si>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</si>
  <si>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</si>
  <si>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</si>
  <si>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</si>
  <si>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</si>
  <si>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</si>
  <si>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</si>
  <si>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</si>
  <si>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</si>
  <si>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</si>
  <si>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</si>
  <si>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</si>
  <si>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</si>
  <si>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</si>
  <si>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</si>
  <si>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</si>
  <si>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</si>
  <si>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</si>
  <si>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</si>
  <si>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</si>
  <si>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</si>
  <si>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</si>
  <si>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</si>
  <si>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</si>
  <si>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</si>
  <si>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</si>
  <si>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</si>
  <si>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</si>
  <si>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</si>
  <si>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</si>
  <si>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</si>
  <si>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</si>
  <si>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</si>
  <si>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</si>
  <si>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</si>
  <si>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</si>
  <si>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</si>
  <si>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</si>
  <si>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</si>
  <si>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</si>
  <si>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</si>
  <si>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</si>
  <si>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</si>
  <si>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</si>
  <si>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</si>
  <si>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</si>
  <si>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</si>
  <si>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</si>
  <si>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</si>
  <si>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</si>
  <si>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</si>
  <si>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</si>
  <si>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</si>
  <si>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</si>
  <si>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</si>
  <si>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</si>
  <si>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</si>
  <si>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</si>
  <si>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</si>
  <si>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</si>
  <si>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</si>
  <si>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</si>
  <si>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</si>
  <si>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</si>
  <si>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</si>
  <si>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</si>
  <si>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</si>
  <si>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</si>
  <si>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</si>
  <si>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</si>
  <si>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</si>
  <si>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</si>
  <si>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</si>
  <si>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</si>
  <si>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</si>
  <si>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</si>
  <si>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</si>
  <si>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</si>
  <si>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</si>
  <si>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</si>
  <si>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</si>
  <si>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</si>
  <si>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</si>
  <si>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</si>
  <si>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</si>
  <si>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</si>
  <si>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</si>
  <si>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</si>
  <si>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</si>
  <si>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</si>
  <si>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</si>
  <si>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</si>
  <si>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</si>
  <si>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</si>
  <si>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</si>
  <si>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</si>
  <si>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</si>
  <si>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</si>
  <si>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</si>
  <si>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</si>
  <si>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</si>
  <si>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</si>
  <si>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</si>
  <si>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</si>
  <si>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</si>
  <si>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</si>
  <si>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</si>
  <si>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</si>
  <si>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</si>
  <si>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</si>
  <si>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</si>
  <si>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</si>
  <si>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</si>
  <si>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</si>
  <si>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</si>
  <si>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</si>
  <si>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</si>
  <si>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</si>
  <si>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</si>
  <si>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</si>
  <si>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</si>
  <si>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</si>
  <si>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</si>
  <si>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</si>
  <si>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</si>
  <si>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</si>
  <si>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</si>
  <si>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</si>
  <si>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</si>
  <si>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</si>
  <si>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</si>
  <si>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</si>
  <si>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</si>
  <si>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</si>
  <si>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</si>
  <si>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</si>
  <si>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</si>
  <si>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</si>
  <si>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</si>
  <si>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</si>
  <si>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</si>
  <si>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</si>
  <si>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</si>
  <si>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</si>
  <si>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</si>
  <si>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</si>
  <si>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</si>
  <si>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</si>
  <si>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</si>
  <si>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</si>
  <si>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</si>
  <si>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</si>
  <si>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</si>
  <si>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</si>
  <si>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</si>
  <si>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</si>
  <si>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</si>
  <si>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</si>
  <si>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</si>
  <si>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</si>
  <si>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</si>
  <si>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</si>
  <si>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</si>
  <si>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</si>
  <si>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</si>
  <si>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</si>
  <si>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</si>
  <si>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</si>
  <si>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</si>
  <si>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</si>
  <si>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</si>
  <si>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</si>
  <si>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</si>
  <si>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</si>
  <si>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</si>
  <si>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</si>
  <si>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</si>
  <si>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</si>
  <si>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</si>
  <si>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</si>
  <si>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</si>
  <si>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</si>
  <si>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</si>
  <si>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</si>
  <si>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</si>
  <si>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</si>
  <si>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</si>
  <si>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</si>
  <si>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</si>
  <si>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</si>
  <si>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</si>
  <si>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</si>
  <si>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</si>
  <si>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</si>
  <si>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</si>
  <si>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</si>
  <si>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</si>
  <si>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</si>
  <si>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</si>
  <si>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</si>
  <si>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</si>
  <si>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</si>
  <si>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</si>
  <si>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</si>
  <si>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</si>
  <si>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</si>
  <si>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</si>
  <si>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</si>
  <si>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</si>
  <si>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</si>
  <si>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</si>
  <si>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</si>
  <si>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</si>
  <si>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</si>
  <si>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</si>
  <si>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</si>
  <si>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</si>
  <si>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</si>
  <si>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</si>
  <si>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</si>
  <si>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</si>
  <si>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</si>
  <si>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</si>
  <si>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</si>
  <si>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</si>
  <si>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</si>
  <si>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</si>
  <si>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</si>
  <si>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</si>
  <si>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</si>
  <si>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</si>
  <si>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</si>
  <si>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</si>
  <si>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</si>
  <si>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</si>
  <si>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</si>
  <si>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</si>
  <si>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</si>
  <si>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</si>
  <si>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</si>
  <si>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</si>
  <si>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</si>
  <si>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</si>
  <si>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</si>
  <si>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</si>
  <si>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</si>
  <si>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</si>
  <si>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</si>
  <si>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</si>
  <si>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</si>
  <si>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</si>
  <si>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</si>
  <si>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</si>
  <si>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</si>
  <si>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</si>
  <si>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</si>
  <si>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</si>
  <si>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</si>
  <si>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</si>
  <si>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</si>
  <si>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</si>
  <si>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</si>
  <si>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</si>
  <si>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</si>
  <si>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</si>
  <si>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</si>
  <si>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</si>
  <si>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</si>
  <si>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</si>
  <si>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</si>
  <si>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</si>
  <si>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</si>
  <si>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</si>
  <si>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</si>
  <si>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</si>
  <si>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</si>
  <si>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</si>
  <si>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</si>
  <si>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</si>
  <si>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</si>
  <si>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</si>
  <si>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</si>
  <si>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</si>
  <si>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</si>
  <si>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</si>
  <si>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</si>
  <si>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</si>
  <si>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</si>
  <si>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</si>
  <si>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</si>
  <si>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</si>
  <si>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</si>
  <si>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</si>
  <si>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</si>
  <si>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</si>
  <si>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</si>
  <si>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</si>
  <si>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</si>
  <si>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</si>
  <si>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</si>
  <si>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</si>
  <si>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</si>
  <si>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</si>
  <si>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</si>
  <si>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</si>
  <si>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</si>
  <si>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</si>
  <si>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</si>
  <si>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</si>
  <si>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</si>
  <si>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</si>
  <si>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</si>
  <si>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</si>
  <si>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</si>
  <si>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</si>
  <si>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</si>
  <si>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</si>
  <si>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</si>
  <si>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</si>
  <si>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</si>
  <si>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</si>
  <si>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</si>
  <si>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</si>
  <si>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</si>
  <si>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</si>
  <si>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</si>
  <si>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</si>
  <si>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</si>
  <si>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</si>
  <si>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</si>
  <si>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</si>
  <si>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</si>
  <si>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</si>
  <si>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</si>
  <si>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</si>
  <si>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</si>
  <si>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</si>
  <si>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</si>
  <si>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</si>
  <si>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</si>
  <si>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</si>
  <si>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</si>
  <si>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</si>
  <si>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</si>
  <si>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</si>
  <si>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</si>
  <si>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</si>
  <si>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</si>
  <si>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</si>
  <si>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</si>
  <si>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</si>
  <si>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</si>
  <si>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</si>
  <si>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</si>
  <si>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</si>
  <si>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</si>
  <si>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</si>
  <si>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</si>
  <si>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</si>
  <si>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</si>
  <si>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</si>
  <si>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</si>
  <si>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</si>
  <si>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</si>
  <si>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</si>
  <si>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</si>
  <si>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</si>
  <si>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</si>
  <si>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</si>
  <si>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</si>
  <si>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</si>
  <si>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</si>
  <si>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</si>
  <si>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</si>
  <si>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</si>
  <si>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</si>
  <si>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</si>
  <si>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</si>
  <si>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</si>
  <si>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</si>
  <si>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</si>
  <si>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</si>
  <si>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</si>
  <si>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</si>
  <si>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</si>
  <si>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</si>
  <si>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</si>
  <si>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</si>
  <si>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</si>
  <si>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</si>
  <si>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</si>
  <si>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</si>
  <si>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</si>
  <si>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</si>
  <si>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</si>
  <si>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</si>
  <si>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</si>
  <si>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</si>
  <si>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</si>
  <si>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</si>
  <si>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</si>
  <si>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</si>
  <si>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</si>
  <si>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</si>
  <si>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</si>
  <si>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</si>
  <si>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</si>
  <si>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</si>
  <si>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</si>
  <si>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</si>
  <si>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</si>
  <si>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</si>
  <si>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</si>
  <si>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</si>
  <si>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</si>
  <si>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</si>
  <si>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</si>
  <si>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</si>
  <si>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</si>
  <si>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</si>
  <si>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</si>
  <si>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</si>
  <si>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</si>
  <si>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</si>
  <si>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</si>
  <si>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</si>
  <si>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</si>
  <si>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</si>
  <si>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</si>
  <si>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</si>
  <si>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</si>
  <si>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</si>
  <si>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</si>
  <si>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</si>
  <si>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</si>
  <si>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</si>
  <si>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</si>
  <si>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</si>
  <si>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</si>
  <si>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</si>
  <si>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</si>
  <si>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</si>
  <si>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</si>
  <si>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</si>
  <si>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</si>
  <si>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</si>
  <si>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</si>
  <si>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</si>
  <si>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</si>
  <si>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</si>
  <si>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</si>
  <si>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</si>
  <si>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</si>
  <si>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</si>
  <si>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</si>
  <si>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</si>
  <si>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</si>
  <si>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</si>
  <si>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</si>
  <si>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</si>
  <si>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</si>
  <si>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</si>
  <si>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</si>
  <si>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</si>
  <si>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</si>
  <si>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</si>
  <si>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</si>
  <si>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</si>
  <si>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</si>
  <si>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</si>
  <si>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</si>
  <si>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</si>
  <si>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</si>
  <si>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</si>
  <si>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</si>
  <si>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</si>
  <si>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</si>
  <si>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</si>
  <si>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</si>
  <si>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</si>
  <si>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</si>
  <si>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</si>
  <si>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</si>
  <si>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</si>
  <si>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</si>
  <si>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</si>
  <si>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</si>
  <si>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</si>
  <si>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</si>
  <si>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</si>
  <si>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</si>
  <si>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</si>
  <si>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</si>
  <si>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</si>
  <si>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</si>
  <si>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</si>
  <si>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</si>
  <si>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</si>
  <si>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</si>
  <si>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</si>
  <si>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</si>
  <si>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</si>
  <si>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</si>
  <si>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</si>
  <si>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</si>
  <si>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</si>
  <si>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</si>
  <si>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</si>
  <si>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</si>
  <si>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</si>
  <si>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</si>
  <si>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</si>
  <si>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</si>
  <si>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</si>
  <si>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</si>
  <si>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</si>
  <si>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</si>
  <si>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</si>
  <si>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</si>
  <si>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</si>
  <si>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</si>
  <si>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</si>
  <si>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</si>
  <si>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</si>
  <si>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</si>
  <si>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</si>
  <si>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</si>
  <si>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</si>
  <si>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</si>
  <si>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</si>
  <si>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</si>
  <si>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</si>
  <si>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</si>
  <si>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</si>
  <si>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</si>
  <si>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</si>
  <si>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</si>
  <si>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</si>
  <si>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</si>
  <si>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</si>
  <si>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</si>
  <si>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</si>
  <si>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</si>
  <si>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</si>
  <si>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</si>
  <si>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</si>
  <si>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</si>
  <si>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</si>
  <si>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</si>
  <si>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</si>
  <si>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</si>
  <si>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</si>
  <si>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</si>
  <si>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</si>
  <si>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</si>
  <si>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</si>
  <si>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</si>
  <si>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</si>
  <si>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</si>
  <si>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</si>
  <si>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</si>
  <si>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</si>
  <si>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</si>
  <si>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</si>
  <si>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</si>
  <si>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</si>
  <si>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</si>
  <si>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</si>
  <si>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</si>
  <si>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</si>
  <si>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</si>
  <si>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</si>
  <si>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</si>
  <si>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</si>
  <si>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</si>
  <si>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</si>
  <si>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</si>
  <si>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</si>
  <si>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</si>
  <si>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</si>
  <si>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</si>
  <si>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</si>
  <si>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</si>
  <si>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</si>
  <si>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</si>
  <si>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</si>
  <si>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</si>
  <si>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</si>
  <si>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</si>
  <si>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</si>
  <si>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</si>
  <si>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</si>
  <si>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</si>
  <si>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</si>
  <si>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</si>
  <si>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</si>
  <si>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</si>
  <si>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</si>
  <si>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</si>
  <si>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</si>
  <si>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</si>
  <si>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</si>
  <si>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</si>
  <si>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</si>
  <si>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</si>
  <si>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</si>
  <si>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</si>
  <si>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</si>
  <si>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</si>
  <si>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</si>
  <si>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</si>
  <si>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</si>
  <si>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</si>
  <si>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</si>
  <si>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</si>
  <si>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</si>
  <si>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</si>
  <si>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</si>
  <si>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</si>
  <si>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</si>
  <si>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</si>
  <si>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</si>
  <si>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</si>
  <si>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</si>
  <si>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</si>
  <si>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</si>
  <si>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</si>
  <si>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</si>
  <si>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</si>
  <si>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</si>
  <si>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</si>
  <si>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</si>
  <si>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</si>
  <si>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</si>
  <si>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</si>
  <si>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</si>
  <si>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</si>
  <si>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</si>
  <si>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</si>
  <si>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</si>
  <si>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</si>
  <si>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</si>
  <si>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</si>
  <si>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</si>
  <si>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</si>
  <si>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</si>
  <si>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</si>
  <si>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</si>
  <si>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</si>
  <si>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</si>
  <si>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</si>
  <si>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</si>
  <si>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</si>
  <si>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</si>
  <si>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</si>
  <si>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</si>
  <si>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</si>
  <si>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</si>
  <si>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</si>
  <si>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</si>
  <si>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</si>
  <si>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</si>
  <si>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</si>
  <si>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</si>
  <si>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</si>
  <si>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</si>
  <si>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</si>
  <si>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</si>
  <si>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</si>
  <si>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</si>
  <si>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</si>
  <si>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</si>
  <si>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</si>
  <si>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</si>
  <si>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</si>
  <si>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</si>
  <si>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</si>
  <si>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</si>
  <si>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</si>
  <si>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</si>
  <si>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</si>
  <si>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</si>
  <si>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</si>
  <si>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</si>
  <si>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</si>
  <si>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</si>
  <si>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</si>
  <si>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</si>
  <si>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</si>
  <si>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</si>
  <si>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</si>
  <si>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</si>
  <si>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</si>
  <si>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</si>
  <si>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</si>
  <si>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</si>
  <si>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</si>
  <si>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</si>
  <si>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</si>
  <si>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</si>
  <si>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</si>
  <si>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</si>
  <si>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</si>
  <si>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</si>
  <si>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</si>
  <si>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</si>
  <si>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</si>
  <si>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</si>
  <si>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</si>
  <si>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</si>
  <si>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</si>
  <si>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</si>
  <si>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</si>
  <si>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</si>
  <si>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</si>
  <si>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</si>
  <si>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</si>
  <si>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</si>
  <si>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</si>
  <si>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</si>
  <si>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</si>
  <si>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</si>
  <si>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</si>
  <si>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</si>
  <si>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</si>
  <si>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</si>
  <si>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</si>
  <si>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</si>
  <si>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</si>
  <si>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</si>
  <si>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</si>
  <si>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</si>
  <si>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</si>
  <si>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</si>
  <si>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</si>
  <si>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</si>
  <si>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</si>
  <si>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</si>
  <si>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</si>
  <si>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</si>
  <si>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</si>
  <si>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</si>
  <si>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</si>
  <si>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</si>
  <si>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</si>
  <si>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</si>
  <si>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</si>
  <si>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</si>
  <si>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</si>
  <si>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</si>
  <si>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</si>
  <si>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</si>
  <si>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</si>
  <si>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</si>
  <si>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</si>
  <si>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</si>
  <si>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</si>
  <si>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</si>
  <si>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</si>
  <si>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</si>
  <si>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</si>
  <si>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</si>
  <si>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</si>
  <si>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</si>
  <si>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</si>
  <si>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</si>
  <si>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</si>
  <si>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</si>
  <si>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</si>
  <si>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</si>
  <si>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</si>
  <si>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</si>
  <si>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</si>
  <si>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</si>
  <si>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</si>
  <si>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</si>
  <si>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</si>
  <si>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</si>
  <si>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</si>
  <si>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</si>
  <si>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</si>
  <si>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</si>
  <si>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</si>
  <si>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</si>
  <si>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</si>
  <si>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</si>
  <si>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</si>
  <si>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</si>
  <si>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</si>
  <si>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</si>
  <si>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</si>
  <si>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</si>
  <si>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</si>
  <si>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</si>
  <si>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</si>
  <si>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</si>
  <si>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</si>
  <si>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</si>
  <si>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</si>
  <si>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</si>
  <si>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</si>
  <si>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</si>
  <si>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</si>
  <si>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</si>
  <si>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</si>
  <si>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</si>
  <si>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</si>
  <si>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</si>
  <si>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</si>
  <si>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</si>
  <si>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</si>
  <si>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</si>
  <si>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</si>
  <si>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</si>
  <si>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</si>
  <si>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</si>
  <si>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</si>
  <si>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</si>
  <si>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</si>
  <si>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</si>
  <si>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</si>
  <si>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</si>
  <si>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</si>
  <si>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</si>
  <si>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</si>
  <si>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</si>
  <si>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</si>
  <si>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</si>
  <si>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</si>
  <si>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</si>
  <si>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</si>
  <si>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</si>
  <si>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</si>
  <si>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</si>
  <si>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</si>
  <si>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</si>
  <si>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</si>
  <si>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</si>
  <si>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</si>
  <si>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</si>
  <si>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</si>
  <si>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</si>
  <si>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</si>
  <si>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</si>
  <si>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</si>
  <si>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</si>
  <si>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</si>
  <si>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</si>
  <si>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</si>
  <si>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</si>
  <si>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</si>
  <si>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</si>
  <si>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</si>
  <si>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</si>
  <si>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</si>
  <si>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</si>
  <si>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</si>
  <si>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</si>
  <si>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</si>
  <si>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</si>
  <si>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</si>
  <si>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</si>
  <si>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</si>
  <si>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</si>
  <si>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</si>
  <si>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</si>
  <si>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</si>
  <si>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</si>
  <si>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</si>
  <si>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</si>
  <si>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</si>
  <si>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</si>
  <si>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</si>
  <si>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</si>
  <si>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</si>
  <si>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</si>
  <si>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</si>
  <si>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</si>
  <si>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</si>
  <si>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</si>
  <si>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</si>
  <si>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</si>
  <si>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</si>
  <si>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</si>
  <si>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</si>
  <si>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</si>
  <si>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</si>
  <si>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</si>
  <si>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</si>
  <si>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</si>
  <si>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</si>
  <si>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</si>
  <si>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</si>
  <si>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</si>
  <si>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</si>
  <si>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</si>
  <si>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</si>
  <si>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</si>
  <si>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</si>
  <si>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</si>
  <si>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</si>
  <si>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</si>
  <si>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</si>
  <si>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</si>
  <si>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</si>
  <si>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</si>
  <si>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</si>
  <si>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</si>
  <si>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</si>
  <si>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</si>
  <si>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</si>
  <si>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</si>
  <si>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</si>
  <si>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</si>
  <si>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</si>
  <si>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</si>
  <si>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</si>
  <si>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</si>
  <si>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</si>
  <si>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</si>
  <si>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</si>
  <si>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</si>
  <si>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</si>
  <si>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</si>
  <si>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</si>
  <si>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</si>
  <si>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</si>
  <si>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</si>
  <si>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</si>
  <si>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</si>
  <si>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</si>
  <si>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</si>
  <si>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</si>
  <si>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</si>
  <si>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</si>
  <si>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</si>
  <si>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</si>
  <si>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</si>
  <si>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</si>
  <si>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</si>
  <si>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</si>
  <si>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</si>
  <si>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</si>
  <si>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</si>
  <si>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</si>
  <si>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</si>
  <si>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</si>
  <si>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</si>
  <si>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</si>
  <si>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</si>
  <si>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</si>
  <si>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</si>
  <si>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</si>
  <si>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</si>
  <si>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</si>
  <si>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</si>
  <si>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</si>
  <si>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</si>
  <si>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</si>
  <si>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</si>
  <si>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</si>
  <si>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</si>
  <si>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</si>
  <si>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</si>
  <si>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</si>
  <si>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</si>
  <si>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</si>
  <si>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</si>
  <si>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</si>
  <si>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</si>
  <si>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</si>
  <si>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</si>
  <si>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</si>
  <si>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</si>
  <si>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</si>
  <si>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</si>
  <si>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</si>
  <si>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</si>
  <si>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</si>
  <si>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</si>
  <si>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</si>
  <si>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</si>
  <si>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</si>
  <si>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</si>
  <si>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</si>
  <si>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</si>
  <si>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</si>
  <si>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</si>
  <si>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</si>
  <si>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</si>
  <si>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</si>
  <si>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</si>
  <si>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</si>
  <si>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</si>
  <si>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</si>
  <si>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</si>
  <si>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</si>
  <si>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</si>
  <si>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</si>
  <si>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</si>
  <si>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</si>
  <si>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</si>
  <si>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</si>
  <si>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</si>
  <si>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</si>
  <si>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</si>
  <si>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</si>
  <si>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</si>
  <si>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</si>
  <si>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</si>
  <si>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</si>
  <si>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</si>
  <si>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</si>
  <si>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</si>
  <si>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</si>
  <si>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</si>
  <si>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</si>
  <si>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</si>
  <si>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</si>
  <si>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</si>
  <si>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</si>
  <si>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</si>
  <si>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</si>
  <si>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</si>
  <si>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</si>
  <si>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</si>
  <si>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</si>
  <si>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</si>
  <si>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</si>
  <si>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</si>
  <si>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</si>
  <si>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</si>
  <si>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</si>
  <si>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</si>
  <si>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</si>
  <si>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</si>
  <si>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</si>
  <si>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</si>
  <si>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</si>
  <si>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</si>
  <si>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</si>
  <si>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</si>
  <si>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</si>
  <si>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</si>
  <si>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</si>
  <si>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</si>
  <si>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</si>
  <si>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</si>
  <si>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</si>
  <si>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</si>
  <si>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</si>
  <si>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</si>
  <si>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</si>
  <si>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</si>
  <si>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</si>
  <si>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</si>
  <si>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</si>
  <si>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</si>
  <si>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</si>
  <si>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</si>
  <si>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</si>
  <si>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</si>
  <si>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</si>
  <si>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</si>
  <si>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</si>
  <si>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</si>
  <si>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</si>
  <si>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</si>
  <si>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</si>
  <si>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</si>
  <si>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</si>
  <si>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</si>
  <si>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</si>
  <si>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</si>
  <si>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</si>
  <si>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</si>
  <si>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</si>
  <si>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</si>
  <si>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</si>
  <si>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</si>
  <si>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</si>
  <si>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</si>
  <si>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</si>
  <si>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</si>
  <si>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</si>
  <si>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</si>
  <si>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</si>
  <si>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</si>
  <si>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</si>
  <si>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</si>
  <si>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</si>
  <si>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</si>
  <si>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</si>
  <si>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</si>
  <si>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</si>
  <si>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</si>
  <si>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</si>
  <si>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</si>
  <si>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</si>
  <si>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</si>
  <si>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</si>
  <si>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</si>
  <si>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</si>
  <si>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</si>
  <si>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</si>
  <si>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</si>
  <si>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</si>
  <si>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</si>
  <si>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</si>
  <si>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</si>
  <si>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</si>
  <si>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</si>
  <si>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</si>
  <si>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</si>
  <si>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</si>
  <si>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</si>
  <si>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</si>
  <si>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</si>
  <si>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</si>
  <si>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</si>
  <si>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</si>
  <si>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</si>
  <si>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</si>
  <si>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</si>
  <si>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</si>
  <si>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</si>
  <si>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</si>
  <si>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</si>
  <si>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</si>
  <si>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</si>
  <si>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</si>
  <si>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</si>
  <si>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</si>
  <si>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</si>
  <si>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</si>
  <si>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</si>
  <si>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</si>
  <si>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</si>
  <si>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</si>
  <si>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</si>
  <si>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</si>
  <si>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</si>
  <si>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</si>
  <si>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</si>
  <si>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</si>
  <si>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</si>
  <si>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</si>
  <si>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</si>
  <si>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</si>
  <si>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</si>
  <si>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</si>
  <si>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</si>
  <si>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</si>
  <si>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</si>
  <si>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</si>
  <si>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</si>
  <si>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</si>
  <si>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</si>
  <si>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</si>
  <si>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</si>
  <si>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</si>
  <si>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</si>
  <si>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</si>
  <si>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</si>
  <si>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</si>
  <si>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</si>
  <si>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</si>
  <si>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</si>
  <si>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</si>
  <si>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</si>
  <si>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</si>
  <si>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</si>
  <si>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</si>
  <si>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</si>
  <si>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</si>
  <si>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</si>
  <si>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</si>
  <si>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</si>
  <si>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</si>
  <si>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</si>
  <si>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</si>
  <si>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</si>
  <si>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</si>
  <si>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</si>
  <si>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</si>
  <si>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</si>
  <si>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</si>
  <si>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</si>
  <si>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</si>
  <si>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</si>
  <si>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</si>
  <si>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</si>
  <si>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</si>
  <si>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</si>
  <si>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</si>
  <si>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</si>
  <si>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</si>
  <si>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</si>
  <si>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</si>
  <si>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</si>
  <si>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</si>
  <si>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</si>
  <si>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</si>
  <si>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</si>
  <si>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</si>
  <si>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</si>
  <si>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</si>
  <si>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</si>
  <si>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</si>
  <si>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</si>
  <si>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</si>
  <si>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</si>
  <si>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</si>
  <si>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</si>
  <si>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</si>
  <si>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</si>
  <si>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</si>
  <si>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</si>
  <si>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</si>
  <si>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</si>
  <si>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</si>
  <si>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</si>
  <si>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</si>
  <si>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</si>
  <si>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</si>
  <si>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</si>
  <si>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</si>
  <si>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</si>
  <si>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</si>
  <si>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</si>
  <si>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</si>
  <si>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</si>
  <si>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</si>
  <si>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</si>
  <si>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</si>
  <si>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</si>
  <si>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</si>
  <si>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</si>
  <si>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</si>
  <si>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</si>
  <si>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</si>
  <si>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</si>
  <si>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</si>
  <si>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</si>
  <si>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</si>
  <si>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</si>
  <si>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</si>
  <si>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</si>
  <si>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</si>
  <si>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</si>
  <si>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</si>
  <si>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</si>
  <si>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</si>
  <si>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</si>
  <si>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</si>
  <si>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</si>
  <si>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</si>
  <si>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</si>
  <si>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</si>
  <si>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</si>
  <si>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</si>
  <si>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</si>
  <si>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</si>
  <si>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</si>
  <si>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</si>
  <si>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</si>
  <si>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</si>
  <si>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</si>
  <si>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</si>
  <si>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</si>
  <si>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</si>
  <si>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</si>
  <si>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</si>
  <si>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</si>
  <si>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</si>
  <si>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</si>
  <si>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</si>
  <si>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</si>
  <si>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</si>
  <si>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</si>
  <si>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</si>
  <si>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</si>
  <si>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</si>
  <si>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</si>
  <si>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</si>
  <si>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</si>
  <si>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</si>
  <si>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</si>
  <si>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</si>
  <si>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</si>
  <si>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</si>
  <si>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</si>
  <si>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</si>
  <si>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</si>
  <si>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</si>
  <si>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</si>
  <si>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</si>
  <si>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</si>
  <si>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</si>
  <si>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</si>
  <si>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</si>
  <si>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</si>
  <si>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</si>
  <si>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</si>
  <si>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</si>
  <si>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</si>
  <si>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</si>
  <si>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</si>
  <si>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</si>
  <si>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</si>
  <si>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</si>
  <si>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</si>
  <si>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</si>
  <si>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</si>
  <si>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</si>
  <si>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</si>
  <si>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</si>
  <si>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</si>
  <si>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</si>
  <si>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</si>
  <si>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</si>
  <si>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</si>
  <si>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</si>
  <si>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</si>
  <si>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</si>
  <si>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</si>
  <si>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</si>
  <si>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</si>
  <si>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</si>
  <si>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</si>
  <si>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</si>
  <si>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</si>
  <si>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</si>
  <si>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</si>
  <si>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</si>
  <si>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</si>
  <si>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</si>
  <si>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</si>
  <si>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</si>
  <si>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</si>
  <si>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</si>
  <si>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</si>
  <si>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</si>
  <si>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</si>
  <si>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</si>
  <si>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</si>
  <si>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</si>
  <si>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</si>
  <si>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</si>
  <si>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</si>
  <si>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</si>
  <si>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</si>
  <si>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</si>
  <si>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</si>
  <si>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</si>
  <si>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</si>
  <si>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</si>
  <si>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</si>
  <si>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</si>
  <si>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</si>
  <si>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</si>
  <si>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</si>
  <si>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</si>
  <si>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</si>
  <si>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</si>
  <si>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</si>
  <si>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</si>
  <si>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</si>
  <si>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</si>
  <si>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</si>
  <si>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</si>
  <si>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</si>
  <si>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</si>
  <si>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</si>
  <si>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</si>
  <si>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</si>
  <si>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</si>
  <si>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</si>
  <si>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</si>
  <si>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</si>
  <si>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</si>
  <si>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</si>
  <si>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</si>
  <si>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</si>
  <si>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</si>
  <si>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</si>
  <si>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</si>
  <si>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</si>
  <si>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</si>
  <si>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</si>
  <si>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</si>
  <si>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</si>
  <si>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</si>
  <si>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</si>
  <si>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</si>
  <si>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</si>
  <si>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</si>
  <si>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</si>
  <si>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</si>
  <si>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</si>
  <si>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</si>
  <si>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</si>
  <si>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</si>
  <si>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</si>
  <si>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</si>
  <si>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</si>
  <si>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</si>
  <si>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</si>
  <si>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</si>
  <si>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</si>
  <si>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</si>
  <si>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</si>
  <si>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</si>
  <si>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</si>
  <si>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</si>
  <si>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</si>
  <si>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</si>
  <si>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</si>
  <si>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</si>
  <si>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</si>
  <si>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</si>
  <si>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</si>
  <si>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</si>
  <si>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</si>
  <si>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</si>
  <si>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</si>
  <si>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</si>
  <si>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</si>
  <si>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</si>
  <si>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</si>
  <si>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</si>
  <si>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</si>
  <si>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</si>
  <si>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</si>
  <si>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</si>
  <si>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</si>
  <si>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</si>
  <si>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</si>
  <si>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</si>
  <si>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</si>
  <si>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</si>
  <si>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</si>
  <si>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</si>
  <si>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</si>
  <si>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</si>
  <si>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</si>
  <si>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</si>
  <si>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</si>
  <si>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</si>
  <si>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</si>
  <si>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</si>
  <si>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</si>
  <si>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</si>
  <si>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</si>
  <si>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</si>
  <si>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</si>
  <si>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</si>
  <si>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</si>
  <si>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</si>
  <si>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</si>
  <si>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</si>
  <si>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</si>
  <si>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</si>
  <si>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</si>
  <si>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</si>
  <si>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</si>
  <si>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</si>
  <si>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</si>
  <si>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</si>
  <si>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</si>
  <si>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</si>
  <si>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</si>
  <si>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</si>
  <si>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</si>
  <si>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</si>
  <si>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</si>
  <si>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</si>
  <si>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</si>
  <si>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</si>
  <si>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</si>
  <si>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</si>
  <si>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</si>
  <si>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</si>
  <si>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</si>
  <si>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</si>
  <si>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</si>
  <si>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</si>
  <si>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</si>
  <si>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</si>
  <si>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</si>
  <si>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</si>
  <si>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</si>
  <si>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</si>
  <si>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</si>
  <si>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</si>
  <si>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</si>
  <si>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</si>
  <si>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</si>
  <si>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</si>
  <si>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</si>
  <si>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</si>
  <si>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</si>
  <si>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</si>
  <si>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</si>
  <si>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</si>
  <si>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</si>
  <si>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</si>
  <si>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</si>
  <si>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</si>
  <si>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</si>
  <si>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</si>
  <si>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</si>
  <si>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</si>
  <si>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</si>
  <si>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</si>
  <si>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</si>
  <si>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</si>
  <si>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</si>
  <si>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</si>
  <si>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</si>
  <si>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</si>
  <si>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</si>
  <si>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</si>
  <si>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</si>
  <si>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</si>
  <si>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</si>
  <si>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</si>
  <si>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</si>
  <si>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</si>
  <si>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</si>
  <si>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</si>
  <si>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</si>
  <si>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</si>
  <si>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</si>
  <si>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</si>
  <si>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</si>
  <si>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</si>
  <si>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</si>
  <si>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</si>
  <si>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</si>
  <si>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</si>
  <si>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</si>
  <si>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</si>
  <si>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</si>
  <si>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</si>
  <si>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</si>
  <si>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</si>
  <si>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</si>
  <si>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</si>
  <si>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</si>
  <si>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</si>
  <si>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</si>
  <si>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</si>
  <si>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</si>
  <si>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</si>
  <si>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</si>
  <si>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</si>
  <si>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</si>
  <si>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</si>
  <si>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</si>
  <si>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</si>
  <si>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</si>
  <si>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</si>
  <si>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</si>
  <si>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</si>
  <si>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</si>
  <si>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</si>
  <si>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</si>
  <si>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</si>
  <si>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</si>
  <si>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</si>
  <si>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</si>
  <si>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</si>
  <si>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</si>
  <si>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</si>
  <si>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</si>
  <si>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</si>
  <si>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</si>
  <si>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</si>
  <si>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</si>
  <si>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</si>
  <si>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</si>
  <si>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</si>
  <si>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</si>
  <si>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</si>
  <si>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</si>
  <si>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</si>
  <si>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</si>
  <si>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</si>
  <si>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</si>
  <si>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</si>
  <si>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</si>
  <si>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</si>
  <si>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</si>
  <si>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</si>
  <si>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</si>
  <si>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</si>
  <si>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</si>
  <si>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</si>
  <si>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</si>
  <si>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</si>
  <si>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</si>
  <si>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</si>
  <si>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</si>
  <si>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</si>
  <si>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</si>
  <si>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</si>
  <si>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</si>
  <si>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</si>
  <si>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</si>
  <si>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</si>
  <si>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</si>
  <si>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</si>
  <si>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</si>
  <si>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</si>
  <si>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</si>
  <si>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</si>
  <si>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</si>
  <si>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</si>
  <si>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</si>
  <si>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</si>
  <si>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</si>
  <si>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</si>
  <si>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</si>
  <si>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</si>
  <si>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</si>
  <si>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</si>
  <si>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</si>
  <si>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</si>
  <si>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</si>
  <si>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</si>
  <si>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</si>
  <si>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</si>
  <si>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</si>
  <si>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</si>
  <si>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</si>
  <si>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</si>
  <si>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</si>
  <si>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</si>
  <si>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</si>
  <si>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</si>
  <si>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</si>
  <si>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</si>
  <si>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</si>
  <si>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</si>
  <si>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</si>
  <si>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</si>
  <si>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</si>
  <si>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</si>
  <si>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</si>
  <si>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</si>
  <si>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</si>
  <si>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</si>
  <si>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</si>
  <si>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</si>
  <si>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</si>
  <si>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</si>
  <si>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</si>
  <si>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</si>
  <si>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</si>
  <si>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</si>
  <si>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</si>
  <si>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</si>
  <si>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</si>
  <si>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</si>
  <si>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</si>
  <si>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</si>
  <si>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</si>
  <si>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</si>
  <si>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</si>
  <si>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</si>
  <si>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</si>
  <si>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</si>
  <si>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</si>
  <si>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</si>
  <si>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</si>
  <si>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</si>
  <si>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</si>
  <si>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</si>
  <si>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</si>
  <si>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</si>
  <si>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</si>
  <si>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</si>
  <si>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</si>
  <si>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</si>
  <si>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</si>
  <si>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</si>
  <si>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</si>
  <si>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</si>
  <si>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</si>
  <si>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</si>
  <si>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</si>
  <si>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</si>
  <si>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</si>
  <si>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</si>
  <si>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</si>
  <si>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</si>
  <si>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</si>
  <si>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</si>
  <si>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</si>
  <si>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</si>
  <si>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</si>
  <si>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</si>
  <si>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</si>
  <si>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</si>
  <si>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</si>
  <si>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</si>
  <si>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</si>
  <si>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</si>
  <si>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</si>
  <si>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</si>
  <si>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</si>
  <si>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</si>
  <si>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</si>
  <si>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</si>
  <si>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</si>
  <si>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</si>
  <si>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</si>
  <si>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</si>
  <si>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</si>
  <si>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</si>
  <si>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</si>
  <si>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</si>
  <si>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</si>
  <si>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</si>
  <si>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</si>
  <si>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</si>
  <si>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</si>
  <si>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</si>
  <si>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</si>
  <si>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</si>
  <si>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</si>
  <si>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</si>
  <si>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</si>
  <si>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</si>
  <si>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</si>
  <si>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</si>
  <si>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</si>
  <si>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</si>
  <si>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</si>
  <si>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</si>
  <si>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</si>
  <si>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</si>
  <si>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</si>
  <si>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</si>
  <si>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</si>
  <si>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</si>
  <si>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</si>
  <si>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</si>
  <si>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</si>
  <si>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</si>
  <si>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</si>
  <si>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</si>
  <si>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</si>
  <si>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</si>
  <si>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</si>
  <si>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</si>
  <si>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</si>
  <si>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</si>
  <si>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</si>
  <si>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</si>
  <si>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</si>
  <si>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</si>
  <si>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</si>
  <si>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</si>
  <si>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</si>
  <si>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</si>
  <si>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</si>
  <si>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</si>
  <si>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</si>
  <si>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</si>
  <si>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</si>
  <si>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</si>
  <si>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</si>
  <si>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</si>
  <si>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</si>
  <si>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</si>
  <si>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</si>
  <si>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</si>
  <si>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</si>
  <si>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</si>
  <si>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</si>
  <si>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</si>
  <si>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</si>
  <si>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</si>
  <si>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</si>
  <si>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</si>
  <si>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</si>
  <si>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</si>
  <si>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</si>
  <si>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</si>
  <si>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</si>
  <si>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</si>
  <si>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</si>
  <si>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</si>
  <si>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</si>
  <si>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</si>
  <si>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</si>
  <si>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</si>
  <si>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</si>
  <si>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</si>
  <si>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</si>
  <si>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</si>
  <si>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</si>
  <si>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</si>
  <si>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</si>
  <si>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</si>
  <si>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</si>
  <si>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</si>
  <si>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</si>
  <si>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</si>
  <si>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</si>
  <si>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</si>
  <si>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</si>
  <si>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</si>
  <si>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</si>
  <si>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</si>
  <si>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</si>
  <si>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</si>
  <si>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</si>
  <si>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</si>
  <si>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</si>
  <si>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</si>
  <si>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</si>
  <si>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</si>
  <si>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</si>
  <si>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</si>
  <si>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</si>
  <si>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</si>
  <si>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</si>
  <si>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</si>
  <si>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</si>
  <si>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</si>
  <si>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</si>
  <si>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</si>
  <si>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</si>
  <si>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</si>
  <si>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</si>
  <si>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</si>
  <si>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</si>
  <si>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</si>
  <si>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</si>
  <si>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</si>
  <si>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</si>
  <si>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</si>
  <si>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</si>
  <si>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</si>
  <si>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</si>
  <si>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</si>
  <si>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</si>
  <si>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</si>
  <si>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</si>
  <si>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</si>
  <si>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</si>
  <si>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</si>
  <si>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</si>
  <si>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</si>
  <si>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</si>
  <si>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</si>
  <si>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</si>
  <si>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</si>
  <si>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</si>
  <si>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</si>
  <si>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</si>
  <si>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</si>
  <si>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</si>
  <si>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</si>
  <si>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</si>
  <si>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</si>
  <si>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</si>
  <si>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</si>
  <si>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</si>
  <si>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</si>
  <si>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</si>
  <si>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</si>
  <si>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</si>
  <si>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</si>
  <si>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</si>
  <si>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</si>
  <si>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</si>
  <si>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</si>
  <si>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</si>
  <si>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</si>
  <si>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</si>
  <si>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</si>
  <si>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</si>
  <si>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</si>
  <si>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</si>
  <si>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</si>
  <si>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</si>
  <si>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</si>
  <si>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</si>
  <si>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</si>
  <si>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</si>
  <si>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</si>
  <si>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</si>
  <si>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</si>
  <si>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</si>
  <si>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</si>
  <si>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</si>
  <si>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</si>
  <si>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</si>
  <si>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</si>
  <si>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</si>
  <si>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</si>
  <si>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</si>
  <si>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</si>
  <si>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</si>
  <si>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</si>
  <si>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</si>
  <si>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</si>
  <si>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</si>
  <si>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</si>
  <si>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</si>
  <si>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</si>
  <si>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</si>
  <si>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</si>
  <si>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</si>
  <si>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</si>
  <si>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</si>
  <si>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</si>
  <si>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</si>
  <si>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</si>
  <si>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</si>
  <si>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</si>
  <si>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</si>
  <si>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</si>
  <si>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</si>
  <si>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</si>
  <si>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</si>
  <si>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</si>
  <si>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</si>
  <si>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</si>
  <si>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</si>
  <si>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</si>
  <si>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</si>
  <si>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</si>
  <si>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</si>
  <si>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</si>
  <si>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</si>
  <si>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</si>
  <si>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</si>
  <si>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</si>
  <si>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</si>
  <si>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</si>
  <si>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</si>
  <si>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</si>
  <si>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</si>
  <si>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</si>
  <si>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</si>
  <si>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</si>
  <si>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</si>
  <si>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</si>
  <si>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</si>
  <si>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</si>
  <si>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</si>
  <si>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</si>
  <si>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</si>
  <si>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</si>
  <si>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</si>
  <si>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</si>
  <si>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</si>
  <si>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</si>
  <si>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</si>
  <si>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</si>
  <si>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</si>
  <si>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</si>
  <si>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</si>
  <si>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</si>
  <si>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</si>
  <si>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</si>
  <si>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</si>
  <si>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</si>
  <si>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</si>
  <si>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</si>
  <si>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</si>
  <si>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</si>
  <si>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</si>
  <si>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</si>
  <si>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</si>
  <si>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</si>
  <si>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</si>
  <si>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</si>
  <si>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</si>
  <si>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</si>
  <si>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</si>
  <si>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</si>
  <si>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</si>
  <si>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</si>
  <si>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</si>
  <si>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</si>
  <si>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</si>
  <si>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</si>
  <si>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</si>
  <si>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</si>
  <si>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</si>
  <si>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</si>
  <si>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</si>
  <si>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</si>
  <si>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</si>
  <si>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</si>
  <si>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</si>
  <si>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</si>
  <si>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</si>
  <si>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</si>
  <si>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</si>
  <si>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</si>
  <si>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</si>
  <si>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</si>
  <si>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</si>
  <si>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</si>
  <si>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</si>
  <si>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</si>
  <si>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</si>
  <si>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</si>
  <si>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</si>
  <si>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</si>
  <si>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</si>
  <si>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</si>
  <si>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</si>
  <si>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</si>
  <si>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</si>
  <si>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</si>
  <si>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</si>
  <si>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</si>
  <si>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</si>
  <si>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</si>
  <si>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</si>
  <si>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</si>
  <si>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</si>
  <si>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</si>
  <si>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</si>
  <si>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</si>
  <si>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</si>
  <si>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</si>
  <si>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</si>
  <si>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</si>
  <si>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</si>
  <si>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</si>
  <si>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</si>
  <si>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</si>
  <si>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</si>
  <si>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</si>
  <si>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</si>
  <si>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</si>
  <si>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</si>
  <si>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</si>
  <si>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</si>
  <si>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</si>
  <si>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</si>
  <si>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</si>
  <si>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</si>
  <si>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</si>
  <si>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</si>
  <si>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</si>
  <si>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</si>
  <si>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</si>
  <si>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</si>
  <si>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</si>
  <si>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</si>
  <si>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</si>
  <si>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</si>
  <si>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</si>
  <si>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</si>
  <si>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</si>
  <si>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</si>
  <si>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</si>
  <si>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</si>
  <si>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</si>
  <si>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</si>
  <si>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</si>
  <si>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</si>
  <si>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</si>
  <si>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</si>
  <si>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</si>
  <si>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</si>
  <si>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</si>
  <si>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</si>
  <si>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</si>
  <si>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</si>
  <si>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</si>
  <si>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</si>
  <si>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</si>
  <si>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</si>
  <si>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</si>
  <si>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</si>
  <si>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</si>
  <si>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</si>
  <si>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</si>
  <si>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</si>
  <si>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</si>
  <si>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</si>
  <si>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</si>
  <si>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</si>
  <si>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</si>
  <si>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</si>
  <si>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</si>
  <si>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</si>
  <si>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</si>
  <si>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</si>
  <si>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</si>
  <si>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</si>
  <si>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</si>
  <si>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</si>
  <si>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</si>
  <si>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</si>
  <si>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</si>
  <si>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</si>
  <si>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</si>
  <si>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</si>
  <si>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</si>
  <si>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</si>
  <si>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</si>
  <si>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</si>
  <si>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</si>
  <si>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</si>
  <si>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</si>
  <si>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</si>
  <si>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</si>
  <si>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</si>
  <si>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</si>
  <si>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</si>
  <si>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</si>
  <si>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</si>
  <si>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</si>
  <si>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</si>
  <si>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</si>
  <si>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</si>
  <si>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</si>
  <si>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</si>
  <si>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</si>
  <si>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</si>
  <si>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</si>
  <si>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</si>
  <si>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</si>
  <si>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</si>
  <si>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</si>
  <si>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</si>
  <si>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</si>
  <si>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</si>
  <si>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</si>
  <si>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</si>
  <si>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</si>
  <si>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</si>
  <si>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</si>
  <si>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</si>
  <si>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</si>
  <si>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</si>
  <si>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</si>
  <si>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</si>
  <si>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</si>
  <si>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</si>
  <si>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</si>
  <si>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</si>
  <si>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</si>
  <si>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</si>
  <si>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</si>
  <si>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</si>
  <si>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</si>
  <si>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</si>
  <si>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</si>
  <si>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</si>
  <si>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</si>
  <si>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</si>
  <si>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</si>
  <si>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</si>
  <si>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</si>
  <si>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</si>
  <si>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</si>
  <si>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</si>
  <si>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</si>
  <si>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</si>
  <si>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</si>
  <si>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</si>
  <si>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</si>
  <si>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</si>
  <si>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</si>
  <si>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</si>
  <si>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</si>
  <si>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</si>
  <si>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</si>
  <si>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</si>
  <si>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</si>
  <si>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</si>
  <si>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</si>
  <si>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</si>
  <si>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</si>
  <si>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</si>
  <si>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</si>
  <si>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</si>
  <si>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</si>
  <si>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</si>
  <si>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</si>
  <si>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</si>
  <si>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</si>
  <si>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</si>
  <si>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</si>
  <si>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</si>
  <si>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</si>
  <si>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</si>
  <si>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</si>
  <si>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</si>
  <si>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</si>
  <si>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</si>
  <si>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</si>
  <si>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</si>
  <si>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</si>
  <si>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</si>
  <si>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</si>
  <si>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</si>
  <si>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</si>
  <si>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</si>
  <si>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</si>
  <si>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</si>
  <si>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</si>
  <si>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</si>
  <si>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</si>
  <si>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</si>
  <si>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</si>
  <si>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</si>
  <si>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</si>
  <si>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</si>
  <si>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</si>
  <si>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</si>
  <si>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</si>
  <si>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</si>
  <si>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</si>
  <si>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</si>
  <si>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</si>
  <si>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</si>
  <si>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</si>
  <si>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</si>
  <si>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</si>
  <si>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</si>
  <si>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</si>
  <si>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</si>
  <si>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</si>
  <si>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</si>
  <si>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</si>
  <si>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</si>
  <si>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</si>
  <si>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</si>
  <si>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</si>
  <si>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</si>
  <si>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</si>
  <si>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</si>
  <si>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</si>
  <si>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</si>
  <si>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</si>
  <si>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</si>
  <si>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</si>
  <si>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</si>
  <si>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</si>
  <si>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</si>
  <si>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</si>
  <si>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</si>
  <si>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</si>
  <si>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</si>
  <si>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</si>
  <si>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</si>
  <si>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</si>
  <si>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</si>
  <si>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</si>
  <si>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</si>
  <si>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</si>
  <si>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</si>
  <si>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</si>
  <si>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</si>
  <si>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</si>
  <si>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</si>
  <si>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</si>
  <si>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</si>
  <si>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</si>
  <si>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</si>
  <si>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</si>
  <si>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</si>
  <si>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</si>
  <si>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</si>
  <si>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</si>
  <si>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</si>
  <si>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</si>
  <si>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</si>
  <si>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</si>
  <si>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</si>
  <si>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</si>
  <si>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</si>
  <si>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</si>
  <si>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</si>
  <si>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</si>
  <si>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</si>
  <si>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</si>
  <si>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</si>
  <si>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</si>
  <si>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</si>
  <si>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</si>
  <si>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</si>
  <si>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</si>
  <si>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</si>
  <si>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</si>
  <si>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</si>
  <si>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</si>
  <si>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</si>
  <si>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</si>
  <si>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</si>
  <si>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</si>
  <si>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</si>
  <si>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</si>
  <si>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</si>
  <si>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</si>
  <si>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</si>
  <si>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</si>
  <si>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</si>
  <si>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</si>
  <si>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</si>
  <si>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</si>
  <si>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</si>
  <si>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</si>
  <si>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</si>
  <si>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</si>
  <si>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</si>
  <si>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</si>
  <si>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</si>
  <si>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</si>
  <si>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</si>
  <si>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</si>
  <si>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</si>
  <si>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</si>
  <si>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</si>
  <si>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</si>
  <si>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</si>
  <si>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</si>
  <si>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</si>
  <si>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</si>
  <si>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</si>
  <si>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</si>
  <si>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</si>
  <si>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</si>
  <si>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</si>
  <si>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</si>
  <si>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</si>
  <si>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</si>
  <si>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</si>
  <si>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</si>
  <si>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</si>
  <si>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</si>
  <si>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</si>
  <si>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</si>
  <si>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</si>
  <si>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</si>
  <si>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</si>
  <si>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</si>
  <si>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</si>
  <si>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</si>
  <si>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</si>
  <si>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</si>
  <si>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</si>
  <si>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</si>
  <si>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</si>
  <si>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</si>
  <si>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</si>
  <si>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</si>
  <si>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</si>
  <si>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</si>
  <si>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</si>
  <si>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</si>
  <si>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</si>
  <si>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</si>
  <si>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</si>
  <si>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</si>
  <si>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</si>
  <si>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</si>
  <si>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</si>
  <si>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</si>
  <si>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</si>
  <si>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</si>
  <si>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</si>
  <si>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</si>
  <si>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</si>
  <si>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</si>
  <si>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</si>
  <si>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</si>
  <si>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</si>
  <si>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</si>
  <si>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</si>
  <si>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</si>
  <si>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</si>
  <si>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</si>
  <si>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</si>
  <si>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</si>
  <si>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</si>
  <si>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</si>
  <si>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</si>
  <si>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</si>
  <si>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</si>
  <si>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</si>
  <si>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</si>
  <si>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</si>
  <si>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</si>
  <si>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</si>
  <si>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</si>
  <si>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</si>
  <si>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</si>
  <si>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</si>
  <si>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</si>
  <si>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</si>
  <si>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</si>
  <si>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</si>
  <si>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</si>
  <si>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</si>
  <si>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</si>
  <si>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</si>
  <si>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</si>
  <si>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</si>
  <si>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</si>
  <si>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</si>
  <si>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</si>
  <si>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</si>
  <si>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</si>
  <si>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</si>
  <si>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</si>
  <si>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</si>
  <si>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</si>
  <si>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</si>
  <si>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</si>
  <si>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</si>
  <si>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</si>
  <si>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</si>
  <si>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</si>
  <si>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</si>
  <si>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</si>
  <si>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</si>
  <si>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</si>
  <si>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</si>
  <si>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</si>
  <si>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</si>
  <si>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</si>
  <si>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</si>
  <si>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</si>
  <si>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</si>
  <si>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</si>
  <si>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</si>
  <si>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</si>
  <si>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</si>
  <si>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</si>
  <si>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</si>
  <si>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</si>
  <si>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</si>
  <si>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</si>
  <si>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</si>
  <si>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</si>
  <si>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</si>
  <si>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</si>
  <si>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</si>
  <si>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</si>
  <si>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</si>
  <si>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</si>
  <si>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</si>
  <si>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</si>
  <si>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</si>
  <si>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</si>
  <si>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</si>
  <si>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</si>
  <si>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</si>
  <si>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</si>
  <si>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</si>
  <si>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</si>
  <si>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</si>
  <si>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</si>
  <si>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</si>
  <si>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</si>
  <si>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</si>
  <si>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</si>
  <si>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</si>
  <si>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</si>
  <si>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</si>
  <si>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</si>
  <si>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</si>
  <si>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</si>
  <si>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</si>
  <si>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</si>
  <si>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</si>
  <si>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</si>
  <si>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</si>
  <si>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</si>
  <si>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</si>
  <si>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</si>
  <si>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</si>
  <si>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</si>
  <si>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</si>
  <si>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</si>
  <si>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</si>
  <si>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</si>
  <si>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</si>
  <si>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</si>
  <si>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</si>
  <si>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</si>
  <si>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</si>
  <si>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</si>
  <si>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</si>
  <si>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</si>
  <si>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</si>
  <si>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</si>
  <si>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</si>
  <si>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</si>
  <si>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</si>
  <si>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</si>
  <si>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</si>
  <si>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</si>
  <si>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</si>
  <si>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</si>
  <si>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</si>
  <si>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</si>
  <si>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</si>
  <si>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</si>
  <si>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</si>
  <si>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</si>
  <si>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</si>
  <si>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</si>
  <si>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</si>
  <si>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</si>
  <si>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</si>
  <si>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</si>
  <si>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</si>
  <si>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</si>
  <si>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</si>
  <si>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</si>
  <si>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</si>
  <si>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</si>
  <si>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</si>
  <si>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</si>
  <si>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</si>
  <si>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</si>
  <si>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</si>
  <si>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</si>
  <si>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</si>
  <si>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</si>
  <si>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</si>
  <si>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</si>
  <si>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</si>
  <si>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</si>
  <si>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</si>
  <si>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</si>
  <si>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</si>
  <si>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</si>
  <si>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</si>
  <si>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</si>
  <si>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</si>
  <si>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</si>
  <si>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</si>
  <si>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</si>
  <si>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</si>
  <si>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</si>
  <si>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</si>
  <si>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</si>
  <si>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</si>
  <si>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</si>
  <si>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</si>
  <si>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</si>
  <si>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</si>
  <si>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</si>
  <si>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</si>
  <si>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</si>
  <si>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</si>
  <si>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</si>
  <si>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</si>
  <si>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</si>
  <si>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</si>
  <si>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</si>
  <si>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</si>
  <si>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</si>
  <si>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</si>
  <si>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</si>
  <si>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</si>
  <si>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</si>
  <si>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</si>
  <si>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</si>
  <si>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</si>
  <si>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</si>
  <si>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</si>
  <si>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</si>
  <si>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</si>
  <si>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</si>
  <si>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</si>
  <si>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</si>
  <si>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</si>
  <si>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</si>
  <si>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</si>
  <si>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</si>
  <si>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</si>
  <si>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</si>
  <si>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</si>
  <si>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</si>
  <si>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</si>
  <si>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</si>
  <si>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</si>
  <si>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</si>
  <si>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</si>
  <si>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</si>
  <si>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</si>
  <si>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</si>
  <si>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</si>
  <si>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</si>
  <si>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</si>
  <si>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</si>
  <si>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</si>
  <si>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</si>
  <si>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</si>
  <si>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</si>
  <si>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</si>
  <si>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</si>
  <si>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</si>
  <si>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</si>
  <si>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</si>
  <si>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</si>
  <si>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</si>
  <si>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</si>
  <si>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</si>
  <si>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</si>
  <si>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</si>
  <si>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</si>
  <si>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</si>
  <si>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</si>
  <si>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</si>
  <si>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</si>
  <si>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</si>
  <si>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</si>
  <si>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</si>
  <si>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</si>
  <si>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</si>
  <si>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</si>
  <si>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</si>
  <si>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</si>
  <si>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</si>
  <si>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</si>
  <si>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</si>
  <si>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</si>
  <si>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</si>
  <si>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</si>
  <si>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</si>
  <si>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</si>
  <si>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</si>
  <si>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</si>
  <si>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</si>
  <si>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</si>
  <si>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</si>
  <si>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</si>
  <si>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</si>
  <si>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</si>
  <si>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</si>
  <si>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</si>
  <si>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</si>
  <si>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</si>
  <si>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</si>
  <si>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</si>
  <si>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</si>
  <si>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</si>
  <si>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</si>
  <si>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</si>
  <si>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</si>
  <si>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</si>
  <si>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</si>
  <si>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</si>
  <si>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</si>
  <si>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</si>
  <si>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</si>
  <si>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</si>
  <si>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</si>
  <si>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</si>
  <si>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</si>
  <si>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</si>
  <si>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</si>
  <si>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</si>
  <si>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</si>
  <si>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</si>
  <si>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</si>
  <si>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</si>
  <si>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</si>
  <si>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</si>
  <si>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</si>
  <si>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</si>
  <si>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</si>
  <si>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</si>
  <si>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</si>
  <si>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</si>
  <si>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</si>
  <si>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</si>
  <si>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</si>
  <si>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</si>
  <si>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</si>
  <si>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</si>
  <si>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</si>
  <si>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</si>
  <si>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</si>
  <si>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</si>
  <si>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</si>
  <si>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</si>
  <si>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</si>
  <si>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</si>
  <si>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</si>
  <si>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</si>
  <si>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</si>
  <si>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</si>
  <si>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</si>
  <si>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</si>
  <si>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</si>
  <si>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</si>
  <si>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</si>
  <si>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</si>
  <si>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</si>
  <si>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</si>
  <si>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</si>
  <si>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</si>
  <si>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</si>
  <si>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</si>
  <si>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</si>
  <si>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</si>
  <si>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</si>
  <si>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</si>
  <si>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</si>
  <si>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</si>
  <si>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</si>
  <si>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</si>
  <si>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</si>
  <si>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</si>
  <si>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</si>
  <si>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</si>
  <si>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</si>
  <si>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</si>
  <si>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</si>
  <si>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</si>
  <si>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</si>
  <si>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</si>
  <si>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</si>
  <si>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</si>
  <si>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</si>
  <si>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</si>
  <si>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</si>
  <si>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</si>
  <si>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</si>
  <si>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</si>
  <si>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</si>
  <si>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</si>
  <si>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</si>
  <si>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</si>
  <si>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</si>
  <si>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</si>
  <si>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</si>
  <si>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</si>
  <si>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</si>
  <si>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</si>
  <si>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</si>
  <si>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</si>
  <si>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</si>
  <si>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</si>
  <si>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</si>
  <si>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</si>
  <si>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</si>
  <si>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</si>
  <si>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</si>
  <si>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</si>
  <si>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</si>
  <si>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</si>
  <si>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</si>
  <si>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</si>
  <si>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</si>
  <si>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</si>
  <si>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</si>
  <si>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</si>
  <si>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</si>
  <si>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</si>
  <si>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</si>
  <si>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</si>
  <si>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</si>
  <si>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</si>
  <si>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</si>
  <si>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</si>
  <si>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</si>
  <si>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</si>
  <si>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</si>
  <si>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</si>
  <si>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</si>
  <si>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</si>
  <si>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</si>
  <si>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</si>
  <si>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</si>
  <si>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</si>
  <si>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</si>
  <si>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</si>
  <si>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</si>
  <si>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</si>
  <si>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</si>
  <si>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</si>
  <si>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</si>
  <si>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</si>
  <si>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</si>
  <si>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</si>
  <si>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</si>
  <si>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</si>
  <si>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</si>
  <si>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</si>
  <si>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</si>
  <si>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</si>
  <si>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</si>
  <si>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</si>
  <si>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</si>
  <si>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</si>
  <si>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</si>
  <si>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</si>
  <si>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</si>
  <si>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</si>
  <si>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</si>
  <si>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</si>
  <si>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</si>
  <si>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</si>
  <si>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</si>
  <si>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</si>
  <si>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</si>
  <si>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</si>
  <si>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</si>
  <si>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</si>
  <si>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</si>
  <si>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</si>
  <si>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</si>
  <si>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</si>
  <si>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</si>
  <si>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</si>
  <si>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</si>
  <si>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</si>
  <si>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</si>
  <si>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</si>
  <si>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</si>
  <si>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</si>
  <si>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</si>
  <si>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</si>
  <si>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</si>
  <si>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</si>
  <si>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</si>
  <si>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</si>
  <si>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</si>
  <si>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</si>
  <si>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</si>
  <si>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</si>
  <si>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</si>
  <si>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</si>
  <si>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</si>
  <si>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</si>
  <si>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</si>
  <si>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</si>
  <si>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</si>
  <si>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</si>
  <si>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</si>
  <si>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</si>
  <si>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</si>
  <si>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</si>
  <si>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</si>
  <si>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</si>
  <si>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</si>
  <si>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</si>
  <si>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</si>
  <si>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</si>
  <si>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</si>
  <si>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</si>
  <si>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</si>
  <si>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</si>
  <si>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</si>
  <si>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</si>
  <si>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</si>
  <si>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</si>
  <si>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</si>
  <si>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</si>
  <si>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</si>
  <si>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</si>
  <si>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</si>
  <si>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</si>
  <si>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</si>
  <si>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</si>
  <si>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</si>
  <si>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</si>
  <si>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</si>
  <si>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</si>
  <si>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</si>
  <si>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</si>
  <si>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</si>
  <si>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</si>
  <si>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</si>
  <si>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</si>
  <si>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</si>
  <si>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</si>
  <si>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</si>
  <si>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</si>
  <si>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</si>
  <si>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</si>
  <si>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</si>
  <si>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</si>
  <si>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</si>
  <si>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</si>
  <si>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</si>
  <si>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</si>
  <si>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</si>
  <si>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</si>
  <si>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</si>
  <si>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</si>
  <si>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</si>
  <si>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</si>
  <si>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</si>
  <si>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</si>
  <si>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</si>
  <si>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</si>
  <si>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</si>
  <si>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</si>
  <si>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</si>
  <si>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</si>
  <si>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</si>
  <si>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</si>
  <si>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</si>
  <si>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</si>
  <si>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</si>
  <si>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</si>
  <si>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</si>
  <si>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</si>
  <si>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</si>
  <si>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</si>
  <si>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</si>
  <si>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</si>
  <si>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</si>
  <si>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</si>
  <si>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</si>
  <si>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</si>
  <si>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</si>
  <si>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</si>
  <si>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</si>
  <si>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</si>
  <si>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</si>
  <si>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</si>
  <si>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</si>
  <si>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</si>
  <si>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</si>
  <si>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</si>
  <si>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</si>
  <si>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</si>
  <si>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</si>
  <si>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</si>
  <si>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</si>
  <si>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</si>
  <si>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</si>
  <si>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</si>
  <si>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</si>
  <si>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</si>
  <si>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</si>
  <si>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</si>
  <si>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</si>
  <si>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</si>
  <si>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</si>
  <si>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</si>
  <si>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</si>
  <si>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</si>
  <si>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</si>
  <si>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</si>
  <si>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</si>
  <si>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</si>
  <si>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</si>
  <si>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</si>
  <si>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</si>
  <si>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</si>
  <si>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</si>
  <si>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</si>
  <si>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</si>
  <si>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</si>
  <si>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</si>
  <si>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</si>
  <si>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</si>
  <si>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</si>
  <si>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</si>
  <si>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</si>
  <si>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</si>
  <si>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</si>
  <si>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</si>
  <si>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</si>
  <si>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</si>
  <si>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</si>
  <si>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</si>
  <si>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</si>
  <si>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</si>
  <si>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</si>
  <si>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</si>
  <si>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</si>
  <si>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</si>
  <si>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</si>
  <si>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</si>
  <si>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</si>
  <si>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</si>
  <si>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</si>
  <si>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</si>
  <si>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</si>
  <si>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</si>
  <si>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</si>
  <si>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</si>
  <si>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</si>
  <si>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</si>
  <si>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</si>
  <si>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</si>
  <si>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</si>
  <si>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</si>
  <si>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</si>
  <si>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</si>
  <si>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</si>
  <si>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</si>
  <si>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</si>
  <si>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</si>
  <si>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</si>
  <si>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</si>
  <si>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</si>
  <si>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</si>
  <si>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</si>
  <si>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</si>
  <si>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</si>
  <si>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</si>
  <si>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</si>
  <si>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</si>
  <si>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</si>
  <si>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</si>
  <si>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</si>
  <si>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</si>
  <si>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</si>
  <si>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</si>
  <si>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</si>
  <si>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</si>
  <si>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</si>
  <si>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</si>
  <si>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</si>
  <si>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</si>
  <si>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</si>
  <si>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</si>
  <si>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</si>
  <si>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</si>
  <si>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</si>
  <si>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</si>
  <si>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</si>
  <si>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</si>
  <si>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</si>
  <si>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</si>
  <si>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</si>
  <si>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</si>
  <si>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</si>
  <si>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</si>
  <si>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</si>
  <si>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</si>
  <si>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</si>
  <si>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</si>
  <si>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</si>
  <si>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</si>
  <si>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</si>
  <si>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</si>
  <si>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</si>
  <si>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</si>
  <si>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</si>
  <si>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</si>
  <si>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</si>
  <si>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</si>
  <si>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</si>
  <si>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</si>
  <si>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</si>
  <si>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</si>
  <si>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</si>
  <si>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</si>
  <si>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</si>
  <si>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</si>
  <si>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</si>
  <si>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</si>
  <si>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</si>
  <si>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</si>
  <si>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</si>
  <si>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</si>
  <si>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</si>
  <si>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</si>
  <si>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</si>
  <si>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</si>
  <si>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</si>
  <si>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</si>
  <si>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</si>
  <si>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</si>
  <si>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</si>
  <si>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</si>
  <si>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</si>
  <si>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</si>
  <si>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</si>
  <si>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</si>
  <si>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</si>
  <si>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</si>
  <si>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</si>
  <si>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</si>
  <si>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</si>
  <si>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</si>
  <si>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</si>
  <si>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</si>
  <si>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</si>
  <si>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</si>
  <si>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</si>
  <si>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</si>
  <si>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</si>
  <si>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</si>
  <si>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</si>
  <si>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</si>
  <si>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</si>
  <si>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</si>
  <si>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</si>
  <si>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</si>
  <si>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</si>
  <si>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</si>
  <si>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</si>
  <si>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</si>
  <si>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</si>
  <si>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</si>
  <si>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</si>
  <si>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</si>
  <si>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</si>
  <si>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</si>
  <si>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</si>
  <si>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</si>
  <si>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</si>
  <si>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</si>
  <si>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</si>
  <si>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</si>
  <si>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</si>
  <si>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</si>
  <si>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</si>
  <si>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</si>
  <si>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</si>
  <si>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</si>
  <si>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</si>
  <si>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</si>
  <si>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</si>
  <si>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</si>
  <si>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</si>
  <si>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</si>
  <si>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</si>
  <si>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</si>
  <si>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</si>
  <si>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</si>
  <si>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</si>
  <si>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</si>
  <si>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</si>
  <si>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</si>
  <si>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</si>
  <si>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</si>
  <si>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</si>
  <si>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</si>
  <si>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</si>
  <si>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</si>
  <si>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</si>
  <si>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</si>
  <si>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</si>
  <si>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</si>
  <si>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</si>
  <si>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</si>
  <si>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</si>
  <si>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</si>
  <si>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</si>
  <si>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</si>
  <si>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</si>
  <si>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</si>
  <si>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</si>
  <si>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</si>
  <si>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</si>
  <si>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</si>
  <si>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</si>
  <si>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</si>
  <si>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</si>
  <si>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</si>
  <si>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</si>
  <si>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</si>
  <si>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</si>
  <si>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</si>
  <si>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</si>
  <si>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</si>
  <si>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</si>
  <si>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</si>
  <si>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</si>
  <si>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</si>
  <si>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</si>
  <si>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</si>
  <si>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</si>
  <si>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</si>
  <si>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</si>
  <si>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</si>
  <si>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</si>
  <si>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</si>
  <si>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</si>
  <si>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</si>
  <si>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</si>
  <si>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</si>
  <si>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</si>
  <si>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</si>
  <si>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</si>
  <si>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</si>
  <si>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</si>
  <si>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</si>
  <si>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</si>
  <si>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</si>
  <si>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</si>
  <si>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</si>
  <si>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</si>
  <si>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</si>
  <si>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</si>
  <si>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</si>
  <si>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</si>
  <si>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</si>
  <si>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</si>
  <si>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</si>
  <si>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</si>
  <si>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</si>
  <si>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</si>
  <si>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</si>
  <si>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</si>
  <si>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</si>
  <si>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</si>
  <si>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</si>
  <si>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</si>
  <si>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</si>
  <si>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</si>
  <si>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</si>
  <si>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</si>
  <si>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</si>
  <si>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</si>
  <si>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</si>
  <si>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</si>
  <si>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</si>
  <si>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</si>
  <si>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</si>
  <si>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</si>
  <si>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</si>
  <si>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</si>
  <si>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</si>
  <si>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</si>
  <si>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</si>
  <si>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</si>
  <si>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</si>
  <si>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</si>
  <si>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</si>
  <si>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</si>
  <si>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</si>
  <si>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</si>
  <si>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</si>
  <si>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</si>
  <si>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</si>
  <si>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</si>
  <si>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</si>
  <si>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</si>
  <si>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</si>
  <si>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</si>
  <si>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</si>
  <si>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</si>
  <si>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</si>
  <si>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</si>
  <si>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</si>
  <si>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</si>
  <si>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</si>
  <si>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</si>
  <si>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</si>
  <si>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</si>
  <si>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</si>
  <si>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</si>
  <si>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</si>
  <si>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</si>
  <si>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</si>
  <si>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</si>
  <si>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</si>
  <si>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</si>
  <si>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</si>
  <si>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</si>
  <si>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</si>
  <si>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</si>
  <si>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</si>
  <si>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</si>
  <si>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</si>
  <si>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</si>
  <si>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</si>
  <si>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</si>
  <si>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</si>
  <si>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</si>
  <si>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</si>
  <si>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</si>
  <si>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</si>
  <si>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</si>
  <si>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</si>
  <si>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</si>
  <si>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</si>
  <si>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</si>
  <si>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</si>
  <si>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</si>
  <si>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</si>
  <si>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</si>
  <si>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</si>
  <si>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</si>
  <si>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</si>
  <si>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</si>
  <si>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</si>
  <si>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</si>
  <si>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</si>
  <si>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</si>
  <si>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</si>
  <si>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</si>
  <si>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</si>
  <si>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</si>
  <si>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</si>
  <si>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</si>
  <si>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</si>
  <si>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</si>
  <si>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</si>
  <si>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</si>
  <si>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</si>
  <si>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</si>
  <si>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</si>
  <si>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</si>
  <si>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</si>
  <si>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</si>
  <si>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</si>
  <si>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</si>
  <si>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</si>
  <si>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</si>
  <si>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</si>
  <si>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</si>
  <si>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</si>
  <si>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</si>
  <si>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</si>
  <si>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</si>
  <si>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</si>
  <si>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</si>
  <si>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</si>
  <si>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</si>
  <si>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</si>
  <si>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</si>
  <si>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</si>
  <si>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</si>
  <si>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</si>
  <si>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</si>
  <si>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</si>
  <si>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</si>
  <si>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</si>
  <si>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</si>
  <si>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</si>
  <si>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</si>
  <si>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</si>
  <si>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</si>
  <si>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</si>
  <si>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</si>
  <si>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</si>
  <si>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</si>
  <si>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</si>
  <si>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</si>
  <si>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</si>
  <si>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</si>
  <si>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</si>
  <si>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</si>
  <si>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</si>
  <si>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</si>
  <si>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</si>
  <si>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</si>
  <si>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</si>
  <si>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</si>
  <si>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</si>
  <si>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</si>
  <si>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</si>
  <si>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</si>
  <si>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</si>
  <si>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</si>
  <si>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</si>
  <si>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</si>
  <si>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</si>
  <si>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</si>
  <si>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</si>
  <si>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</si>
  <si>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</si>
  <si>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</si>
  <si>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</si>
  <si>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</si>
  <si>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</si>
  <si>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</si>
  <si>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</si>
  <si>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</si>
  <si>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</si>
  <si>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</si>
  <si>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</si>
  <si>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</si>
  <si>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</si>
  <si>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</si>
  <si>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</si>
  <si>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</si>
  <si>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</si>
  <si>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</si>
  <si>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</si>
  <si>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</si>
  <si>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</si>
  <si>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</si>
  <si>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</si>
  <si>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</si>
  <si>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</si>
  <si>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</si>
  <si>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</si>
  <si>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</si>
  <si>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</si>
  <si>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</si>
  <si>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</si>
  <si>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</si>
  <si>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</si>
  <si>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</si>
  <si>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</si>
  <si>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</si>
  <si>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</si>
  <si>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</si>
  <si>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</si>
  <si>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</si>
  <si>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</si>
  <si>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</si>
  <si>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</si>
  <si>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</si>
  <si>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</si>
  <si>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</si>
  <si>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</si>
  <si>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</si>
  <si>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</si>
  <si>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</si>
  <si>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</si>
  <si>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</si>
  <si>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</si>
  <si>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</si>
  <si>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</si>
  <si>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</si>
  <si>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</si>
  <si>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</si>
  <si>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</si>
  <si>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</si>
  <si>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</si>
  <si>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</si>
  <si>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</si>
  <si>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</si>
  <si>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</si>
  <si>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</si>
  <si>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</si>
  <si>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</si>
  <si>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</si>
  <si>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</si>
  <si>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</si>
  <si>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</si>
  <si>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</si>
  <si>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</si>
  <si>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</si>
  <si>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</si>
  <si>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</si>
  <si>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</si>
  <si>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</si>
  <si>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</si>
  <si>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</si>
  <si>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</si>
  <si>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</si>
  <si>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</si>
  <si>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</si>
  <si>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</si>
  <si>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</si>
  <si>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</si>
  <si>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</si>
  <si>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</si>
  <si>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</si>
  <si>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</si>
  <si>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</si>
  <si>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</si>
  <si>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</si>
  <si>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</si>
  <si>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</si>
  <si>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</si>
  <si>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</si>
  <si>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</si>
  <si>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</si>
  <si>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</si>
  <si>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</si>
  <si>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</si>
  <si>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</si>
  <si>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</si>
  <si>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</si>
  <si>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</si>
  <si>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</si>
  <si>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</si>
  <si>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</si>
  <si>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</si>
  <si>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</si>
  <si>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</si>
  <si>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</si>
  <si>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</si>
  <si>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</si>
  <si>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</si>
  <si>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</si>
  <si>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</si>
  <si>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</si>
  <si>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</si>
  <si>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</si>
  <si>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</si>
  <si>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</si>
  <si>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</si>
  <si>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</si>
  <si>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</si>
  <si>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</si>
  <si>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</si>
  <si>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</si>
  <si>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</si>
  <si>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</si>
  <si>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</si>
  <si>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</si>
  <si>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</si>
  <si>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</si>
  <si>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</si>
  <si>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</si>
  <si>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</si>
  <si>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</si>
  <si>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</si>
  <si>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</si>
  <si>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</si>
  <si>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</si>
  <si>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</si>
  <si>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</si>
  <si>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</si>
  <si>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</si>
  <si>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</si>
  <si>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</si>
  <si>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</si>
  <si>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</si>
  <si>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</si>
  <si>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</si>
  <si>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</si>
  <si>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</si>
  <si>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</si>
  <si>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</si>
  <si>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</si>
  <si>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</si>
  <si>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</si>
  <si>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</si>
  <si>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</si>
  <si>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</si>
  <si>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</si>
  <si>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</si>
  <si>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</si>
  <si>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</si>
  <si>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</si>
  <si>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</si>
  <si>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</si>
  <si>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</si>
  <si>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</si>
  <si>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</si>
  <si>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</si>
  <si>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</si>
  <si>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</si>
  <si>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</si>
  <si>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</si>
  <si>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</si>
  <si>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</si>
  <si>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</si>
  <si>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</si>
  <si>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</si>
  <si>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</si>
  <si>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</si>
  <si>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</si>
  <si>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</si>
  <si>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</si>
  <si>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</si>
  <si>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</si>
  <si>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</si>
  <si>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</si>
  <si>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</si>
  <si>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</si>
  <si>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</si>
  <si>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</si>
  <si>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</si>
  <si>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</si>
  <si>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</si>
  <si>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</si>
  <si>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</si>
  <si>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</si>
  <si>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</si>
  <si>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</si>
  <si>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</si>
  <si>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</si>
  <si>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</si>
  <si>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</si>
  <si>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</si>
  <si>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</si>
  <si>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</si>
  <si>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</si>
  <si>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</si>
  <si>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</si>
  <si>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</si>
  <si>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</si>
  <si>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</si>
  <si>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</si>
  <si>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</si>
  <si>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</si>
  <si>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</si>
  <si>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</si>
  <si>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</si>
  <si>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</si>
  <si>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</si>
  <si>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</si>
  <si>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</si>
  <si>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</si>
  <si>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</si>
  <si>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</si>
  <si>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</si>
  <si>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</si>
  <si>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</si>
  <si>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</si>
  <si>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</si>
  <si>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</si>
  <si>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</si>
  <si>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</si>
  <si>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</si>
  <si>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</si>
  <si>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</si>
  <si>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</si>
  <si>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</si>
  <si>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</si>
  <si>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</si>
  <si>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</si>
  <si>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</si>
  <si>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</si>
  <si>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</si>
  <si>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</si>
  <si>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</si>
  <si>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</si>
  <si>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</si>
  <si>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</si>
  <si>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</si>
  <si>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</si>
  <si>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</si>
  <si>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</si>
  <si>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</si>
  <si>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</si>
  <si>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</si>
  <si>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</si>
  <si>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</si>
  <si>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</si>
  <si>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</si>
  <si>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</si>
  <si>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</si>
  <si>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</si>
  <si>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</si>
  <si>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</si>
  <si>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</si>
  <si>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</si>
  <si>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</si>
  <si>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</si>
  <si>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</si>
  <si>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</si>
  <si>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</si>
  <si>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</si>
  <si>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</si>
  <si>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</si>
  <si>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</si>
  <si>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</si>
  <si>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</si>
  <si>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</si>
  <si>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</si>
  <si>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</si>
  <si>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</si>
  <si>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</si>
  <si>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</si>
  <si>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</si>
  <si>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</si>
  <si>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</si>
  <si>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</si>
  <si>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</si>
  <si>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</si>
  <si>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</si>
  <si>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</si>
  <si>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</si>
  <si>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</si>
  <si>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</si>
  <si>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</si>
  <si>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</si>
  <si>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</si>
  <si>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</si>
  <si>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</si>
  <si>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</si>
  <si>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</si>
  <si>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</si>
  <si>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</si>
  <si>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</si>
  <si>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</si>
  <si>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</si>
  <si>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</si>
  <si>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</si>
  <si>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</si>
  <si>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</si>
  <si>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</si>
  <si>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</si>
  <si>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</si>
  <si>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</si>
  <si>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</si>
  <si>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</si>
  <si>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</si>
  <si>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</si>
  <si>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</si>
  <si>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</si>
  <si>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</si>
  <si>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</si>
  <si>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</si>
  <si>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</si>
  <si>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</si>
  <si>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</si>
  <si>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</si>
  <si>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</si>
  <si>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</si>
  <si>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</si>
  <si>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</si>
  <si>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</si>
  <si>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</si>
  <si>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</si>
  <si>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</si>
  <si>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</si>
  <si>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</si>
  <si>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</si>
  <si>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</si>
  <si>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</si>
  <si>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</si>
  <si>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</si>
  <si>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</si>
  <si>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</si>
  <si>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</si>
  <si>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</si>
  <si>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</si>
  <si>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</si>
  <si>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</si>
  <si>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</si>
  <si>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</si>
  <si>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</si>
  <si>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</si>
  <si>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</si>
  <si>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</si>
  <si>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</si>
  <si>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</si>
  <si>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</si>
  <si>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</si>
  <si>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</si>
  <si>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</si>
  <si>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</si>
  <si>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</si>
  <si>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</si>
  <si>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</si>
  <si>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</si>
  <si>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</si>
  <si>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</si>
  <si>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</si>
  <si>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</si>
  <si>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</si>
  <si>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</si>
  <si>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</si>
  <si>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</si>
  <si>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</si>
  <si>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</si>
  <si>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</si>
  <si>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</si>
  <si>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</si>
  <si>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</si>
  <si>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</si>
  <si>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</si>
  <si>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</si>
  <si>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</si>
  <si>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</si>
  <si>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</si>
  <si>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</si>
  <si>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</si>
  <si>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</si>
  <si>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</si>
  <si>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</si>
  <si>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</si>
  <si>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</si>
  <si>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</si>
  <si>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</si>
  <si>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</si>
  <si>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</si>
  <si>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</si>
  <si>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</si>
  <si>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</si>
  <si>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</si>
  <si>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</si>
  <si>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</si>
  <si>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</si>
  <si>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</si>
  <si>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</si>
  <si>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</si>
  <si>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</si>
  <si>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</si>
  <si>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</si>
  <si>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</si>
  <si>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</si>
  <si>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</si>
  <si>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</si>
  <si>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</si>
  <si>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</si>
  <si>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</si>
  <si>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</si>
  <si>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</si>
  <si>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</si>
  <si>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</si>
  <si>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</si>
  <si>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</si>
  <si>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</si>
  <si>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</si>
  <si>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</si>
  <si>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</si>
  <si>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</si>
  <si>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</si>
  <si>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</si>
  <si>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</si>
  <si>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</si>
  <si>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</si>
  <si>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</si>
  <si>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</si>
  <si>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</si>
  <si>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</si>
  <si>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</si>
  <si>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</si>
  <si>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</si>
  <si>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</si>
  <si>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</si>
  <si>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</si>
  <si>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</si>
  <si>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</si>
  <si>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</si>
  <si>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</si>
  <si>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</si>
  <si>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</si>
  <si>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</si>
  <si>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</si>
  <si>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</si>
  <si>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</si>
  <si>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</si>
  <si>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</si>
  <si>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</si>
  <si>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</si>
  <si>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</si>
  <si>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</si>
  <si>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</si>
  <si>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</si>
  <si>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</si>
  <si>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</si>
  <si>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</si>
  <si>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</si>
  <si>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</si>
  <si>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</si>
  <si>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</si>
  <si>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</si>
  <si>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</si>
  <si>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</si>
  <si>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</si>
  <si>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</si>
  <si>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</si>
  <si>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</si>
  <si>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</si>
  <si>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</si>
  <si>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</si>
  <si>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</si>
  <si>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</si>
  <si>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</si>
  <si>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</si>
  <si>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</si>
  <si>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</si>
  <si>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</si>
  <si>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</si>
  <si>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</si>
  <si>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</si>
  <si>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</si>
  <si>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</si>
  <si>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</si>
  <si>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</si>
  <si>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</si>
  <si>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</si>
  <si>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</si>
  <si>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</si>
  <si>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</si>
  <si>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</si>
  <si>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</si>
  <si>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</si>
  <si>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</si>
  <si>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</si>
  <si>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</si>
  <si>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</si>
  <si>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</si>
  <si>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</si>
  <si>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</si>
  <si>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</si>
  <si>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</si>
  <si>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</si>
  <si>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</si>
  <si>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</si>
  <si>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</si>
  <si>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</si>
  <si>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</si>
  <si>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</si>
  <si>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</si>
  <si>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</si>
  <si>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</si>
  <si>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</si>
  <si>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</si>
  <si>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</si>
  <si>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</si>
  <si>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</si>
  <si>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</si>
  <si>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</si>
  <si>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</si>
  <si>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</si>
  <si>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</si>
  <si>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</si>
  <si>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</si>
  <si>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</si>
  <si>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</si>
  <si>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</si>
  <si>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</si>
  <si>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</si>
  <si>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</si>
  <si>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</si>
  <si>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</si>
  <si>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</si>
  <si>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</si>
  <si>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</si>
  <si>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</si>
  <si>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</si>
  <si>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</si>
  <si>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</si>
  <si>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</si>
  <si>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</si>
  <si>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</si>
  <si>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</si>
  <si>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</si>
  <si>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</si>
  <si>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</si>
  <si>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</si>
  <si>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</si>
  <si>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</si>
  <si>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</si>
  <si>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</si>
  <si>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</si>
  <si>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</si>
  <si>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</si>
  <si>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</si>
  <si>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</si>
  <si>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</si>
  <si>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</si>
  <si>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</si>
  <si>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</si>
  <si>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</si>
  <si>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</si>
  <si>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</si>
  <si>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</si>
  <si>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</si>
  <si>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</si>
  <si>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</si>
  <si>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</si>
  <si>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</si>
  <si>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</si>
  <si>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</si>
  <si>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</si>
  <si>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</si>
  <si>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</si>
  <si>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</si>
  <si>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</si>
  <si>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</si>
  <si>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</si>
  <si>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</si>
  <si>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</si>
  <si>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</si>
  <si>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</si>
  <si>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</si>
  <si>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</si>
  <si>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</si>
  <si>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</si>
  <si>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</si>
  <si>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</si>
  <si>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</si>
  <si>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</si>
  <si>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</si>
  <si>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</si>
  <si>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</si>
  <si>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</si>
  <si>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</si>
  <si>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</si>
  <si>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</si>
  <si>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</si>
  <si>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</si>
  <si>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</si>
  <si>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</si>
  <si>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</si>
  <si>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</si>
  <si>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</si>
  <si>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</si>
  <si>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</si>
  <si>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</si>
  <si>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</si>
  <si>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</si>
  <si>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</si>
  <si>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</si>
  <si>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</si>
  <si>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</si>
  <si>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</si>
  <si>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</si>
  <si>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</si>
  <si>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</si>
  <si>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</si>
  <si>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</si>
  <si>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</si>
  <si>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</si>
  <si>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</si>
  <si>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</si>
  <si>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</si>
  <si>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</si>
  <si>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</si>
  <si>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</si>
  <si>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</si>
  <si>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</si>
  <si>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</si>
  <si>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</si>
  <si>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</si>
  <si>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</si>
  <si>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</si>
  <si>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</si>
  <si>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</si>
  <si>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</si>
  <si>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</si>
  <si>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</si>
  <si>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</si>
  <si>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</si>
  <si>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</si>
  <si>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</si>
  <si>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</si>
  <si>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</si>
  <si>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</si>
  <si>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</si>
  <si>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</si>
  <si>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</si>
  <si>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</si>
  <si>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</si>
  <si>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</si>
  <si>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</si>
  <si>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</si>
  <si>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</si>
  <si>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</si>
  <si>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</si>
  <si>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</si>
  <si>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</si>
  <si>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</si>
  <si>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</si>
  <si>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</si>
  <si>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</si>
  <si>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</si>
  <si>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</si>
  <si>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</si>
  <si>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</si>
  <si>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</si>
  <si>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</si>
  <si>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</si>
  <si>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</si>
  <si>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</si>
  <si>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</si>
  <si>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</si>
  <si>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</si>
  <si>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</si>
  <si>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</si>
  <si>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</si>
  <si>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</si>
  <si>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</si>
  <si>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</si>
  <si>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</si>
  <si>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</si>
  <si>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</si>
  <si>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</si>
  <si>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</si>
  <si>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</si>
  <si>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</si>
  <si>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</si>
  <si>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</si>
  <si>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</si>
  <si>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</si>
  <si>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</si>
  <si>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</si>
  <si>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</si>
  <si>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</si>
  <si>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</si>
  <si>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</si>
  <si>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</si>
  <si>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</si>
  <si>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</si>
  <si>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</si>
  <si>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</si>
  <si>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</si>
  <si>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</si>
  <si>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</si>
  <si>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</si>
  <si>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</si>
  <si>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</si>
  <si>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</si>
  <si>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</si>
  <si>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</si>
  <si>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</si>
  <si>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</si>
  <si>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</si>
  <si>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</si>
  <si>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</si>
  <si>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</si>
  <si>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</si>
  <si>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</si>
  <si>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</si>
  <si>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</si>
  <si>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</si>
  <si>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</si>
  <si>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</si>
  <si>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</si>
  <si>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</si>
  <si>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</si>
  <si>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</si>
  <si>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</si>
  <si>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</si>
  <si>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</si>
  <si>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</si>
  <si>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</si>
  <si>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</si>
  <si>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</si>
  <si>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</si>
  <si>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</si>
  <si>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</si>
  <si>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</si>
  <si>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</si>
  <si>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</si>
  <si>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</si>
  <si>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</si>
  <si>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</si>
  <si>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</si>
  <si>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</si>
  <si>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</si>
  <si>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</si>
  <si>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</si>
  <si>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</si>
  <si>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</si>
  <si>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</si>
  <si>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</si>
  <si>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</si>
  <si>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</si>
  <si>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</si>
  <si>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</si>
  <si>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</si>
  <si>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</si>
  <si>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</si>
  <si>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</si>
  <si>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</si>
  <si>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</si>
  <si>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</si>
  <si>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</si>
  <si>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</si>
  <si>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</si>
  <si>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</si>
  <si>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</si>
  <si>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</si>
  <si>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</si>
  <si>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</si>
  <si>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</si>
  <si>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</si>
  <si>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</si>
  <si>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</si>
  <si>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</si>
  <si>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</si>
  <si>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</si>
  <si>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</si>
  <si>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</si>
  <si>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</si>
  <si>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</si>
  <si>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</si>
  <si>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</si>
  <si>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</si>
  <si>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</si>
  <si>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</si>
  <si>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</si>
  <si>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</si>
  <si>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</si>
  <si>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</si>
  <si>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</si>
  <si>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</si>
  <si>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</si>
  <si>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</si>
  <si>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</si>
  <si>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</si>
  <si>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</si>
  <si>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</si>
  <si>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</si>
  <si>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</si>
  <si>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</si>
  <si>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</si>
  <si>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</si>
  <si>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</si>
  <si>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</si>
  <si>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</si>
  <si>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</si>
  <si>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</si>
  <si>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</si>
  <si>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</si>
  <si>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</si>
  <si>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</si>
  <si>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</si>
  <si>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</si>
  <si>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</si>
  <si>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</si>
  <si>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</si>
  <si>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</si>
  <si>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</si>
  <si>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</si>
  <si>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</si>
  <si>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</si>
  <si>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</si>
  <si>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</si>
  <si>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</si>
  <si>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</si>
  <si>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</si>
  <si>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</si>
  <si>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</si>
  <si>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</si>
  <si>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</si>
  <si>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</si>
  <si>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</si>
  <si>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</si>
  <si>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</si>
  <si>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</si>
  <si>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</si>
  <si>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</si>
  <si>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</si>
  <si>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</si>
  <si>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</si>
  <si>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</si>
  <si>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</si>
  <si>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</si>
  <si>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</si>
  <si>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</si>
  <si>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</si>
  <si>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</si>
  <si>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</si>
  <si>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</si>
  <si>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</si>
  <si>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</si>
  <si>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</si>
  <si>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</si>
  <si>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</si>
  <si>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</si>
  <si>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</si>
  <si>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</si>
  <si>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</si>
  <si>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</si>
  <si>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</si>
  <si>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</si>
  <si>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</si>
  <si>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</si>
  <si>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</si>
  <si>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</si>
  <si>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</si>
  <si>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</si>
  <si>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</si>
  <si>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</si>
  <si>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</si>
  <si>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</si>
  <si>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</si>
  <si>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</si>
  <si>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</si>
  <si>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</si>
  <si>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</si>
  <si>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</si>
  <si>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</si>
  <si>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</si>
  <si>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</si>
  <si>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</si>
  <si>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</si>
  <si>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</si>
  <si>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</si>
  <si>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</si>
  <si>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</si>
  <si>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</si>
  <si>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</si>
  <si>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</si>
  <si>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</si>
  <si>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</si>
  <si>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</si>
  <si>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</si>
  <si>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</si>
  <si>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</si>
  <si>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</si>
  <si>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</si>
  <si>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</si>
  <si>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</si>
  <si>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</si>
  <si>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</si>
  <si>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</si>
  <si>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</si>
  <si>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</si>
  <si>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</si>
  <si>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</si>
  <si>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</si>
  <si>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</si>
  <si>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</si>
  <si>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</si>
  <si>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</si>
  <si>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</si>
  <si>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</si>
  <si>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</si>
  <si>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</si>
  <si>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</si>
  <si>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</si>
  <si>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</si>
  <si>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</si>
  <si>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</si>
  <si>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</si>
  <si>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</si>
  <si>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</si>
  <si>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</si>
  <si>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</si>
  <si>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</si>
  <si>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</si>
  <si>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</si>
  <si>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</si>
  <si>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</si>
  <si>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</si>
  <si>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</si>
  <si>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</si>
  <si>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</si>
  <si>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</si>
  <si>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</si>
  <si>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</si>
  <si>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</si>
  <si>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</si>
  <si>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</si>
  <si>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</si>
  <si>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</si>
  <si>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</si>
  <si>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</si>
  <si>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</si>
  <si>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</si>
  <si>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</si>
  <si>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</si>
  <si>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</si>
  <si>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</si>
  <si>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</si>
  <si>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</si>
  <si>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</si>
  <si>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</si>
  <si>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</si>
  <si>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</si>
  <si>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</si>
  <si>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</si>
  <si>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</si>
  <si>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</si>
  <si>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</si>
  <si>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</si>
  <si>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</si>
  <si>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</si>
  <si>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</si>
  <si>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</si>
  <si>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</si>
  <si>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</si>
  <si>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</si>
  <si>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</si>
  <si>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</si>
  <si>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</si>
  <si>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</si>
  <si>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</si>
  <si>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</si>
  <si>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</si>
  <si>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</si>
  <si>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</si>
  <si>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</si>
  <si>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</si>
  <si>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</si>
  <si>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</si>
  <si>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</si>
  <si>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</si>
  <si>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</si>
  <si>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</si>
  <si>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</si>
  <si>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</si>
  <si>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</si>
  <si>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</si>
  <si>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</si>
  <si>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</si>
  <si>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</si>
  <si>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</si>
  <si>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</si>
  <si>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</si>
  <si>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</si>
  <si>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</si>
  <si>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</si>
  <si>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</si>
  <si>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</si>
  <si>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</si>
  <si>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</si>
  <si>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</si>
  <si>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</si>
  <si>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</si>
  <si>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</si>
  <si>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</si>
  <si>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</si>
  <si>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</si>
  <si>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</si>
  <si>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</si>
  <si>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</si>
  <si>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</si>
  <si>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</si>
  <si>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</si>
  <si>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</si>
  <si>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</si>
  <si>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</si>
  <si>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</si>
  <si>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</si>
  <si>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</si>
  <si>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</si>
  <si>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</si>
  <si>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</si>
  <si>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</si>
  <si>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</si>
  <si>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</si>
  <si>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</si>
  <si>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</si>
  <si>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</si>
  <si>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</si>
  <si>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</si>
  <si>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</si>
  <si>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</si>
  <si>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</si>
  <si>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</si>
  <si>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</si>
  <si>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</si>
  <si>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</si>
  <si>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</si>
  <si>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</si>
  <si>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</si>
  <si>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</si>
  <si>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</si>
  <si>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</si>
  <si>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</si>
  <si>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</si>
  <si>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</si>
  <si>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</si>
  <si>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</si>
  <si>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</si>
  <si>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</si>
  <si>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</si>
  <si>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</si>
  <si>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</si>
  <si>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</si>
  <si>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</si>
  <si>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</si>
  <si>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</si>
  <si>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</si>
  <si>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</si>
  <si>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</si>
  <si>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</si>
  <si>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</si>
  <si>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</si>
  <si>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</si>
  <si>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</si>
  <si>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</si>
  <si>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</si>
  <si>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</si>
  <si>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</si>
  <si>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</si>
  <si>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</si>
  <si>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</si>
  <si>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</si>
  <si>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</si>
  <si>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</si>
  <si>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</si>
  <si>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</si>
  <si>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</si>
  <si>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</si>
  <si>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</si>
  <si>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</si>
  <si>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</si>
  <si>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</si>
  <si>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</si>
  <si>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</si>
  <si>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</si>
  <si>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</si>
  <si>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</si>
  <si>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</si>
  <si>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</si>
  <si>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</si>
  <si>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</si>
  <si>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</si>
  <si>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</si>
  <si>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</si>
  <si>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</si>
  <si>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</si>
  <si>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</si>
  <si>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</si>
  <si>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</si>
  <si>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</si>
  <si>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</si>
  <si>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</si>
  <si>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</si>
  <si>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</si>
  <si>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</si>
  <si>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</si>
  <si>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</si>
  <si>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</si>
  <si>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</si>
  <si>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</si>
  <si>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</si>
  <si>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</si>
  <si>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</si>
  <si>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</si>
  <si>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</si>
  <si>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</si>
  <si>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</si>
  <si>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</si>
  <si>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</si>
  <si>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</si>
  <si>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</si>
  <si>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</si>
  <si>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</si>
  <si>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</si>
  <si>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</si>
  <si>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</si>
  <si>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</si>
  <si>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</si>
  <si>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</si>
  <si>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</si>
  <si>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</si>
  <si>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</si>
  <si>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</si>
  <si>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</si>
  <si>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</si>
  <si>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</si>
  <si>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</si>
  <si>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</si>
  <si>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</si>
  <si>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</si>
  <si>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</si>
  <si>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</si>
  <si>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</si>
  <si>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</si>
  <si>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</si>
  <si>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</si>
  <si>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</si>
  <si>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</si>
  <si>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</si>
  <si>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</si>
  <si>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</si>
  <si>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</si>
  <si>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</si>
  <si>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</si>
  <si>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</si>
  <si>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</si>
  <si>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</si>
  <si>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</si>
  <si>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</si>
  <si>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</si>
  <si>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</si>
  <si>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</si>
  <si>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</si>
  <si>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</si>
  <si>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</si>
  <si>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</si>
  <si>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</si>
  <si>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</si>
  <si>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</si>
  <si>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</si>
  <si>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</si>
  <si>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</si>
  <si>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</si>
  <si>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</si>
  <si>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</si>
  <si>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</si>
  <si>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</si>
  <si>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</si>
  <si>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</si>
  <si>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</si>
  <si>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</si>
  <si>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</si>
  <si>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</si>
  <si>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</si>
  <si>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</si>
  <si>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</si>
  <si>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</si>
  <si>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</si>
  <si>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</si>
  <si>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</si>
  <si>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</si>
  <si>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</si>
  <si>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</si>
  <si>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</si>
  <si>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</si>
  <si>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</si>
  <si>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</si>
  <si>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</si>
  <si>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</si>
  <si>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</si>
  <si>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</si>
  <si>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</si>
  <si>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</si>
  <si>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</si>
  <si>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</si>
  <si>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</si>
  <si>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</si>
  <si>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</si>
  <si>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</si>
  <si>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</si>
  <si>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</si>
  <si>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</si>
  <si>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</si>
  <si>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</si>
  <si>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</si>
  <si>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</si>
  <si>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</si>
  <si>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</si>
  <si>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</si>
  <si>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</si>
  <si>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</si>
  <si>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</si>
  <si>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</si>
  <si>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</si>
  <si>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</si>
  <si>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</si>
  <si>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</si>
  <si>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</si>
  <si>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</si>
  <si>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</si>
  <si>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</si>
  <si>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</si>
  <si>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</si>
  <si>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</si>
  <si>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</si>
  <si>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</si>
  <si>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</si>
  <si>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</si>
  <si>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</si>
  <si>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</si>
  <si>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</si>
  <si>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</si>
  <si>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</si>
  <si>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</si>
  <si>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</si>
  <si>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</si>
  <si>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</si>
  <si>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</si>
  <si>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</si>
  <si>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</si>
  <si>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</si>
  <si>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</si>
  <si>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</si>
  <si>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</si>
  <si>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</si>
  <si>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</si>
  <si>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</si>
  <si>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</si>
  <si>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</si>
  <si>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</si>
  <si>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</si>
  <si>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</si>
  <si>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</si>
  <si>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</si>
  <si>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</si>
  <si>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</si>
  <si>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</si>
  <si>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</si>
  <si>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</si>
  <si>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</si>
  <si>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</si>
  <si>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</si>
  <si>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</si>
  <si>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</si>
  <si>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</si>
  <si>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</si>
  <si>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</si>
  <si>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</si>
  <si>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</si>
  <si>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</si>
  <si>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</si>
  <si>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</si>
  <si>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</si>
  <si>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</si>
  <si>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</si>
  <si>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</si>
  <si>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</si>
  <si>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</si>
  <si>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</si>
  <si>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</si>
  <si>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</si>
  <si>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</si>
  <si>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</si>
  <si>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</si>
  <si>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</si>
  <si>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</si>
  <si>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</si>
  <si>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</si>
  <si>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</si>
  <si>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</si>
  <si>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</si>
  <si>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</si>
  <si>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</si>
  <si>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</si>
  <si>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</si>
  <si>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</si>
  <si>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</si>
  <si>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</si>
  <si>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</si>
  <si>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</si>
  <si>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</si>
  <si>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</si>
  <si>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</si>
  <si>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</si>
  <si>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</si>
  <si>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</si>
  <si>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</si>
  <si>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</si>
  <si>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</si>
  <si>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</si>
  <si>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</si>
  <si>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</si>
  <si>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</si>
  <si>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</si>
  <si>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</si>
  <si>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</si>
  <si>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</si>
  <si>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</si>
  <si>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</si>
  <si>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</si>
  <si>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</si>
  <si>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</si>
  <si>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</si>
  <si>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</si>
  <si>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</si>
  <si>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</si>
  <si>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</si>
  <si>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</si>
  <si>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</si>
  <si>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</si>
  <si>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</si>
  <si>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</si>
  <si>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</si>
  <si>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</si>
  <si>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</si>
  <si>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</si>
  <si>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</si>
  <si>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</si>
  <si>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</si>
  <si>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</si>
  <si>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</si>
  <si>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</si>
  <si>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</si>
  <si>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</si>
  <si>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</si>
  <si>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</si>
  <si>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</si>
  <si>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</si>
  <si>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</si>
  <si>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</si>
  <si>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</si>
  <si>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</si>
  <si>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</si>
  <si>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</si>
  <si>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</si>
  <si>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</si>
  <si>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</si>
  <si>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</si>
  <si>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</si>
  <si>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</si>
  <si>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</si>
  <si>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</si>
  <si>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</si>
  <si>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</si>
  <si>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</si>
  <si>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</si>
  <si>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</si>
  <si>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</si>
  <si>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</si>
  <si>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</si>
  <si>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</si>
  <si>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</si>
  <si>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</si>
  <si>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</si>
  <si>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</si>
  <si>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</si>
  <si>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</si>
  <si>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</si>
  <si>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</si>
  <si>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</si>
  <si>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</si>
  <si>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</si>
  <si>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</si>
  <si>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</si>
  <si>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</si>
  <si>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</si>
  <si>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</si>
  <si>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</si>
  <si>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</si>
  <si>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</si>
  <si>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</si>
  <si>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</si>
  <si>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</si>
  <si>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</si>
  <si>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</si>
  <si>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</si>
  <si>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</si>
  <si>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</si>
  <si>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</si>
  <si>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</si>
  <si>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</si>
  <si>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</si>
  <si>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</si>
  <si>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</si>
  <si>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</si>
  <si>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</si>
  <si>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</si>
  <si>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</si>
  <si>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</si>
  <si>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</si>
  <si>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</si>
  <si>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</si>
  <si>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</si>
  <si>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</si>
  <si>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</si>
  <si>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</si>
  <si>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</si>
  <si>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</si>
  <si>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</si>
  <si>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</si>
  <si>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</si>
  <si>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</si>
  <si>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</si>
  <si>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</si>
  <si>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</si>
  <si>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</si>
  <si>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</si>
  <si>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</si>
  <si>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</si>
  <si>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</si>
  <si>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</si>
  <si>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</si>
  <si>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</si>
  <si>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</si>
  <si>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</si>
  <si>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</si>
  <si>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</si>
  <si>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</si>
  <si>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</si>
  <si>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</si>
  <si>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</si>
  <si>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</si>
  <si>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</si>
  <si>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</si>
  <si>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</si>
  <si>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</si>
  <si>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</si>
  <si>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</si>
  <si>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</si>
  <si>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</si>
  <si>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</si>
  <si>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</si>
  <si>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</si>
  <si>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</si>
  <si>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</si>
  <si>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</si>
  <si>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</si>
  <si>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</si>
  <si>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</si>
  <si>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</si>
  <si>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</si>
  <si>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</si>
  <si>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</si>
  <si>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</si>
  <si>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</si>
  <si>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</si>
  <si>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</si>
  <si>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</si>
  <si>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</si>
  <si>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</si>
  <si>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</si>
  <si>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</si>
  <si>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</si>
  <si>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</si>
  <si>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</si>
  <si>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</si>
  <si>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</si>
  <si>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</si>
  <si>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</si>
  <si>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</si>
  <si>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</si>
  <si>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</si>
  <si>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</si>
  <si>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</si>
  <si>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</si>
  <si>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</si>
  <si>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</si>
  <si>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</si>
  <si>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</si>
  <si>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</si>
  <si>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</si>
  <si>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</si>
  <si>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</si>
  <si>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</si>
  <si>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</si>
  <si>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</si>
  <si>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</si>
  <si>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</si>
  <si>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</si>
  <si>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</si>
  <si>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</si>
  <si>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</si>
  <si>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</si>
  <si>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</si>
  <si>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</si>
  <si>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</si>
  <si>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</si>
  <si>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</si>
  <si>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</si>
  <si>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</si>
  <si>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</si>
  <si>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</si>
  <si>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</si>
  <si>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</si>
  <si>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</si>
  <si>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</si>
  <si>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</si>
  <si>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</si>
  <si>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</si>
  <si>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</si>
  <si>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</si>
  <si>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</si>
  <si>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</si>
  <si>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</si>
  <si>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</si>
  <si>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</si>
  <si>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</si>
  <si>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</si>
  <si>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</si>
  <si>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</si>
  <si>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</si>
  <si>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</si>
  <si>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</si>
  <si>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</si>
  <si>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</si>
  <si>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</si>
  <si>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</si>
  <si>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</si>
  <si>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</si>
  <si>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</si>
  <si>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</si>
  <si>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</si>
  <si>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</si>
  <si>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</si>
  <si>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</si>
  <si>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</si>
  <si>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</si>
  <si>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</si>
  <si>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</si>
  <si>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</si>
  <si>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</si>
  <si>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</si>
  <si>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</si>
  <si>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</si>
  <si>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</si>
  <si>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</si>
  <si>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</si>
  <si>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</si>
  <si>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</si>
  <si>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</si>
  <si>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</si>
  <si>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</si>
  <si>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</si>
  <si>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</si>
  <si>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</si>
  <si>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</si>
  <si>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</si>
  <si>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</si>
  <si>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</si>
  <si>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</si>
  <si>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</si>
  <si>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</si>
  <si>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</si>
  <si>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</si>
  <si>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</si>
  <si>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</si>
  <si>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</si>
  <si>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</si>
  <si>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</si>
  <si>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</si>
  <si>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</si>
  <si>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</si>
  <si>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</si>
  <si>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</si>
  <si>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</si>
  <si>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</si>
  <si>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</si>
  <si>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</si>
  <si>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</si>
  <si>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</si>
  <si>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</si>
  <si>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</si>
  <si>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</si>
  <si>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</si>
  <si>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</si>
  <si>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</si>
  <si>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</si>
  <si>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</si>
  <si>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</si>
  <si>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</si>
  <si>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</si>
  <si>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</si>
  <si>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</si>
  <si>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</si>
  <si>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</si>
  <si>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</si>
  <si>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</si>
  <si>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</si>
  <si>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</si>
  <si>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</si>
  <si>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</si>
  <si>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</si>
  <si>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</si>
  <si>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</si>
  <si>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</si>
  <si>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</si>
  <si>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</si>
  <si>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</si>
  <si>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</si>
  <si>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</si>
  <si>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</si>
  <si>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</si>
  <si>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</si>
  <si>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</si>
  <si>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</si>
  <si>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</si>
  <si>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</si>
  <si>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</si>
  <si>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</si>
  <si>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</si>
  <si>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</si>
  <si>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</si>
  <si>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</si>
  <si>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</si>
  <si>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</si>
  <si>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</si>
  <si>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</si>
  <si>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</si>
  <si>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</si>
  <si>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</si>
  <si>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</si>
  <si>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</si>
  <si>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</si>
  <si>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</si>
  <si>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</si>
  <si>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</si>
  <si>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</si>
  <si>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</si>
  <si>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</si>
  <si>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</si>
  <si>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</si>
  <si>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</si>
  <si>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</si>
  <si>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</si>
  <si>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</si>
  <si>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</si>
  <si>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</si>
  <si>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</si>
  <si>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</si>
  <si>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</si>
  <si>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</si>
  <si>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</si>
  <si>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</si>
  <si>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</si>
  <si>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</si>
  <si>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</si>
  <si>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</si>
  <si>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</si>
  <si>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</si>
  <si>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</si>
  <si>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</si>
  <si>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</si>
  <si>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</si>
  <si>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</si>
  <si>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</si>
  <si>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</si>
  <si>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</si>
  <si>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</si>
  <si>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</si>
  <si>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</si>
  <si>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</si>
  <si>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</si>
  <si>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</si>
  <si>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</si>
  <si>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</si>
  <si>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</si>
  <si>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</si>
  <si>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</si>
  <si>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</si>
  <si>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</si>
  <si>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</si>
  <si>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</si>
  <si>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</si>
  <si>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</si>
  <si>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</si>
  <si>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</si>
  <si>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</si>
  <si>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</si>
  <si>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</si>
  <si>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</si>
  <si>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</si>
  <si>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</si>
  <si>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</si>
  <si>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</si>
  <si>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</si>
  <si>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</si>
  <si>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</si>
  <si>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</si>
  <si>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</si>
  <si>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</si>
  <si>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</si>
  <si>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</si>
  <si>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</si>
  <si>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</si>
  <si>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</si>
  <si>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</si>
  <si>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</si>
  <si>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</si>
  <si>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</si>
  <si>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</si>
  <si>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</si>
  <si>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</si>
  <si>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</si>
  <si>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</si>
  <si>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</si>
  <si>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</si>
  <si>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</si>
  <si>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</si>
  <si>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</si>
  <si>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</si>
  <si>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</si>
  <si>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</si>
  <si>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</si>
  <si>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</si>
  <si>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</si>
  <si>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</si>
  <si>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</si>
  <si>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</si>
  <si>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</si>
  <si>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</si>
  <si>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</si>
  <si>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</si>
  <si>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</si>
  <si>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</si>
  <si>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</si>
  <si>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</si>
  <si>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</si>
  <si>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</si>
  <si>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</si>
  <si>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</si>
  <si>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</si>
  <si>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</si>
  <si>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</si>
  <si>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</si>
  <si>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</si>
  <si>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</si>
  <si>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</si>
  <si>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</si>
  <si>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</si>
  <si>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</si>
  <si>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</si>
  <si>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</si>
  <si>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</si>
  <si>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</si>
  <si>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</si>
  <si>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</si>
  <si>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</si>
  <si>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</si>
  <si>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</si>
  <si>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</si>
  <si>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</si>
  <si>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</si>
  <si>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</si>
  <si>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</si>
  <si>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</si>
  <si>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</si>
  <si>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</si>
  <si>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</si>
  <si>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</si>
  <si>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</si>
  <si>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</si>
  <si>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</si>
  <si>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</si>
  <si>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</si>
  <si>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</si>
  <si>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</si>
  <si>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</si>
  <si>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</si>
  <si>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</si>
  <si>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</si>
  <si>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</si>
  <si>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</si>
  <si>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</si>
  <si>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</si>
  <si>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</si>
  <si>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</si>
  <si>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</si>
  <si>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</si>
  <si>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</si>
  <si>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</si>
  <si>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</si>
  <si>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</si>
  <si>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</si>
  <si>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</si>
  <si>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</si>
  <si>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</si>
  <si>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</si>
  <si>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</si>
  <si>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</si>
  <si>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</si>
  <si>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</si>
  <si>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</si>
  <si>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</si>
  <si>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</si>
  <si>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</si>
  <si>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</si>
  <si>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</si>
  <si>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</si>
  <si>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</si>
  <si>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</si>
  <si>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</si>
  <si>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</si>
  <si>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</si>
  <si>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</si>
  <si>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</si>
  <si>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</si>
  <si>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</si>
  <si>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</si>
  <si>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</si>
  <si>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وغدیر 179517 تا 860.2</t>
  </si>
  <si>
    <t>وغدیر 32650 تا 1065.7</t>
  </si>
  <si>
    <t>زاگرس 16994 تا 12513</t>
  </si>
  <si>
    <t>29/2/1399</t>
  </si>
  <si>
    <t>30/2/1399</t>
  </si>
  <si>
    <t>زاگرس 1677 تا 9036.6</t>
  </si>
  <si>
    <t>31/2/1399</t>
  </si>
  <si>
    <t>پارس 1000 تا 8280.2</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</si>
  <si>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</si>
  <si>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</si>
  <si>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</si>
  <si>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</si>
  <si>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</si>
  <si>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</si>
  <si>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</si>
  <si>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</si>
  <si>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</si>
  <si>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</si>
  <si>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</si>
  <si>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</si>
  <si>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</si>
  <si>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</si>
  <si>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</si>
  <si>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</si>
  <si>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</si>
  <si>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زاگرس 697 تا 11053.7</t>
  </si>
  <si>
    <t>وغدیر 56691 تا 875.9</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</si>
  <si>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</si>
  <si>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</si>
  <si>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</si>
  <si>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</si>
  <si>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</si>
  <si>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</si>
  <si>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</si>
  <si>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</si>
  <si>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</si>
  <si>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</si>
  <si>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</si>
  <si>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</si>
  <si>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</si>
  <si>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</si>
  <si>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</si>
  <si>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</si>
  <si>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</si>
  <si>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</si>
  <si>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</si>
  <si>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</si>
  <si>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</si>
  <si>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</si>
  <si>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</si>
  <si>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</si>
  <si>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</si>
  <si>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</si>
  <si>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</si>
  <si>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</si>
  <si>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پارس 34 تا 8537.3</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</si>
  <si>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</si>
  <si>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</si>
  <si>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</si>
  <si>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</si>
  <si>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</si>
  <si>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</si>
  <si>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زاگرس 1703 تا 11700</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</si>
  <si>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</si>
  <si>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</si>
  <si>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</si>
  <si>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</si>
  <si>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</si>
  <si>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</si>
  <si>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پارس 600 تا 12847.3</t>
  </si>
  <si>
    <t>12/3/1399</t>
  </si>
  <si>
    <t>بدهی به کاظم (هزینه تعمیر خونه تا 4 میلیون تومن پرداخت شده)</t>
  </si>
  <si>
    <t>11980An0063441578*</t>
  </si>
  <si>
    <t>13/3/1399</t>
  </si>
  <si>
    <t>پارس 1004 تا 13000.2</t>
  </si>
  <si>
    <t>خرج مریم برای تولد ایلیا</t>
  </si>
  <si>
    <t>17/3/1399</t>
  </si>
  <si>
    <t>18/3/1399</t>
  </si>
  <si>
    <t>تعدا 50 از بورس و 150 ملت علی</t>
  </si>
  <si>
    <t>19/3/1399</t>
  </si>
  <si>
    <t>20/3/1399</t>
  </si>
  <si>
    <t>وغدیر 325460 تا 1055</t>
  </si>
  <si>
    <t>21/3/1399</t>
  </si>
  <si>
    <t>وغدیر 361887 تا 1207.9</t>
  </si>
  <si>
    <t>24/3/1399</t>
  </si>
  <si>
    <t>25/3/1399</t>
  </si>
  <si>
    <t>وغدیر 261251 تا 1231.4</t>
  </si>
  <si>
    <t>وغدیر 131524 تا 1174.9</t>
  </si>
  <si>
    <t>26/3/1399</t>
  </si>
  <si>
    <t>27/3/1399</t>
  </si>
  <si>
    <t>پارس 1643 تا 14737.8</t>
  </si>
  <si>
    <t>مریم از کارت پارسیان علی 25/3/99</t>
  </si>
  <si>
    <t>2/4/1399 (خرید 206)</t>
  </si>
  <si>
    <t>بدهی به حسین 27/1/99 (20 دستی (بعلاوه 1000 در (pzagros-12500) و 4900 تا وغدیر و 5.02 هم سود شستا)</t>
  </si>
  <si>
    <t>31/3/1399</t>
  </si>
  <si>
    <t>پارس 1216 تا 14201</t>
  </si>
  <si>
    <t>وغدیر 142952 تا 1197.3</t>
  </si>
  <si>
    <t>1/4/1399</t>
  </si>
  <si>
    <t>زاگرس 25 تا 11673.9</t>
  </si>
  <si>
    <t>سود زاگرس علی 58196600 تومن و مریم 46183500 تومن</t>
  </si>
  <si>
    <t>پول نقد (سود زاگرس)پ</t>
  </si>
  <si>
    <t>بدهی مریم و علی بابت سود زاگرس</t>
  </si>
  <si>
    <t>بدهی سارا بابت سود زاگرس</t>
  </si>
  <si>
    <t>طلب از مهدی بابت سود زاگرس</t>
  </si>
  <si>
    <t>زاگرس به وغدیر</t>
  </si>
  <si>
    <t>پارس به وغدیر</t>
  </si>
  <si>
    <t>پارس به زاگرس</t>
  </si>
  <si>
    <t>2/4/1399</t>
  </si>
  <si>
    <t>مریم خرید 206 از سود زاگرس</t>
  </si>
  <si>
    <t>بدهی به داریوش 2/4/1399</t>
  </si>
  <si>
    <t>زاگرس 14418 تا 16569.3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</si>
</sst>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0" fontId="0" fillId="41" borderId="1" xfId="0" applyFill="1" applyBorder="1" applyAlignment="1">
      <alignment horizontal="center"/>
    </xf>
    <xf numFmtId="0" fontId="0" fillId="41" borderId="5" xfId="0" applyFill="1" applyBorder="1" applyAlignment="1">
      <alignment horizontal="center"/>
    </xf>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2" borderId="5" xfId="0" applyFill="1" applyBorder="1" applyAlignment="1">
      <alignment horizont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0"/>
  <sheetViews>
    <sheetView topLeftCell="A71" zoomScale="85" zoomScaleNormal="85" workbookViewId="0">
      <selection activeCell="P84" sqref="P84"/>
    </sheetView>
  </sheetViews>
  <sheetFormatPr defaultRowHeight="15"/>
  <cols>
    <col min="1" max="1" width="10.7109375" bestFit="1" customWidth="1"/>
    <col min="2" max="2" width="12" bestFit="1" customWidth="1"/>
    <col min="3" max="3" width="17"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4922</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4922</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4922</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4922</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4922</v>
      </c>
      <c r="B51" s="213" t="s">
        <v>4515</v>
      </c>
      <c r="C51" s="113">
        <v>4949</v>
      </c>
      <c r="D51" s="213">
        <v>1000</v>
      </c>
      <c r="E51" s="213" t="s">
        <v>4233</v>
      </c>
      <c r="F51" s="213">
        <v>192</v>
      </c>
      <c r="G51" s="213" t="s">
        <v>4926</v>
      </c>
      <c r="H51" s="213">
        <f t="shared" si="4"/>
        <v>25.776041666666668</v>
      </c>
      <c r="I51" s="226">
        <f t="shared" si="5"/>
        <v>3.8795716306324508E-2</v>
      </c>
      <c r="J51" s="99"/>
      <c r="K51" s="99"/>
      <c r="L51" s="99"/>
      <c r="M51" s="99"/>
      <c r="N51" s="99"/>
    </row>
    <row r="52" spans="1:19">
      <c r="A52" s="213" t="s">
        <v>4929</v>
      </c>
      <c r="B52" s="213" t="s">
        <v>4515</v>
      </c>
      <c r="C52" s="113">
        <v>4957.7</v>
      </c>
      <c r="D52" s="213" t="s">
        <v>4926</v>
      </c>
      <c r="E52" s="213" t="s">
        <v>4378</v>
      </c>
      <c r="F52" s="213">
        <v>3589.3</v>
      </c>
      <c r="G52" s="213" t="s">
        <v>4926</v>
      </c>
      <c r="H52" s="213">
        <f t="shared" si="4"/>
        <v>1.3812442537542138</v>
      </c>
      <c r="I52" s="226">
        <f t="shared" si="5"/>
        <v>0.72398491235855345</v>
      </c>
      <c r="J52" s="99"/>
      <c r="K52" s="99"/>
      <c r="L52" s="99"/>
      <c r="M52" s="99"/>
      <c r="N52" s="99"/>
    </row>
    <row r="53" spans="1:19">
      <c r="A53" s="213" t="s">
        <v>4929</v>
      </c>
      <c r="B53" s="213" t="s">
        <v>4515</v>
      </c>
      <c r="C53" s="113">
        <v>4958</v>
      </c>
      <c r="D53" s="213" t="s">
        <v>4926</v>
      </c>
      <c r="E53" s="213" t="s">
        <v>4382</v>
      </c>
      <c r="F53" s="213">
        <v>4730.8999999999996</v>
      </c>
      <c r="G53" s="213" t="s">
        <v>4926</v>
      </c>
      <c r="H53" s="213">
        <f t="shared" si="4"/>
        <v>1.0480035511213512</v>
      </c>
      <c r="I53" s="226">
        <f t="shared" si="5"/>
        <v>0.95419524001613543</v>
      </c>
      <c r="J53" s="99"/>
      <c r="K53" s="99"/>
      <c r="L53" s="99"/>
      <c r="M53" s="99"/>
      <c r="N53" s="99"/>
    </row>
    <row r="54" spans="1:19">
      <c r="A54" s="213" t="s">
        <v>4929</v>
      </c>
      <c r="B54" s="213" t="s">
        <v>4515</v>
      </c>
      <c r="C54" s="113">
        <v>4958</v>
      </c>
      <c r="D54" s="213" t="s">
        <v>4926</v>
      </c>
      <c r="E54" s="213" t="s">
        <v>4396</v>
      </c>
      <c r="F54" s="213">
        <v>671.9</v>
      </c>
      <c r="G54" s="213" t="s">
        <v>4926</v>
      </c>
      <c r="H54" s="213">
        <f t="shared" si="4"/>
        <v>7.379074267004019</v>
      </c>
      <c r="I54" s="226">
        <f t="shared" si="5"/>
        <v>0.13551835417507058</v>
      </c>
      <c r="J54" s="99"/>
      <c r="K54" s="99"/>
      <c r="L54" s="99"/>
      <c r="M54" s="99" t="s">
        <v>25</v>
      </c>
      <c r="N54" s="99"/>
    </row>
    <row r="55" spans="1:19">
      <c r="A55" s="213" t="s">
        <v>4929</v>
      </c>
      <c r="B55" s="213" t="s">
        <v>4515</v>
      </c>
      <c r="C55" s="113">
        <v>4958</v>
      </c>
      <c r="D55" s="213" t="s">
        <v>4926</v>
      </c>
      <c r="E55" s="213" t="s">
        <v>4233</v>
      </c>
      <c r="F55" s="213">
        <v>194.4</v>
      </c>
      <c r="G55" s="213" t="s">
        <v>4926</v>
      </c>
      <c r="H55" s="213">
        <f t="shared" si="4"/>
        <v>25.504115226337447</v>
      </c>
      <c r="I55" s="226">
        <f t="shared" si="5"/>
        <v>3.9209358612343689E-2</v>
      </c>
      <c r="J55" s="99"/>
      <c r="K55" s="99"/>
      <c r="L55" s="99"/>
      <c r="M55" s="99"/>
      <c r="N55" s="99"/>
    </row>
    <row r="56" spans="1:19">
      <c r="A56" s="213" t="s">
        <v>4997</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5000</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5003</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5027</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5040</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5049</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5432</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5433</v>
      </c>
    </row>
    <row r="65" spans="1:20">
      <c r="A65" s="161" t="s">
        <v>5090</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5435</v>
      </c>
    </row>
    <row r="67" spans="1:20">
      <c r="A67" s="161" t="s">
        <v>5106</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5434</v>
      </c>
      <c r="T67" s="96"/>
    </row>
    <row r="68" spans="1:20">
      <c r="A68" s="161" t="s">
        <v>5109</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5135</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5136</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5078</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5142</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5151</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5187</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5495</v>
      </c>
      <c r="B77" s="121" t="s">
        <v>4396</v>
      </c>
      <c r="C77" s="79">
        <v>1348.1</v>
      </c>
      <c r="D77" s="121">
        <v>22264</v>
      </c>
      <c r="E77" s="291" t="s">
        <v>4382</v>
      </c>
      <c r="F77" s="292">
        <v>7159.6</v>
      </c>
      <c r="G77" s="121">
        <f>C77*D77*0.99025/(F77*1.00464)</f>
        <v>4132.100996929863</v>
      </c>
      <c r="H77" s="222">
        <f t="shared" ref="H77:H103" si="8">C77/F77</f>
        <v>0.18829264204704171</v>
      </c>
      <c r="I77" s="310">
        <f t="shared" si="7"/>
        <v>5.3108819820488105</v>
      </c>
      <c r="J77" s="99"/>
      <c r="K77" s="99"/>
      <c r="L77" s="99"/>
      <c r="M77" s="99"/>
      <c r="N77" s="99"/>
      <c r="O77" s="96"/>
      <c r="P77" s="96"/>
      <c r="Q77" s="96"/>
      <c r="R77" s="96"/>
      <c r="S77" s="96"/>
      <c r="T77" s="96"/>
    </row>
    <row r="78" spans="1:20">
      <c r="A78" s="121" t="s">
        <v>5495</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5503</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5506</v>
      </c>
      <c r="B80" s="121" t="s">
        <v>4396</v>
      </c>
      <c r="C80" s="79">
        <v>1509.3</v>
      </c>
      <c r="D80" s="121">
        <v>2000</v>
      </c>
      <c r="E80" s="291" t="s">
        <v>4382</v>
      </c>
      <c r="F80" s="292">
        <v>7614.2</v>
      </c>
      <c r="G80" s="121">
        <f>C80*D80*0.99025/(F80*1.00464)</f>
        <v>390.76501350614762</v>
      </c>
      <c r="H80" s="222">
        <f t="shared" si="8"/>
        <v>0.19822174358435554</v>
      </c>
      <c r="I80" s="310">
        <f t="shared" ref="I80:I103" si="9">F80/C80</f>
        <v>5.0448552309017423</v>
      </c>
      <c r="J80" s="99"/>
      <c r="K80" s="99"/>
      <c r="L80" s="293">
        <f>49/1044.7</f>
        <v>4.6903417248970992E-2</v>
      </c>
      <c r="M80" s="293">
        <f>1-L80</f>
        <v>0.95309658275102904</v>
      </c>
      <c r="N80" s="99"/>
      <c r="O80" s="96"/>
      <c r="P80" s="96"/>
      <c r="Q80" s="96"/>
      <c r="R80" s="96"/>
      <c r="S80" s="96"/>
      <c r="T80" s="96"/>
    </row>
    <row r="81" spans="1:25">
      <c r="A81" s="293" t="s">
        <v>5524</v>
      </c>
      <c r="B81" s="293" t="s">
        <v>4233</v>
      </c>
      <c r="C81" s="295">
        <f>689.1*M80</f>
        <v>656.77885517373409</v>
      </c>
      <c r="D81" s="293">
        <v>10732</v>
      </c>
      <c r="E81" s="296" t="s">
        <v>4515</v>
      </c>
      <c r="F81" s="49">
        <v>2696.3</v>
      </c>
      <c r="G81" s="293">
        <f t="shared" ref="G81:G107"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t="s">
        <v>25</v>
      </c>
      <c r="S81" s="96"/>
      <c r="T81" s="96"/>
    </row>
    <row r="82" spans="1:25">
      <c r="A82" s="293" t="s">
        <v>5528</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5516</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5516</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5516</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5646</v>
      </c>
      <c r="B87" s="293" t="s">
        <v>4233</v>
      </c>
      <c r="C87" s="295">
        <v>934.6</v>
      </c>
      <c r="D87" s="293">
        <v>1269</v>
      </c>
      <c r="E87" s="62" t="s">
        <v>4378</v>
      </c>
      <c r="F87" s="51">
        <v>12846</v>
      </c>
      <c r="G87" s="293">
        <f>C87*D87*0.99025/(F87*1.0046399)</f>
        <v>91.00262286896394</v>
      </c>
      <c r="H87" s="294">
        <f>C87/F87</f>
        <v>7.2754164720535572E-2</v>
      </c>
      <c r="I87" s="311">
        <f>F87/C87</f>
        <v>13.744917611812539</v>
      </c>
      <c r="J87" s="99"/>
      <c r="K87" s="99"/>
      <c r="L87" s="99"/>
      <c r="M87" s="99"/>
      <c r="N87" s="99"/>
      <c r="O87" s="96" t="s">
        <v>25</v>
      </c>
      <c r="P87" s="96"/>
      <c r="Q87" s="96"/>
      <c r="R87" s="96" t="s">
        <v>25</v>
      </c>
      <c r="S87" s="96" t="s">
        <v>25</v>
      </c>
      <c r="T87" s="96"/>
    </row>
    <row r="88" spans="1:25">
      <c r="A88" s="293" t="s">
        <v>5651</v>
      </c>
      <c r="B88" s="293" t="s">
        <v>4233</v>
      </c>
      <c r="C88" s="295">
        <v>1026.9000000000001</v>
      </c>
      <c r="D88" s="293">
        <v>12806</v>
      </c>
      <c r="E88" s="62" t="s">
        <v>4378</v>
      </c>
      <c r="F88" s="51">
        <v>12935</v>
      </c>
      <c r="G88" s="293">
        <f t="shared" ref="G88" si="13">C88*D88*0.99025/(F88*1.0046399)</f>
        <v>1002.096734434953</v>
      </c>
      <c r="H88" s="294">
        <f t="shared" ref="H88" si="14">C88/F88</f>
        <v>7.9389253962118295E-2</v>
      </c>
      <c r="I88" s="311">
        <f t="shared" ref="I88" si="15">F88/C88</f>
        <v>12.596163209660141</v>
      </c>
      <c r="J88" s="99"/>
      <c r="K88" s="99"/>
      <c r="L88" s="99"/>
      <c r="M88" s="99"/>
      <c r="N88" s="99"/>
      <c r="O88" s="96"/>
      <c r="P88" s="96"/>
      <c r="Q88" s="96" t="s">
        <v>25</v>
      </c>
      <c r="R88" s="96" t="s">
        <v>25</v>
      </c>
      <c r="S88" s="96"/>
      <c r="T88" s="96"/>
    </row>
    <row r="89" spans="1:25">
      <c r="A89" s="293" t="s">
        <v>5666</v>
      </c>
      <c r="B89" s="293" t="s">
        <v>4233</v>
      </c>
      <c r="C89" s="295">
        <v>1226</v>
      </c>
      <c r="D89" s="293">
        <v>10000</v>
      </c>
      <c r="E89" s="62" t="s">
        <v>4378</v>
      </c>
      <c r="F89" s="51">
        <v>15001</v>
      </c>
      <c r="G89" s="293">
        <f t="shared" ref="G89:G96" si="16">C89*D89*0.99025/(F89*1.0046399)</f>
        <v>805.57260298744472</v>
      </c>
      <c r="H89" s="294">
        <f t="shared" ref="H89:H91" si="17">C89/F89</f>
        <v>8.1727884807679493E-2</v>
      </c>
      <c r="I89" s="311">
        <f t="shared" ref="I89:I96" si="18">F89/C89</f>
        <v>12.235725938009788</v>
      </c>
      <c r="J89" s="99"/>
      <c r="K89" s="99"/>
      <c r="L89" s="99"/>
      <c r="M89" s="99"/>
      <c r="N89" s="99"/>
      <c r="O89" s="96"/>
      <c r="P89" s="96"/>
      <c r="Q89" s="96"/>
      <c r="R89" s="96" t="s">
        <v>25</v>
      </c>
      <c r="S89" s="96"/>
      <c r="T89" s="96"/>
    </row>
    <row r="90" spans="1:25">
      <c r="A90" s="293" t="s">
        <v>5666</v>
      </c>
      <c r="B90" s="293" t="s">
        <v>4233</v>
      </c>
      <c r="C90" s="295">
        <v>1219</v>
      </c>
      <c r="D90" s="293">
        <v>10000</v>
      </c>
      <c r="E90" s="62" t="s">
        <v>4378</v>
      </c>
      <c r="F90" s="51">
        <v>14476</v>
      </c>
      <c r="G90" s="293">
        <f t="shared" si="16"/>
        <v>830.02191615511151</v>
      </c>
      <c r="H90" s="294">
        <f t="shared" si="17"/>
        <v>8.4208344846642719E-2</v>
      </c>
      <c r="I90" s="311">
        <f t="shared" si="18"/>
        <v>11.875307629204265</v>
      </c>
      <c r="J90" s="99"/>
      <c r="K90" s="99"/>
      <c r="L90" s="99"/>
      <c r="M90" s="99"/>
      <c r="N90" s="99"/>
      <c r="O90" s="96" t="s">
        <v>25</v>
      </c>
      <c r="P90" s="96"/>
      <c r="Q90" s="96"/>
      <c r="R90" s="96"/>
      <c r="S90" s="96"/>
      <c r="T90" s="96"/>
    </row>
    <row r="91" spans="1:25">
      <c r="A91" s="293" t="s">
        <v>5672</v>
      </c>
      <c r="B91" s="293" t="s">
        <v>4233</v>
      </c>
      <c r="C91" s="295">
        <v>1263</v>
      </c>
      <c r="D91" s="293">
        <v>13880</v>
      </c>
      <c r="E91" s="62" t="s">
        <v>4378</v>
      </c>
      <c r="F91" s="51">
        <v>14201</v>
      </c>
      <c r="G91" s="293">
        <f t="shared" si="16"/>
        <v>1216.7695079770629</v>
      </c>
      <c r="H91" s="294">
        <f t="shared" si="17"/>
        <v>8.893739877473418E-2</v>
      </c>
      <c r="I91" s="311">
        <f t="shared" si="18"/>
        <v>11.243863816310371</v>
      </c>
      <c r="J91" s="99"/>
      <c r="K91" s="99"/>
      <c r="L91" s="99"/>
      <c r="M91" s="99"/>
      <c r="N91" s="99"/>
      <c r="O91" s="96"/>
      <c r="P91" s="96"/>
      <c r="Q91" s="96" t="s">
        <v>25</v>
      </c>
      <c r="R91" s="96"/>
      <c r="S91" s="96"/>
      <c r="T91" s="96"/>
    </row>
    <row r="92" spans="1:25">
      <c r="A92" s="293"/>
      <c r="B92" s="293"/>
      <c r="C92" s="295"/>
      <c r="D92" s="293"/>
      <c r="E92" s="62"/>
      <c r="F92" s="51"/>
      <c r="G92" s="293"/>
      <c r="H92" s="294"/>
      <c r="I92" s="311"/>
      <c r="J92" s="99"/>
      <c r="K92" s="99"/>
      <c r="L92" s="99"/>
      <c r="M92" s="99"/>
      <c r="N92" s="99"/>
      <c r="O92" s="96"/>
      <c r="P92" s="96"/>
      <c r="Q92" s="96"/>
      <c r="R92" s="96"/>
      <c r="S92" s="96"/>
      <c r="T92" s="96"/>
    </row>
    <row r="93" spans="1:25">
      <c r="A93" s="293"/>
      <c r="B93" s="293"/>
      <c r="C93" s="295"/>
      <c r="D93" s="293"/>
      <c r="E93" s="62"/>
      <c r="F93" s="51"/>
      <c r="G93" s="293"/>
      <c r="H93" s="294"/>
      <c r="I93" s="311"/>
      <c r="J93" s="99"/>
      <c r="K93" s="99"/>
      <c r="L93" s="99"/>
      <c r="M93" s="99"/>
      <c r="N93" s="99"/>
      <c r="O93" s="96"/>
      <c r="P93" s="96"/>
      <c r="Q93" s="96"/>
      <c r="R93" s="99" t="s">
        <v>1083</v>
      </c>
      <c r="S93" s="99"/>
      <c r="T93" s="99"/>
      <c r="U93" s="99"/>
      <c r="V93" s="99"/>
      <c r="W93" s="99"/>
      <c r="X93" s="99"/>
      <c r="Y93" s="99"/>
    </row>
    <row r="94" spans="1:25">
      <c r="A94" s="293"/>
      <c r="B94" s="293"/>
      <c r="C94" s="295"/>
      <c r="D94" s="293"/>
      <c r="E94" s="62"/>
      <c r="F94" s="51"/>
      <c r="G94" s="293"/>
      <c r="H94" s="294"/>
      <c r="I94" s="311"/>
      <c r="J94" s="99"/>
      <c r="K94" s="99"/>
      <c r="L94" s="99"/>
      <c r="M94" s="99"/>
      <c r="N94" s="99"/>
      <c r="O94" s="96"/>
      <c r="P94" s="96"/>
      <c r="Q94" s="96"/>
      <c r="R94" s="99"/>
      <c r="S94" s="99"/>
      <c r="T94" s="99" t="s">
        <v>934</v>
      </c>
      <c r="U94" s="99" t="s">
        <v>937</v>
      </c>
      <c r="V94" s="99" t="s">
        <v>5489</v>
      </c>
      <c r="W94" s="69" t="s">
        <v>1232</v>
      </c>
      <c r="X94" s="69" t="s">
        <v>938</v>
      </c>
      <c r="Y94" s="69" t="s">
        <v>5521</v>
      </c>
    </row>
    <row r="95" spans="1:25">
      <c r="A95" s="293"/>
      <c r="B95" s="293"/>
      <c r="C95" s="295"/>
      <c r="D95" s="293"/>
      <c r="E95" s="62"/>
      <c r="F95" s="51"/>
      <c r="G95" s="293"/>
      <c r="H95" s="294"/>
      <c r="I95" s="311"/>
      <c r="J95" s="99"/>
      <c r="K95" s="99"/>
      <c r="L95" s="99"/>
      <c r="M95" s="99"/>
      <c r="N95" s="99"/>
      <c r="O95" s="96"/>
      <c r="P95" s="96"/>
      <c r="Q95" s="96"/>
      <c r="R95" s="99"/>
      <c r="S95" s="99" t="s">
        <v>4382</v>
      </c>
      <c r="T95" s="99">
        <v>874</v>
      </c>
      <c r="U95" s="117">
        <v>6337102</v>
      </c>
      <c r="V95" s="117">
        <f>U95/T95</f>
        <v>7250.6887871853551</v>
      </c>
      <c r="W95" s="117">
        <f>V95*1.01</f>
        <v>7323.195675057209</v>
      </c>
      <c r="X95" s="99">
        <f>'برنامه 5 ساله'!P48</f>
        <v>16644</v>
      </c>
      <c r="Y95" s="117">
        <f>T95*X95</f>
        <v>14546856</v>
      </c>
    </row>
    <row r="96" spans="1:25">
      <c r="A96" s="23" t="s">
        <v>5675</v>
      </c>
      <c r="B96" s="23" t="s">
        <v>4382</v>
      </c>
      <c r="C96" s="35">
        <v>16853.400000000001</v>
      </c>
      <c r="D96" s="23">
        <v>13906</v>
      </c>
      <c r="E96" s="23" t="s">
        <v>4378</v>
      </c>
      <c r="F96" s="35">
        <v>14845</v>
      </c>
      <c r="G96" s="23">
        <f t="shared" si="16"/>
        <v>15561.232093376331</v>
      </c>
      <c r="H96" s="5">
        <f>C96/F96</f>
        <v>1.1352913438868306</v>
      </c>
      <c r="I96" s="335">
        <f t="shared" si="18"/>
        <v>0.88083116759822933</v>
      </c>
      <c r="J96" s="23"/>
      <c r="K96" s="23"/>
      <c r="L96" s="23"/>
      <c r="M96" s="23" t="s">
        <v>25</v>
      </c>
      <c r="N96" s="23"/>
      <c r="R96" s="99"/>
      <c r="S96" s="99" t="s">
        <v>4233</v>
      </c>
      <c r="T96" s="99">
        <v>295000</v>
      </c>
      <c r="U96" s="117">
        <v>148594302</v>
      </c>
      <c r="V96" s="117">
        <f>U96/T96</f>
        <v>503.70949830508476</v>
      </c>
      <c r="W96" s="117">
        <f>V96*1.01</f>
        <v>508.74659328813561</v>
      </c>
      <c r="X96" s="99">
        <f>'برنامه 5 ساله'!P31</f>
        <v>1306</v>
      </c>
      <c r="Y96" s="117">
        <f>T96*X96</f>
        <v>385270000</v>
      </c>
    </row>
    <row r="97" spans="1:27">
      <c r="A97" s="293"/>
      <c r="B97" s="293"/>
      <c r="C97" s="295"/>
      <c r="D97" s="293"/>
      <c r="E97" s="62"/>
      <c r="F97" s="51"/>
      <c r="G97" s="293"/>
      <c r="H97" s="294"/>
      <c r="I97" s="311"/>
      <c r="J97" s="99" t="s">
        <v>25</v>
      </c>
      <c r="K97" s="99"/>
      <c r="L97" s="99"/>
      <c r="M97" s="99"/>
      <c r="N97" s="99"/>
      <c r="R97" s="99"/>
      <c r="S97" s="99" t="s">
        <v>4396</v>
      </c>
      <c r="T97" s="99">
        <v>2850</v>
      </c>
      <c r="U97" s="117">
        <v>4015726</v>
      </c>
      <c r="V97" s="117">
        <f>U97/T97</f>
        <v>1409.0266666666666</v>
      </c>
      <c r="W97" s="117">
        <f>V97*1.01</f>
        <v>1423.1169333333332</v>
      </c>
      <c r="X97" s="99">
        <v>2600</v>
      </c>
      <c r="Y97" s="117">
        <f>T97*X97</f>
        <v>7410000</v>
      </c>
      <c r="Z97" t="s">
        <v>25</v>
      </c>
    </row>
    <row r="98" spans="1:27">
      <c r="A98" s="293"/>
      <c r="B98" s="293"/>
      <c r="C98" s="295"/>
      <c r="D98" s="293"/>
      <c r="E98" s="62"/>
      <c r="F98" s="51"/>
      <c r="G98" s="293" t="e">
        <f>C98*D98*0.99025/(F98*1.0046399)</f>
        <v>#DIV/0!</v>
      </c>
      <c r="H98" s="294" t="e">
        <f>C98/F98</f>
        <v>#DIV/0!</v>
      </c>
      <c r="I98" s="311" t="e">
        <f>F98/C98</f>
        <v>#DIV/0!</v>
      </c>
      <c r="J98" s="99"/>
      <c r="K98" s="99"/>
      <c r="L98" s="99"/>
      <c r="M98" s="99"/>
      <c r="N98" s="99"/>
      <c r="R98" s="99" t="s">
        <v>5488</v>
      </c>
      <c r="S98" s="99" t="s">
        <v>5385</v>
      </c>
      <c r="T98" s="99">
        <v>0</v>
      </c>
      <c r="U98" s="117">
        <v>683292</v>
      </c>
      <c r="V98" s="117"/>
      <c r="W98" s="117"/>
      <c r="X98" s="99">
        <f>'برنامه 5 ساله'!P49</f>
        <v>772.2</v>
      </c>
      <c r="Y98" s="117">
        <f>U98</f>
        <v>683292</v>
      </c>
    </row>
    <row r="99" spans="1:27">
      <c r="A99" s="293"/>
      <c r="B99" s="293"/>
      <c r="C99" s="295">
        <f>C126</f>
        <v>1306</v>
      </c>
      <c r="D99" s="293">
        <v>1</v>
      </c>
      <c r="E99" s="62" t="s">
        <v>4378</v>
      </c>
      <c r="F99" s="51">
        <f>C128</f>
        <v>15673</v>
      </c>
      <c r="G99" s="293">
        <f>C99*D99*0.99025/(F99*1.0046399)</f>
        <v>8.2134472435912348E-2</v>
      </c>
      <c r="H99" s="294">
        <f>C99/F99</f>
        <v>8.3328016333822502E-2</v>
      </c>
      <c r="I99" s="311">
        <f>F99/C99</f>
        <v>12.000765696784073</v>
      </c>
      <c r="J99" s="99"/>
      <c r="K99" s="99">
        <f>H99/H91</f>
        <v>0.93692886774078643</v>
      </c>
      <c r="L99" s="99">
        <f>(1/K99-1.03)*100</f>
        <v>3.7316884377035731</v>
      </c>
      <c r="M99" s="99"/>
      <c r="N99" s="99"/>
      <c r="R99" s="99" t="s">
        <v>5488</v>
      </c>
      <c r="S99" s="99" t="s">
        <v>4547</v>
      </c>
      <c r="T99" s="99">
        <v>0</v>
      </c>
      <c r="U99" s="117">
        <v>270969</v>
      </c>
      <c r="V99" s="117"/>
      <c r="W99" s="117"/>
      <c r="X99" s="99">
        <v>1500</v>
      </c>
      <c r="Y99" s="117">
        <f>U99</f>
        <v>270969</v>
      </c>
      <c r="AA99" t="s">
        <v>25</v>
      </c>
    </row>
    <row r="100" spans="1:27">
      <c r="A100" s="291"/>
      <c r="B100" s="291"/>
      <c r="C100" s="292">
        <f>C127</f>
        <v>16900</v>
      </c>
      <c r="D100" s="291">
        <v>13906</v>
      </c>
      <c r="E100" s="62" t="s">
        <v>4378</v>
      </c>
      <c r="F100" s="51">
        <f>C128</f>
        <v>15673</v>
      </c>
      <c r="G100" s="291">
        <f>C100*D100*0.99025/(F100*1.0046399)</f>
        <v>14779.890777507788</v>
      </c>
      <c r="H100" s="327">
        <f>C100/F100</f>
        <v>1.0782875007975499</v>
      </c>
      <c r="I100" s="328">
        <f>F100/C100</f>
        <v>0.92739644970414203</v>
      </c>
      <c r="J100" s="99"/>
      <c r="K100" s="291">
        <f>H100/H96</f>
        <v>0.94978923833408258</v>
      </c>
      <c r="L100" s="291">
        <f>(1/K100-1.03)*100</f>
        <v>2.286516170049091</v>
      </c>
      <c r="M100" s="99"/>
      <c r="N100" s="99"/>
      <c r="R100" s="99"/>
      <c r="S100" s="99"/>
      <c r="T100" s="99"/>
      <c r="U100" s="117"/>
      <c r="V100" s="117"/>
      <c r="W100" s="99"/>
      <c r="X100" s="99"/>
      <c r="Y100" s="99"/>
    </row>
    <row r="101" spans="1:27">
      <c r="A101" s="303"/>
      <c r="B101" s="303"/>
      <c r="C101" s="304"/>
      <c r="D101" s="303"/>
      <c r="E101" s="303"/>
      <c r="F101" s="304"/>
      <c r="G101" s="303"/>
      <c r="H101" s="305"/>
      <c r="I101" s="312"/>
      <c r="J101" s="303"/>
      <c r="K101" s="303"/>
      <c r="L101" s="303"/>
      <c r="M101" s="303"/>
      <c r="N101" s="99"/>
      <c r="R101" s="99"/>
      <c r="S101" s="99"/>
      <c r="T101" s="99"/>
      <c r="U101" s="117"/>
      <c r="V101" s="117"/>
      <c r="W101" s="99"/>
      <c r="X101" s="99"/>
      <c r="Y101" s="99"/>
    </row>
    <row r="102" spans="1:27" ht="18.75">
      <c r="A102" s="293" t="s">
        <v>5512</v>
      </c>
      <c r="B102" s="293" t="s">
        <v>4233</v>
      </c>
      <c r="C102" s="295">
        <v>591</v>
      </c>
      <c r="D102" s="293">
        <v>10061</v>
      </c>
      <c r="E102" s="291" t="s">
        <v>4382</v>
      </c>
      <c r="F102" s="292">
        <v>7941</v>
      </c>
      <c r="G102" s="300">
        <f t="shared" si="10"/>
        <v>738.05353120447069</v>
      </c>
      <c r="H102" s="299">
        <f t="shared" si="8"/>
        <v>7.4423876086135252E-2</v>
      </c>
      <c r="I102" s="311">
        <f t="shared" si="9"/>
        <v>13.436548223350254</v>
      </c>
      <c r="J102" s="99" t="s">
        <v>452</v>
      </c>
      <c r="K102" s="313">
        <v>1</v>
      </c>
      <c r="L102" s="99"/>
      <c r="M102" s="99" t="s">
        <v>25</v>
      </c>
      <c r="N102" s="99"/>
      <c r="R102" s="99"/>
      <c r="S102" s="99"/>
      <c r="T102" s="99"/>
      <c r="U102" s="117">
        <v>159900000</v>
      </c>
      <c r="V102" s="117"/>
      <c r="W102" s="99"/>
      <c r="X102" s="99"/>
      <c r="Y102" s="95">
        <f>SUM(Y95:Y99)</f>
        <v>408181117</v>
      </c>
    </row>
    <row r="103" spans="1:27" ht="18.75">
      <c r="A103" s="293" t="s">
        <v>5513</v>
      </c>
      <c r="B103" s="293" t="s">
        <v>4233</v>
      </c>
      <c r="C103" s="295">
        <v>612</v>
      </c>
      <c r="D103" s="293">
        <v>27000</v>
      </c>
      <c r="E103" s="291" t="s">
        <v>4382</v>
      </c>
      <c r="F103" s="292">
        <v>7835</v>
      </c>
      <c r="G103" s="300">
        <f t="shared" si="10"/>
        <v>2078.7899765676852</v>
      </c>
      <c r="H103" s="299">
        <f t="shared" si="8"/>
        <v>7.8111040204211876E-2</v>
      </c>
      <c r="I103" s="311">
        <f t="shared" si="9"/>
        <v>12.802287581699346</v>
      </c>
      <c r="J103" s="99"/>
      <c r="K103" s="313">
        <f t="shared" ref="K103:K114" si="19">H103/H102</f>
        <v>1.0495427584799433</v>
      </c>
      <c r="L103" s="99"/>
      <c r="M103" s="99"/>
      <c r="N103" s="99"/>
      <c r="R103" s="99"/>
      <c r="S103" s="99"/>
      <c r="T103" s="99"/>
      <c r="U103" s="117"/>
      <c r="V103" s="117"/>
      <c r="W103" s="99"/>
      <c r="X103" s="99"/>
      <c r="Y103" s="99"/>
    </row>
    <row r="104" spans="1:27" ht="18.75">
      <c r="A104" s="293" t="s">
        <v>5524</v>
      </c>
      <c r="B104" s="293" t="s">
        <v>4233</v>
      </c>
      <c r="C104" s="295">
        <v>657</v>
      </c>
      <c r="D104" s="293">
        <v>76080</v>
      </c>
      <c r="E104" s="291" t="s">
        <v>4382</v>
      </c>
      <c r="F104" s="292">
        <v>8202</v>
      </c>
      <c r="G104" s="300">
        <f>C104*D104*0.99025/(F104*1.0046399)</f>
        <v>6006.9018679031451</v>
      </c>
      <c r="H104" s="299">
        <f>C104/F104</f>
        <v>8.0102414045354786E-2</v>
      </c>
      <c r="I104" s="311">
        <f>F104/C104</f>
        <v>12.484018264840183</v>
      </c>
      <c r="J104" s="99" t="s">
        <v>452</v>
      </c>
      <c r="K104" s="313">
        <f t="shared" si="19"/>
        <v>1.0254941405969848</v>
      </c>
      <c r="L104" s="99" t="s">
        <v>25</v>
      </c>
      <c r="M104" s="99"/>
      <c r="N104" s="99"/>
      <c r="R104" s="99"/>
      <c r="S104" s="99"/>
      <c r="T104" s="99"/>
      <c r="U104" s="99"/>
      <c r="V104" s="99"/>
      <c r="W104" s="99"/>
      <c r="X104" s="99"/>
      <c r="Y104" s="99"/>
    </row>
    <row r="105" spans="1:27" ht="18.75">
      <c r="A105" s="293" t="s">
        <v>4855</v>
      </c>
      <c r="B105" s="293" t="s">
        <v>4233</v>
      </c>
      <c r="C105" s="295">
        <v>626.4</v>
      </c>
      <c r="D105" s="293">
        <v>15063</v>
      </c>
      <c r="E105" s="291" t="s">
        <v>4382</v>
      </c>
      <c r="F105" s="292">
        <v>7808</v>
      </c>
      <c r="G105" s="300">
        <f>C105*D105*0.99025/(F105*1.0046399)</f>
        <v>1191.1263963477256</v>
      </c>
      <c r="H105" s="299">
        <f>C105/F105</f>
        <v>8.0225409836065575E-2</v>
      </c>
      <c r="I105" s="311">
        <f>F105/C105</f>
        <v>12.464878671775224</v>
      </c>
      <c r="J105" s="99" t="s">
        <v>749</v>
      </c>
      <c r="K105" s="313">
        <f t="shared" si="19"/>
        <v>1.001535481697732</v>
      </c>
      <c r="L105" s="99"/>
      <c r="M105" s="99"/>
      <c r="N105" s="99"/>
      <c r="R105" s="99"/>
      <c r="S105" s="99"/>
      <c r="T105" s="99"/>
      <c r="U105" s="99"/>
      <c r="V105" s="99"/>
      <c r="W105" s="99"/>
      <c r="X105" s="99"/>
      <c r="Y105" s="99"/>
    </row>
    <row r="106" spans="1:27" ht="18.75">
      <c r="A106" s="293" t="s">
        <v>5516</v>
      </c>
      <c r="B106" s="293" t="s">
        <v>4233</v>
      </c>
      <c r="C106" s="295">
        <v>626.4</v>
      </c>
      <c r="D106" s="293">
        <v>128144</v>
      </c>
      <c r="E106" s="291" t="s">
        <v>4382</v>
      </c>
      <c r="F106" s="292">
        <v>7807</v>
      </c>
      <c r="G106" s="300">
        <f>C106*D106*0.99025/(F106*1.0046399)</f>
        <v>10134.452105643004</v>
      </c>
      <c r="H106" s="299">
        <f>C106/F106</f>
        <v>8.023568592288971E-2</v>
      </c>
      <c r="I106" s="311">
        <f>F106/C106</f>
        <v>12.463282247765006</v>
      </c>
      <c r="J106" s="99" t="s">
        <v>452</v>
      </c>
      <c r="K106" s="313">
        <f t="shared" si="19"/>
        <v>1.0001280901754834</v>
      </c>
      <c r="L106" s="99"/>
      <c r="M106" s="99"/>
      <c r="N106" s="99"/>
    </row>
    <row r="107" spans="1:27" ht="18.75">
      <c r="A107" s="293" t="s">
        <v>5524</v>
      </c>
      <c r="B107" s="293" t="s">
        <v>4233</v>
      </c>
      <c r="C107" s="295">
        <v>656.8</v>
      </c>
      <c r="D107" s="293">
        <v>72223</v>
      </c>
      <c r="E107" s="291" t="s">
        <v>4382</v>
      </c>
      <c r="F107" s="292">
        <v>8184</v>
      </c>
      <c r="G107" s="300">
        <f t="shared" si="10"/>
        <v>5713.1743300846874</v>
      </c>
      <c r="H107" s="299">
        <f>C107/F107</f>
        <v>8.0254154447702827E-2</v>
      </c>
      <c r="I107" s="311">
        <f>F107/C107</f>
        <v>12.460414129110841</v>
      </c>
      <c r="J107" s="99" t="s">
        <v>749</v>
      </c>
      <c r="K107" s="313">
        <f t="shared" si="19"/>
        <v>1.0002301784374457</v>
      </c>
      <c r="L107" s="99"/>
      <c r="M107" s="99" t="s">
        <v>25</v>
      </c>
      <c r="N107" s="99"/>
    </row>
    <row r="108" spans="1:27" ht="18.75">
      <c r="A108" s="293" t="s">
        <v>5584</v>
      </c>
      <c r="B108" s="293" t="s">
        <v>4233</v>
      </c>
      <c r="C108" s="295">
        <v>864.7</v>
      </c>
      <c r="D108" s="293">
        <v>10000</v>
      </c>
      <c r="E108" s="291" t="s">
        <v>4382</v>
      </c>
      <c r="F108" s="292">
        <v>10794</v>
      </c>
      <c r="G108" s="300">
        <f t="shared" ref="G108" si="20">C108*D108*0.99025/(F108*1.0046399)</f>
        <v>789.6187890074915</v>
      </c>
      <c r="H108" s="302">
        <f t="shared" ref="H108" si="21">C108/F108</f>
        <v>8.0109319992588482E-2</v>
      </c>
      <c r="I108" s="311">
        <f t="shared" ref="I108" si="22">F108/C108</f>
        <v>12.482942060830345</v>
      </c>
      <c r="J108" s="99" t="s">
        <v>452</v>
      </c>
      <c r="K108" s="313">
        <f t="shared" si="19"/>
        <v>0.99819530270911117</v>
      </c>
      <c r="L108" s="99"/>
      <c r="M108" s="99"/>
      <c r="N108" s="99">
        <f>88/73</f>
        <v>1.2054794520547945</v>
      </c>
      <c r="O108" t="s">
        <v>25</v>
      </c>
      <c r="R108" s="99" t="s">
        <v>749</v>
      </c>
      <c r="S108" s="99"/>
      <c r="T108" s="99"/>
      <c r="U108" s="99"/>
      <c r="V108" s="99"/>
      <c r="W108" s="99" t="s">
        <v>1232</v>
      </c>
      <c r="X108" s="99" t="s">
        <v>938</v>
      </c>
      <c r="Y108" s="69" t="s">
        <v>5521</v>
      </c>
      <c r="Z108" t="s">
        <v>25</v>
      </c>
    </row>
    <row r="109" spans="1:27" ht="18.75">
      <c r="A109" s="293" t="s">
        <v>5584</v>
      </c>
      <c r="B109" s="293" t="s">
        <v>4233</v>
      </c>
      <c r="C109" s="295">
        <v>872.5</v>
      </c>
      <c r="D109" s="293">
        <v>50000</v>
      </c>
      <c r="E109" s="291" t="s">
        <v>4382</v>
      </c>
      <c r="F109" s="292">
        <v>10839</v>
      </c>
      <c r="G109" s="300">
        <f>C109*D109*0.99025/(F109*1.0046399)</f>
        <v>3967.1685488397402</v>
      </c>
      <c r="H109" s="302">
        <f>C109/F109</f>
        <v>8.0496355752375681E-2</v>
      </c>
      <c r="I109" s="311">
        <f>F109/C109</f>
        <v>12.422922636103152</v>
      </c>
      <c r="J109" s="99" t="s">
        <v>452</v>
      </c>
      <c r="K109" s="313">
        <f t="shared" si="19"/>
        <v>1.0048313449648931</v>
      </c>
      <c r="L109" s="99"/>
      <c r="M109" s="99"/>
      <c r="N109" s="99"/>
      <c r="R109" s="99"/>
      <c r="S109" s="99" t="s">
        <v>4382</v>
      </c>
      <c r="T109" s="99">
        <v>4279</v>
      </c>
      <c r="U109" s="117">
        <v>32796123</v>
      </c>
      <c r="V109" s="117">
        <f>U109/T109</f>
        <v>7664.436316896471</v>
      </c>
      <c r="W109" s="117">
        <f>V109*1.01</f>
        <v>7741.0806800654354</v>
      </c>
      <c r="X109" s="99">
        <f>X95</f>
        <v>16644</v>
      </c>
      <c r="Y109" s="99">
        <f>T109*X109</f>
        <v>71219676</v>
      </c>
    </row>
    <row r="110" spans="1:27" ht="18.75">
      <c r="A110" s="293" t="s">
        <v>5528</v>
      </c>
      <c r="B110" s="293" t="s">
        <v>4233</v>
      </c>
      <c r="C110" s="295">
        <v>689.6</v>
      </c>
      <c r="D110" s="293">
        <v>78468</v>
      </c>
      <c r="E110" s="291" t="s">
        <v>4382</v>
      </c>
      <c r="F110" s="292">
        <v>8462</v>
      </c>
      <c r="G110" s="300">
        <f t="shared" ref="G110" si="23">C110*D110*0.99025/(F110*1.0046399)</f>
        <v>6303.0571343067613</v>
      </c>
      <c r="H110" s="302">
        <f t="shared" ref="H110" si="24">C110/F110</f>
        <v>8.1493736705270631E-2</v>
      </c>
      <c r="I110" s="311">
        <f t="shared" ref="I110" si="25">F110/C110</f>
        <v>12.270881670533642</v>
      </c>
      <c r="J110" s="99" t="s">
        <v>452</v>
      </c>
      <c r="K110" s="313">
        <f t="shared" si="19"/>
        <v>1.0123903864165369</v>
      </c>
      <c r="L110" s="99"/>
      <c r="M110" s="99"/>
      <c r="N110" s="99" t="s">
        <v>25</v>
      </c>
      <c r="R110" s="99"/>
      <c r="S110" s="99" t="s">
        <v>4396</v>
      </c>
      <c r="T110" s="99">
        <v>70500</v>
      </c>
      <c r="U110" s="117">
        <v>100609967</v>
      </c>
      <c r="V110" s="117">
        <f>U110/T110</f>
        <v>1427.0917304964539</v>
      </c>
      <c r="W110" s="117">
        <f>V110*1.01</f>
        <v>1441.3626478014185</v>
      </c>
      <c r="X110" s="99">
        <f>X97</f>
        <v>2600</v>
      </c>
      <c r="Y110" s="99">
        <f>T110*X110</f>
        <v>183300000</v>
      </c>
    </row>
    <row r="111" spans="1:27" ht="18.75">
      <c r="A111" s="293" t="s">
        <v>5584</v>
      </c>
      <c r="B111" s="293" t="s">
        <v>4233</v>
      </c>
      <c r="C111" s="295">
        <v>887.6</v>
      </c>
      <c r="D111" s="293">
        <v>100000</v>
      </c>
      <c r="E111" s="291" t="s">
        <v>4382</v>
      </c>
      <c r="F111" s="292">
        <v>10887</v>
      </c>
      <c r="G111" s="300">
        <f>C111*D111*0.99025/(F111*1.0046399)</f>
        <v>8036.0660793919105</v>
      </c>
      <c r="H111" s="302">
        <f>C111/F111</f>
        <v>8.1528428400845052E-2</v>
      </c>
      <c r="I111" s="311">
        <f>F111/C111</f>
        <v>12.265660207300586</v>
      </c>
      <c r="J111" s="99" t="s">
        <v>452</v>
      </c>
      <c r="K111" s="313">
        <f t="shared" si="19"/>
        <v>1.0004256976913439</v>
      </c>
      <c r="L111" s="99"/>
      <c r="M111" s="99" t="s">
        <v>25</v>
      </c>
      <c r="N111" s="99"/>
      <c r="R111" s="99"/>
      <c r="S111" s="99" t="s">
        <v>4233</v>
      </c>
      <c r="T111" s="99">
        <v>12936</v>
      </c>
      <c r="U111" s="117">
        <v>6322162</v>
      </c>
      <c r="V111" s="117">
        <f>U111/T111</f>
        <v>488.72619047619048</v>
      </c>
      <c r="W111" s="117">
        <f>V111*1.01</f>
        <v>493.61345238095237</v>
      </c>
      <c r="X111" s="99">
        <f>X96</f>
        <v>1306</v>
      </c>
      <c r="Y111" s="99">
        <f>T111*X111</f>
        <v>16894416</v>
      </c>
    </row>
    <row r="112" spans="1:27" ht="18.75">
      <c r="A112" s="293" t="s">
        <v>5584</v>
      </c>
      <c r="B112" s="293" t="s">
        <v>4233</v>
      </c>
      <c r="C112" s="295">
        <v>896.4</v>
      </c>
      <c r="D112" s="293">
        <v>70000</v>
      </c>
      <c r="E112" s="291" t="s">
        <v>4382</v>
      </c>
      <c r="F112" s="292">
        <v>10963</v>
      </c>
      <c r="G112" s="300">
        <f>C112*D112*0.99025/(F112*1.0046399)</f>
        <v>5641.6339272996938</v>
      </c>
      <c r="H112" s="302">
        <f>C112/F112</f>
        <v>8.1765939979932492E-2</v>
      </c>
      <c r="I112" s="311">
        <f>F112/C112</f>
        <v>12.230031236055332</v>
      </c>
      <c r="J112" s="99" t="s">
        <v>452</v>
      </c>
      <c r="K112" s="313">
        <f t="shared" si="19"/>
        <v>1.002913236324386</v>
      </c>
      <c r="L112" s="99"/>
      <c r="M112" s="99"/>
      <c r="N112" s="99"/>
      <c r="R112" s="99"/>
      <c r="S112" s="99" t="s">
        <v>5385</v>
      </c>
      <c r="T112" s="99">
        <v>4687</v>
      </c>
      <c r="U112" s="117">
        <v>1911597</v>
      </c>
      <c r="V112" s="117">
        <f>U112/T112</f>
        <v>407.85086409216984</v>
      </c>
      <c r="W112" s="117">
        <f>V112*1.01</f>
        <v>411.92937273309155</v>
      </c>
      <c r="X112" s="99">
        <f>X98</f>
        <v>772.2</v>
      </c>
      <c r="Y112" s="99">
        <f>T112*X112</f>
        <v>3619301.4000000004</v>
      </c>
    </row>
    <row r="113" spans="1:25" ht="18.75">
      <c r="A113" s="293" t="s">
        <v>5584</v>
      </c>
      <c r="B113" s="293" t="s">
        <v>4233</v>
      </c>
      <c r="C113" s="295">
        <v>899.9</v>
      </c>
      <c r="D113" s="293">
        <v>10000</v>
      </c>
      <c r="E113" s="291" t="s">
        <v>4382</v>
      </c>
      <c r="F113" s="292">
        <v>10975</v>
      </c>
      <c r="G113" s="300">
        <f>C113*D113*0.99025/(F113*1.0046399)</f>
        <v>808.20987311451961</v>
      </c>
      <c r="H113" s="302">
        <f>C113/F113</f>
        <v>8.1995444191343955E-2</v>
      </c>
      <c r="I113" s="311">
        <f>F113/C113</f>
        <v>12.195799533281477</v>
      </c>
      <c r="J113" s="99" t="s">
        <v>452</v>
      </c>
      <c r="K113" s="313">
        <f t="shared" si="19"/>
        <v>1.0028068436743685</v>
      </c>
      <c r="L113" s="325">
        <f>SUM(G102:G120)</f>
        <v>62386.187775933329</v>
      </c>
      <c r="M113" s="221" t="s">
        <v>5682</v>
      </c>
      <c r="N113" s="99"/>
      <c r="R113" s="99" t="s">
        <v>5488</v>
      </c>
      <c r="S113" s="99" t="s">
        <v>4547</v>
      </c>
      <c r="T113" s="99">
        <v>0</v>
      </c>
      <c r="U113" s="117">
        <v>180438</v>
      </c>
      <c r="V113" s="117"/>
      <c r="W113" s="117"/>
      <c r="X113" s="99">
        <f>X99</f>
        <v>1500</v>
      </c>
      <c r="Y113" s="95">
        <f>U113</f>
        <v>180438</v>
      </c>
    </row>
    <row r="114" spans="1:25" ht="18.75">
      <c r="A114" s="293" t="s">
        <v>5584</v>
      </c>
      <c r="B114" s="293" t="s">
        <v>4233</v>
      </c>
      <c r="C114" s="295">
        <v>903</v>
      </c>
      <c r="D114" s="293">
        <v>5000</v>
      </c>
      <c r="E114" s="291" t="s">
        <v>4382</v>
      </c>
      <c r="F114" s="292">
        <v>11012</v>
      </c>
      <c r="G114" s="300">
        <f>C114*D114*0.99025/(F114*1.0046399)</f>
        <v>404.13455007133837</v>
      </c>
      <c r="H114" s="302">
        <f>C114/F114</f>
        <v>8.2001452960406826E-2</v>
      </c>
      <c r="I114" s="311">
        <f>F114/C114</f>
        <v>12.194905869324474</v>
      </c>
      <c r="J114" s="99" t="s">
        <v>452</v>
      </c>
      <c r="K114" s="313">
        <f t="shared" si="19"/>
        <v>1.0000732817429325</v>
      </c>
      <c r="L114" s="62">
        <f>SUM(G87:G91)</f>
        <v>3945.4633844235359</v>
      </c>
      <c r="M114" s="62" t="s">
        <v>5683</v>
      </c>
      <c r="N114" s="99"/>
      <c r="R114" s="99"/>
      <c r="S114" s="99"/>
      <c r="T114" s="99"/>
      <c r="U114" s="117"/>
      <c r="V114" s="117"/>
      <c r="W114" s="117"/>
      <c r="X114" s="99"/>
      <c r="Y114" s="99"/>
    </row>
    <row r="115" spans="1:25" ht="27" customHeight="1">
      <c r="A115" s="293" t="s">
        <v>5584</v>
      </c>
      <c r="B115" s="293" t="s">
        <v>4233</v>
      </c>
      <c r="C115" s="295">
        <v>906.8</v>
      </c>
      <c r="D115" s="293">
        <v>130000</v>
      </c>
      <c r="E115" s="291" t="s">
        <v>4382</v>
      </c>
      <c r="F115" s="292">
        <v>10989</v>
      </c>
      <c r="G115" s="300">
        <f t="shared" ref="G115" si="26">C115*D115*0.99025/(F115*1.0046399)</f>
        <v>10573.80066615117</v>
      </c>
      <c r="H115" s="307">
        <f t="shared" ref="H115" si="27">C115/F115</f>
        <v>8.2518882518882508E-2</v>
      </c>
      <c r="I115" s="311">
        <f t="shared" ref="I115" si="28">F115/C115</f>
        <v>12.118438464931629</v>
      </c>
      <c r="J115" s="99" t="s">
        <v>452</v>
      </c>
      <c r="K115" s="313">
        <f>H115/H114</f>
        <v>1.006310004759617</v>
      </c>
      <c r="L115" s="23">
        <f>G96</f>
        <v>15561.232093376331</v>
      </c>
      <c r="M115" s="23" t="s">
        <v>5684</v>
      </c>
      <c r="N115" s="99"/>
      <c r="R115" s="99"/>
      <c r="S115" s="99"/>
      <c r="T115" s="99"/>
      <c r="U115" s="117">
        <v>141800000</v>
      </c>
      <c r="V115" s="117"/>
      <c r="W115" s="117"/>
      <c r="X115" s="99"/>
      <c r="Y115" s="95">
        <f>SUM(Y109:Y113)</f>
        <v>275213831.39999998</v>
      </c>
    </row>
    <row r="116" spans="1:25" ht="19.5">
      <c r="A116" s="293"/>
      <c r="B116" s="293"/>
      <c r="C116" s="295"/>
      <c r="D116" s="293"/>
      <c r="E116" s="291"/>
      <c r="F116" s="292"/>
      <c r="G116" s="300"/>
      <c r="H116" s="307"/>
      <c r="I116" s="311"/>
      <c r="J116" s="99"/>
      <c r="K116" s="313"/>
      <c r="L116" s="99"/>
      <c r="M116" s="99"/>
      <c r="N116" s="99"/>
    </row>
    <row r="117" spans="1:25" ht="19.5">
      <c r="A117" s="293"/>
      <c r="B117" s="293"/>
      <c r="C117" s="295"/>
      <c r="D117" s="293"/>
      <c r="E117" s="291"/>
      <c r="F117" s="292"/>
      <c r="G117" s="300"/>
      <c r="H117" s="307"/>
      <c r="I117" s="311"/>
      <c r="J117" s="99"/>
      <c r="K117" s="313"/>
      <c r="L117" s="99"/>
      <c r="M117" s="99"/>
      <c r="N117" s="99"/>
    </row>
    <row r="118" spans="1:25" ht="19.5">
      <c r="A118" s="293"/>
      <c r="B118" s="293"/>
      <c r="C118" s="295"/>
      <c r="D118" s="293"/>
      <c r="E118" s="291"/>
      <c r="F118" s="292"/>
      <c r="G118" s="300"/>
      <c r="H118" s="307"/>
      <c r="I118" s="311"/>
      <c r="J118" s="99"/>
      <c r="K118" s="313"/>
      <c r="L118" s="99"/>
      <c r="M118" s="99"/>
      <c r="N118" s="99"/>
      <c r="R118" t="s">
        <v>25</v>
      </c>
      <c r="W118" t="s">
        <v>5522</v>
      </c>
      <c r="X118" s="114">
        <f>Y102+Y115-U102-U115</f>
        <v>381694948.39999998</v>
      </c>
    </row>
    <row r="119" spans="1:25" ht="19.5">
      <c r="A119" s="293"/>
      <c r="B119" s="293"/>
      <c r="C119" s="295"/>
      <c r="D119" s="293"/>
      <c r="E119" s="291"/>
      <c r="F119" s="292"/>
      <c r="G119" s="300"/>
      <c r="H119" s="307"/>
      <c r="I119" s="311"/>
      <c r="J119" s="99"/>
      <c r="K119" s="313" t="e">
        <f>H119/#REF!</f>
        <v>#REF!</v>
      </c>
      <c r="L119" s="99"/>
      <c r="M119" s="99"/>
      <c r="N119" s="99"/>
      <c r="R119" t="s">
        <v>25</v>
      </c>
    </row>
    <row r="120" spans="1:25" ht="18.75">
      <c r="A120" s="293"/>
      <c r="B120" s="293"/>
      <c r="C120" s="295"/>
      <c r="D120" s="293"/>
      <c r="E120" s="291"/>
      <c r="F120" s="292"/>
      <c r="G120" s="300"/>
      <c r="H120" s="302"/>
      <c r="I120" s="311"/>
      <c r="J120" s="99"/>
      <c r="K120" s="313" t="e">
        <f t="shared" ref="K120" si="29">H120/H119</f>
        <v>#DIV/0!</v>
      </c>
      <c r="L120" s="99"/>
      <c r="M120" s="99"/>
      <c r="N120" s="99"/>
    </row>
    <row r="121" spans="1:25" ht="15.75">
      <c r="A121" s="293"/>
      <c r="B121" s="293"/>
      <c r="C121" s="295"/>
      <c r="D121" s="293"/>
      <c r="E121" s="291"/>
      <c r="F121" s="292"/>
      <c r="G121" s="300" t="e">
        <f t="shared" ref="G121" si="30">C121*D121*0.99025/(F121*1.0046399)</f>
        <v>#DIV/0!</v>
      </c>
      <c r="H121" s="302" t="e">
        <f t="shared" ref="H121" si="31">C121/F121</f>
        <v>#DIV/0!</v>
      </c>
      <c r="I121" s="311" t="e">
        <f t="shared" ref="I121" si="32">F121/C121</f>
        <v>#DIV/0!</v>
      </c>
      <c r="J121" s="99" t="s">
        <v>452</v>
      </c>
      <c r="K121" s="99" t="s">
        <v>25</v>
      </c>
      <c r="L121" s="99" t="s">
        <v>25</v>
      </c>
      <c r="M121" s="99"/>
      <c r="N121" s="99"/>
    </row>
    <row r="122" spans="1:25">
      <c r="A122" s="306"/>
      <c r="B122" s="306"/>
      <c r="C122" s="306"/>
      <c r="D122" s="306"/>
      <c r="E122" s="306"/>
      <c r="F122" s="306"/>
      <c r="G122" s="306"/>
      <c r="H122" s="306"/>
      <c r="I122" s="306"/>
      <c r="J122" s="318"/>
      <c r="K122" s="318"/>
      <c r="L122" s="319" t="s">
        <v>5572</v>
      </c>
      <c r="M122" s="303"/>
      <c r="N122" s="99"/>
      <c r="R122" t="s">
        <v>25</v>
      </c>
    </row>
    <row r="123" spans="1:25" ht="18.75">
      <c r="A123" s="293" t="s">
        <v>5581</v>
      </c>
      <c r="B123" s="293" t="s">
        <v>4233</v>
      </c>
      <c r="C123" s="321">
        <f>C126</f>
        <v>1306</v>
      </c>
      <c r="D123" s="293">
        <v>1</v>
      </c>
      <c r="E123" s="291" t="s">
        <v>4382</v>
      </c>
      <c r="F123" s="320">
        <f>C127</f>
        <v>16900</v>
      </c>
      <c r="G123" s="293">
        <f>C123*D123*0.99025/(C127*1.0046399)</f>
        <v>7.6171218135387811E-2</v>
      </c>
      <c r="H123" s="294">
        <f>C123/F123</f>
        <v>7.7278106508875746E-2</v>
      </c>
      <c r="I123" s="294">
        <f>F123/C123</f>
        <v>12.940275650842267</v>
      </c>
      <c r="J123" s="99"/>
      <c r="K123" s="314">
        <f>H123/H115</f>
        <v>0.9364899784142432</v>
      </c>
      <c r="L123" s="315">
        <f>(1/K123-1.03)*100</f>
        <v>3.7817086193808747</v>
      </c>
      <c r="M123" s="99">
        <f>H115*1.01</f>
        <v>8.3344071344071333E-2</v>
      </c>
      <c r="N123" s="99">
        <f>1/M123</f>
        <v>11.99845392567488</v>
      </c>
      <c r="R123" t="s">
        <v>25</v>
      </c>
      <c r="S123" t="s">
        <v>25</v>
      </c>
    </row>
    <row r="124" spans="1:25">
      <c r="A124" s="293"/>
      <c r="B124" s="96"/>
      <c r="C124" s="96"/>
      <c r="D124" s="96"/>
      <c r="E124" s="96"/>
      <c r="F124" s="96"/>
      <c r="G124" s="96"/>
      <c r="H124" s="96"/>
      <c r="I124" s="96"/>
      <c r="J124" s="96"/>
      <c r="K124" s="96"/>
      <c r="L124" s="96"/>
      <c r="M124" s="99">
        <f>M123*1.01</f>
        <v>8.4177512057512047E-2</v>
      </c>
      <c r="N124" s="99">
        <f t="shared" ref="N124:N138" si="33">1/M124</f>
        <v>11.879657352153346</v>
      </c>
    </row>
    <row r="125" spans="1:25">
      <c r="A125" s="87"/>
      <c r="B125" s="96"/>
      <c r="C125" s="96"/>
      <c r="D125" s="96"/>
      <c r="E125" s="96"/>
      <c r="F125" s="96"/>
      <c r="G125" s="96"/>
      <c r="H125" s="96"/>
      <c r="I125" s="96"/>
      <c r="J125" s="96"/>
      <c r="K125" s="96"/>
      <c r="L125" s="96"/>
      <c r="M125" s="99">
        <f t="shared" ref="M125:M138" si="34">M124*1.01</f>
        <v>8.5019287178087169E-2</v>
      </c>
      <c r="N125" s="99">
        <f t="shared" si="33"/>
        <v>11.762036982330047</v>
      </c>
    </row>
    <row r="126" spans="1:25" ht="21">
      <c r="C126" s="317">
        <v>1306</v>
      </c>
      <c r="D126" t="s">
        <v>25</v>
      </c>
      <c r="G126" t="s">
        <v>25</v>
      </c>
      <c r="M126" s="99">
        <f t="shared" si="34"/>
        <v>8.5869480049868038E-2</v>
      </c>
      <c r="N126" s="99">
        <f t="shared" si="33"/>
        <v>11.645581170623808</v>
      </c>
    </row>
    <row r="127" spans="1:25" ht="21">
      <c r="C127" s="316">
        <v>16900</v>
      </c>
      <c r="I127" s="96" t="s">
        <v>5650</v>
      </c>
      <c r="J127" t="s">
        <v>25</v>
      </c>
      <c r="M127" s="99">
        <f t="shared" si="34"/>
        <v>8.6728174850366713E-2</v>
      </c>
      <c r="N127" s="99">
        <f t="shared" si="33"/>
        <v>11.530278386756247</v>
      </c>
    </row>
    <row r="128" spans="1:25">
      <c r="C128" s="324">
        <v>15673</v>
      </c>
      <c r="G128" s="96"/>
      <c r="H128" s="96"/>
      <c r="K128" t="s">
        <v>25</v>
      </c>
      <c r="L128" t="s">
        <v>25</v>
      </c>
      <c r="M128" s="99">
        <f t="shared" si="34"/>
        <v>8.7595456598870386E-2</v>
      </c>
      <c r="N128" s="99">
        <f t="shared" si="33"/>
        <v>11.416117214610145</v>
      </c>
    </row>
    <row r="129" spans="2:20">
      <c r="C129" s="96"/>
      <c r="F129" s="329" t="s">
        <v>5590</v>
      </c>
      <c r="G129" s="329"/>
      <c r="H129" s="96"/>
      <c r="J129" t="s">
        <v>25</v>
      </c>
      <c r="M129" s="99">
        <f t="shared" si="34"/>
        <v>8.8471411164859085E-2</v>
      </c>
      <c r="N129" s="99">
        <f t="shared" si="33"/>
        <v>11.303086351099154</v>
      </c>
      <c r="T129" t="s">
        <v>25</v>
      </c>
    </row>
    <row r="130" spans="2:20">
      <c r="C130" s="115"/>
      <c r="D130" s="115"/>
      <c r="E130" s="115"/>
      <c r="F130" s="330" t="s">
        <v>5591</v>
      </c>
      <c r="G130" s="330"/>
      <c r="H130" s="96"/>
      <c r="M130" s="99">
        <f t="shared" si="34"/>
        <v>8.9356125276507672E-2</v>
      </c>
      <c r="N130" s="99">
        <f t="shared" si="33"/>
        <v>11.191174605048667</v>
      </c>
      <c r="R130" t="s">
        <v>25</v>
      </c>
    </row>
    <row r="131" spans="2:20">
      <c r="C131" s="96"/>
      <c r="D131" s="96"/>
      <c r="E131" s="96"/>
      <c r="F131" s="96"/>
      <c r="G131" s="96"/>
      <c r="H131" s="96"/>
      <c r="I131" s="96"/>
      <c r="J131" t="s">
        <v>25</v>
      </c>
      <c r="M131" s="99">
        <f t="shared" si="34"/>
        <v>9.0249686529272746E-2</v>
      </c>
      <c r="N131" s="99">
        <f t="shared" si="33"/>
        <v>11.080370896087789</v>
      </c>
    </row>
    <row r="132" spans="2:20">
      <c r="B132" s="96"/>
      <c r="C132" s="96"/>
      <c r="D132" s="96"/>
      <c r="E132" s="96"/>
      <c r="F132" s="96"/>
      <c r="G132" s="96"/>
      <c r="H132" s="96"/>
      <c r="I132" s="96"/>
      <c r="M132" s="99">
        <f t="shared" si="34"/>
        <v>9.1152183394565475E-2</v>
      </c>
      <c r="N132" s="99">
        <f t="shared" si="33"/>
        <v>10.970664253552266</v>
      </c>
    </row>
    <row r="133" spans="2:20">
      <c r="M133" s="99">
        <f t="shared" si="34"/>
        <v>9.2063705228511136E-2</v>
      </c>
      <c r="N133" s="99">
        <f t="shared" si="33"/>
        <v>10.862043815398284</v>
      </c>
    </row>
    <row r="134" spans="2:20">
      <c r="J134" s="301"/>
      <c r="M134" s="99">
        <f t="shared" si="34"/>
        <v>9.2984342280796245E-2</v>
      </c>
      <c r="N134" s="99">
        <f t="shared" si="33"/>
        <v>10.754498827127014</v>
      </c>
    </row>
    <row r="135" spans="2:20">
      <c r="M135" s="99">
        <f t="shared" si="34"/>
        <v>9.3914185703604214E-2</v>
      </c>
      <c r="N135" s="99">
        <f t="shared" si="33"/>
        <v>10.648018640719815</v>
      </c>
    </row>
    <row r="136" spans="2:20">
      <c r="M136" s="99">
        <f t="shared" si="34"/>
        <v>9.4853327560640258E-2</v>
      </c>
      <c r="N136" s="99">
        <f t="shared" si="33"/>
        <v>10.542592713583975</v>
      </c>
    </row>
    <row r="137" spans="2:20">
      <c r="J137" t="s">
        <v>25</v>
      </c>
      <c r="K137" s="96"/>
      <c r="M137" s="99">
        <f t="shared" si="34"/>
        <v>9.5801860836246658E-2</v>
      </c>
      <c r="N137" s="99">
        <f t="shared" si="33"/>
        <v>10.438210607508886</v>
      </c>
    </row>
    <row r="138" spans="2:20">
      <c r="B138" s="96"/>
      <c r="C138" s="96"/>
      <c r="D138" s="96"/>
      <c r="E138" s="96"/>
      <c r="M138" s="99">
        <f t="shared" si="34"/>
        <v>9.675987944460912E-2</v>
      </c>
      <c r="N138" s="99">
        <f t="shared" si="33"/>
        <v>10.334861987632561</v>
      </c>
    </row>
    <row r="139" spans="2:20">
      <c r="B139" s="96"/>
      <c r="C139" s="96"/>
      <c r="D139" s="96"/>
      <c r="E139" s="96"/>
      <c r="F139" s="122"/>
      <c r="G139" s="122"/>
      <c r="H139" s="96"/>
      <c r="I139" s="96"/>
      <c r="J139" s="96"/>
    </row>
    <row r="140" spans="2:20">
      <c r="B140" s="96"/>
      <c r="C140" s="96"/>
      <c r="D140" s="96"/>
      <c r="E140" s="96"/>
      <c r="H140" s="96"/>
      <c r="I140" s="96"/>
    </row>
    <row r="141" spans="2:20">
      <c r="B141" s="96"/>
      <c r="C141" s="96"/>
      <c r="D141" s="96"/>
      <c r="E141" s="96"/>
      <c r="F141" s="96"/>
      <c r="G141" s="96"/>
      <c r="H141" s="96"/>
      <c r="I141" s="96"/>
      <c r="J141" s="96"/>
      <c r="M141" t="s">
        <v>25</v>
      </c>
    </row>
    <row r="142" spans="2:20">
      <c r="B142" s="96"/>
      <c r="C142" s="96"/>
      <c r="D142" s="96"/>
      <c r="E142" s="96"/>
      <c r="F142" s="96"/>
      <c r="G142" s="96"/>
      <c r="H142" s="96"/>
      <c r="I142" s="96"/>
      <c r="J142" s="96" t="s">
        <v>25</v>
      </c>
    </row>
    <row r="143" spans="2:20">
      <c r="B143" s="96"/>
      <c r="C143" s="96"/>
      <c r="D143" s="96">
        <v>16853</v>
      </c>
      <c r="E143" s="96">
        <v>16300</v>
      </c>
      <c r="F143" s="96"/>
      <c r="G143" s="96"/>
      <c r="I143" s="96"/>
      <c r="J143" s="96"/>
    </row>
    <row r="144" spans="2:20">
      <c r="B144" s="96"/>
      <c r="C144" s="96"/>
      <c r="D144" s="96">
        <v>14920</v>
      </c>
      <c r="E144" s="96">
        <v>15100</v>
      </c>
      <c r="F144" s="96"/>
      <c r="G144" s="96"/>
      <c r="I144" s="96"/>
      <c r="J144" s="96"/>
    </row>
    <row r="145" spans="1:13">
      <c r="B145" s="96"/>
      <c r="C145" s="96"/>
      <c r="D145" s="96">
        <f>D143/D144</f>
        <v>1.1295576407506702</v>
      </c>
      <c r="E145" s="96">
        <f>E143/E144</f>
        <v>1.0794701986754967</v>
      </c>
      <c r="F145" s="96"/>
      <c r="G145" s="96"/>
      <c r="H145" s="96"/>
      <c r="I145" s="96"/>
      <c r="J145" s="96"/>
      <c r="M145" t="s">
        <v>25</v>
      </c>
    </row>
    <row r="146" spans="1:13">
      <c r="B146" s="96"/>
      <c r="C146" s="96"/>
      <c r="D146" s="96"/>
      <c r="E146" s="96"/>
      <c r="F146" s="96"/>
      <c r="G146" s="96"/>
      <c r="H146" s="96"/>
      <c r="I146" s="96"/>
      <c r="J146" s="96"/>
    </row>
    <row r="147" spans="1:13">
      <c r="B147" s="96"/>
      <c r="C147" s="96"/>
      <c r="D147" s="96"/>
      <c r="E147" s="96">
        <f>E145/D145</f>
        <v>0.95565747132489232</v>
      </c>
      <c r="F147" s="96"/>
      <c r="G147" s="96"/>
      <c r="H147" s="96"/>
      <c r="I147" s="96"/>
      <c r="J147" s="96"/>
    </row>
    <row r="148" spans="1:13">
      <c r="B148" s="96"/>
      <c r="C148" s="96"/>
      <c r="D148" s="96"/>
      <c r="E148" s="96"/>
      <c r="F148" s="96"/>
      <c r="I148" s="96"/>
      <c r="J148" s="96"/>
    </row>
    <row r="149" spans="1:13">
      <c r="B149" s="96"/>
      <c r="C149" s="96"/>
      <c r="D149" s="96"/>
      <c r="E149" s="96"/>
      <c r="F149" s="96"/>
      <c r="I149" s="96"/>
      <c r="J149" s="96"/>
    </row>
    <row r="150" spans="1:13">
      <c r="B150" s="96"/>
      <c r="C150" s="96"/>
      <c r="D150" s="96"/>
      <c r="E150" s="96"/>
      <c r="F150" s="96"/>
      <c r="G150" s="96"/>
      <c r="I150" s="96"/>
      <c r="J150" s="96"/>
    </row>
    <row r="151" spans="1:13">
      <c r="B151" s="96"/>
      <c r="C151" s="96"/>
      <c r="D151" s="96"/>
      <c r="E151" s="96"/>
      <c r="F151" s="96"/>
      <c r="I151" s="96"/>
      <c r="J151" s="96"/>
    </row>
    <row r="152" spans="1:13">
      <c r="B152" s="96"/>
      <c r="C152" s="96"/>
      <c r="D152" s="96"/>
      <c r="E152" s="96"/>
      <c r="F152" s="96"/>
      <c r="I152" s="96"/>
      <c r="J152" s="96"/>
    </row>
    <row r="155" spans="1:13">
      <c r="I155" s="114"/>
    </row>
    <row r="156" spans="1:13">
      <c r="G156" s="96"/>
      <c r="H156" s="96"/>
    </row>
    <row r="157" spans="1:13">
      <c r="G157" s="96"/>
      <c r="H157" s="96"/>
    </row>
    <row r="158" spans="1:13">
      <c r="G158" s="96"/>
      <c r="H158" s="96"/>
    </row>
    <row r="159" spans="1:13">
      <c r="A159" s="96"/>
      <c r="B159" s="96"/>
      <c r="C159" s="96"/>
      <c r="D159" s="96"/>
      <c r="E159" s="96"/>
      <c r="F159" s="96"/>
      <c r="G159" s="96"/>
      <c r="H159" s="96"/>
      <c r="I159" s="96"/>
      <c r="J159" s="96"/>
    </row>
    <row r="160" spans="1:13">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A173" s="96"/>
      <c r="B173" s="96"/>
      <c r="C173" s="96"/>
      <c r="D173" s="96"/>
      <c r="E173" s="96"/>
      <c r="F173" s="96"/>
      <c r="G173" s="96"/>
      <c r="H173" s="96"/>
      <c r="I173" s="96"/>
      <c r="J173" s="96"/>
    </row>
    <row r="174" spans="1:10">
      <c r="A174" s="96"/>
      <c r="B174" s="96"/>
      <c r="C174" s="96"/>
      <c r="D174" s="96"/>
      <c r="E174" s="96"/>
      <c r="F174" s="96"/>
      <c r="G174" s="96"/>
      <c r="H174" s="96"/>
      <c r="I174" s="96"/>
      <c r="J174" s="96"/>
    </row>
    <row r="175" spans="1:10">
      <c r="A175" s="96"/>
      <c r="B175" s="96"/>
      <c r="C175" s="96"/>
      <c r="D175" s="96"/>
      <c r="E175" s="96"/>
      <c r="F175" s="96"/>
      <c r="G175" s="96"/>
      <c r="H175" s="96"/>
      <c r="I175" s="96"/>
      <c r="J175" s="96"/>
    </row>
    <row r="176" spans="1:10">
      <c r="H176" t="s">
        <v>25</v>
      </c>
    </row>
    <row r="177" spans="8:9">
      <c r="H177" t="s">
        <v>25</v>
      </c>
    </row>
    <row r="180" spans="8:9">
      <c r="I180" t="s">
        <v>25</v>
      </c>
    </row>
  </sheetData>
  <mergeCells count="2">
    <mergeCell ref="F129:G129"/>
    <mergeCell ref="F130:G130"/>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I338" zoomScale="85" zoomScaleNormal="85" workbookViewId="0">
      <selection activeCell="U365" sqref="U365"/>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4951</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4994</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5029</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5063</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5106</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5109</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5130</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5132</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5138</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5141</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5142</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5144</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5147</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5191</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5199</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5202</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5203</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5206</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4905</v>
      </c>
      <c r="J104" s="196">
        <f>L104-L103-1400000</f>
        <v>-1688384</v>
      </c>
      <c r="K104" s="190" t="s">
        <v>4902</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4904</v>
      </c>
      <c r="L105" s="84">
        <v>724529471</v>
      </c>
      <c r="M105" s="84">
        <v>326836192</v>
      </c>
      <c r="N105" s="220">
        <f t="shared" si="9"/>
        <v>1051365663</v>
      </c>
      <c r="O105" s="113">
        <f t="shared" si="10"/>
        <v>4836192</v>
      </c>
      <c r="P105" s="113">
        <f t="shared" si="11"/>
        <v>13365663</v>
      </c>
      <c r="Q105" s="84">
        <v>0</v>
      </c>
    </row>
    <row r="106" spans="3:20">
      <c r="I106" s="189" t="s">
        <v>4907</v>
      </c>
      <c r="J106" s="188">
        <f>L106-L105-1550000</f>
        <v>16319322</v>
      </c>
      <c r="K106" s="189" t="s">
        <v>4906</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4908</v>
      </c>
      <c r="L107" s="84">
        <v>749984625</v>
      </c>
      <c r="M107" s="84">
        <v>336802679</v>
      </c>
      <c r="N107" s="220">
        <f t="shared" si="9"/>
        <v>1086787304</v>
      </c>
      <c r="O107" s="113">
        <f t="shared" si="10"/>
        <v>3414475</v>
      </c>
      <c r="P107" s="113">
        <f t="shared" si="11"/>
        <v>11000307</v>
      </c>
      <c r="Q107" s="84">
        <v>0</v>
      </c>
    </row>
    <row r="108" spans="3:20">
      <c r="I108" s="189" t="s">
        <v>4911</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4912</v>
      </c>
      <c r="L109" s="84">
        <v>764265377</v>
      </c>
      <c r="M109" s="84">
        <v>346850621</v>
      </c>
      <c r="N109" s="220">
        <f t="shared" si="9"/>
        <v>1111115998</v>
      </c>
      <c r="O109" s="113">
        <f t="shared" si="10"/>
        <v>4016059</v>
      </c>
      <c r="P109" s="113">
        <f t="shared" si="11"/>
        <v>8220984</v>
      </c>
      <c r="Q109" s="84">
        <v>0</v>
      </c>
    </row>
    <row r="110" spans="3:20" ht="30">
      <c r="I110" s="243" t="s">
        <v>4919</v>
      </c>
      <c r="J110" s="244">
        <f>L110-L109+48527480</f>
        <v>-4646184</v>
      </c>
      <c r="K110" s="216" t="s">
        <v>4916</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4921</v>
      </c>
      <c r="L111" s="84">
        <v>723218149</v>
      </c>
      <c r="M111" s="84">
        <v>378192152</v>
      </c>
      <c r="N111" s="113">
        <f t="shared" ref="N111:N122" si="12">L111+M111</f>
        <v>1101410301</v>
      </c>
      <c r="O111" s="113">
        <f t="shared" ref="O111:O144" si="13">M111-M110</f>
        <v>12390034</v>
      </c>
      <c r="P111" s="113">
        <f>N111-N110</f>
        <v>24516470</v>
      </c>
      <c r="Q111" s="84">
        <v>0</v>
      </c>
    </row>
    <row r="112" spans="3:20">
      <c r="I112" s="189" t="s">
        <v>4927</v>
      </c>
      <c r="J112" s="188">
        <f t="shared" si="5"/>
        <v>-11559770</v>
      </c>
      <c r="K112" s="189" t="s">
        <v>4922</v>
      </c>
      <c r="L112" s="237">
        <v>711658379</v>
      </c>
      <c r="M112" s="237">
        <v>375825031</v>
      </c>
      <c r="N112" s="188">
        <f t="shared" si="12"/>
        <v>1087483410</v>
      </c>
      <c r="O112" s="188">
        <f>M112-M111-400000</f>
        <v>-2767121</v>
      </c>
      <c r="P112" s="188">
        <f>N112-N111-400000</f>
        <v>-14326891</v>
      </c>
      <c r="Q112" s="84">
        <v>400000</v>
      </c>
      <c r="T112" t="s">
        <v>25</v>
      </c>
    </row>
    <row r="113" spans="9:19">
      <c r="I113" s="213" t="s">
        <v>4930</v>
      </c>
      <c r="J113" s="113">
        <f t="shared" si="5"/>
        <v>-47970668</v>
      </c>
      <c r="K113" s="213" t="s">
        <v>4929</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4932</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4933</v>
      </c>
      <c r="L115" s="84">
        <v>673546379</v>
      </c>
      <c r="M115" s="84">
        <v>385390359</v>
      </c>
      <c r="N115" s="113">
        <f t="shared" si="12"/>
        <v>1058936738</v>
      </c>
      <c r="O115" s="113">
        <f t="shared" si="13"/>
        <v>4912397</v>
      </c>
      <c r="P115" s="113">
        <f>N115-N114</f>
        <v>5263899</v>
      </c>
      <c r="Q115" s="84">
        <v>0</v>
      </c>
    </row>
    <row r="116" spans="9:19">
      <c r="I116" s="189" t="s">
        <v>4936</v>
      </c>
      <c r="J116" s="188">
        <f t="shared" si="5"/>
        <v>-3653734</v>
      </c>
      <c r="K116" s="189" t="s">
        <v>4934</v>
      </c>
      <c r="L116" s="237">
        <v>669892645</v>
      </c>
      <c r="M116" s="237">
        <v>383350206</v>
      </c>
      <c r="N116" s="188">
        <f>L116+M116</f>
        <v>1053242851</v>
      </c>
      <c r="O116" s="188">
        <f>M116-M115-2000000</f>
        <v>-4040153</v>
      </c>
      <c r="P116" s="188">
        <f>N116-N115-2000000</f>
        <v>-7693887</v>
      </c>
      <c r="Q116" s="84">
        <v>2000000</v>
      </c>
    </row>
    <row r="117" spans="9:19">
      <c r="I117" s="189" t="s">
        <v>4939</v>
      </c>
      <c r="J117" s="188">
        <f t="shared" si="5"/>
        <v>-492645</v>
      </c>
      <c r="K117" s="189" t="s">
        <v>4937</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4940</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4941</v>
      </c>
      <c r="L119" s="84">
        <v>685000000</v>
      </c>
      <c r="M119" s="84">
        <v>395000000</v>
      </c>
      <c r="N119" s="113">
        <f t="shared" si="12"/>
        <v>1080000000</v>
      </c>
      <c r="O119" s="113">
        <f t="shared" si="13"/>
        <v>2295548</v>
      </c>
      <c r="P119" s="113">
        <f>N119-N118</f>
        <v>10130487</v>
      </c>
      <c r="Q119" s="84">
        <v>0</v>
      </c>
    </row>
    <row r="120" spans="9:19">
      <c r="I120" s="189" t="s">
        <v>4944</v>
      </c>
      <c r="J120" s="188">
        <f>L120-L119-2100000</f>
        <v>2603523</v>
      </c>
      <c r="K120" s="189" t="s">
        <v>4943</v>
      </c>
      <c r="L120" s="237">
        <v>689703523</v>
      </c>
      <c r="M120" s="237">
        <v>399879880</v>
      </c>
      <c r="N120" s="188">
        <f t="shared" si="12"/>
        <v>1089583403</v>
      </c>
      <c r="O120" s="188">
        <f t="shared" si="13"/>
        <v>4879880</v>
      </c>
      <c r="P120" s="188">
        <f>N120-N119-2100000</f>
        <v>7483403</v>
      </c>
      <c r="Q120" s="84">
        <v>2100000</v>
      </c>
    </row>
    <row r="121" spans="9:19">
      <c r="I121" s="189" t="s">
        <v>4947</v>
      </c>
      <c r="J121" s="188">
        <f>L121-L120-100000</f>
        <v>1223636</v>
      </c>
      <c r="K121" s="189" t="s">
        <v>4946</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4949</v>
      </c>
      <c r="L122" s="84">
        <v>687768941</v>
      </c>
      <c r="M122" s="84">
        <v>400952125</v>
      </c>
      <c r="N122" s="113">
        <f t="shared" si="12"/>
        <v>1088721066</v>
      </c>
      <c r="O122" s="113">
        <f t="shared" si="13"/>
        <v>-968588</v>
      </c>
      <c r="P122" s="113">
        <f>N122-N121</f>
        <v>-4226806</v>
      </c>
      <c r="Q122" s="229">
        <v>0</v>
      </c>
    </row>
    <row r="123" spans="9:19">
      <c r="I123" s="189" t="s">
        <v>4955</v>
      </c>
      <c r="J123" s="188">
        <f>L123-L122-115000</f>
        <v>-1004989</v>
      </c>
      <c r="K123" s="189" t="s">
        <v>4951</v>
      </c>
      <c r="L123" s="237">
        <v>686878952</v>
      </c>
      <c r="M123" s="237">
        <v>402566982</v>
      </c>
      <c r="N123" s="188">
        <f>L123+M123</f>
        <v>1089445934</v>
      </c>
      <c r="O123" s="188">
        <f>M123-M122-115000</f>
        <v>1499857</v>
      </c>
      <c r="P123" s="188">
        <f>N123-N122-230000</f>
        <v>494868</v>
      </c>
      <c r="Q123" s="229">
        <v>230000</v>
      </c>
    </row>
    <row r="124" spans="9:19">
      <c r="I124" s="189" t="s">
        <v>4958</v>
      </c>
      <c r="J124" s="188">
        <f>L124-L123-900000</f>
        <v>16455514</v>
      </c>
      <c r="K124" s="189" t="s">
        <v>4957</v>
      </c>
      <c r="L124" s="237">
        <v>704234466</v>
      </c>
      <c r="M124" s="237">
        <v>413359717</v>
      </c>
      <c r="N124" s="220">
        <f t="shared" ref="N124:N145" si="14">L124+M124</f>
        <v>1117594183</v>
      </c>
      <c r="O124" s="188">
        <f t="shared" si="13"/>
        <v>10792735</v>
      </c>
      <c r="P124" s="188">
        <f>N124-N123-900000</f>
        <v>27248249</v>
      </c>
      <c r="Q124" s="229">
        <v>900000</v>
      </c>
    </row>
    <row r="125" spans="9:19">
      <c r="I125" s="189" t="s">
        <v>4961</v>
      </c>
      <c r="J125" s="188">
        <f>L125-L124-241774</f>
        <v>7847987</v>
      </c>
      <c r="K125" s="189" t="s">
        <v>4959</v>
      </c>
      <c r="L125" s="237">
        <v>712324227</v>
      </c>
      <c r="M125" s="237">
        <v>416450606</v>
      </c>
      <c r="N125" s="220">
        <f>L125+M125</f>
        <v>1128774833</v>
      </c>
      <c r="O125" s="188">
        <f>M125-M124-50000</f>
        <v>3040889</v>
      </c>
      <c r="P125" s="188">
        <f>N125-N124-291774</f>
        <v>10888876</v>
      </c>
      <c r="Q125" s="229">
        <v>291774</v>
      </c>
    </row>
    <row r="126" spans="9:19">
      <c r="I126" s="189" t="s">
        <v>4970</v>
      </c>
      <c r="J126" s="188">
        <f>L126-L125-5701774</f>
        <v>-18426154</v>
      </c>
      <c r="K126" s="189" t="s">
        <v>4969</v>
      </c>
      <c r="L126" s="237">
        <v>699599847</v>
      </c>
      <c r="M126" s="237">
        <v>407446033</v>
      </c>
      <c r="N126" s="188">
        <f t="shared" si="14"/>
        <v>1107045880</v>
      </c>
      <c r="O126" s="188">
        <f>M126-M125-50000</f>
        <v>-9054573</v>
      </c>
      <c r="P126" s="188">
        <f>N126-N125-5751774</f>
        <v>-27480727</v>
      </c>
      <c r="Q126" s="229">
        <v>5751774</v>
      </c>
    </row>
    <row r="127" spans="9:19">
      <c r="I127" s="246" t="s">
        <v>4975</v>
      </c>
      <c r="J127" s="247">
        <f t="shared" si="5"/>
        <v>9831878</v>
      </c>
      <c r="K127" s="246" t="s">
        <v>4971</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4976</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4977</v>
      </c>
      <c r="L129" s="250">
        <v>716306417</v>
      </c>
      <c r="M129" s="250">
        <v>419768145</v>
      </c>
      <c r="N129" s="220">
        <f>L129+M129</f>
        <v>1136074562</v>
      </c>
      <c r="O129" s="117">
        <f>M129-M128</f>
        <v>2907177</v>
      </c>
      <c r="P129" s="117">
        <f>N129-N128</f>
        <v>6569162</v>
      </c>
      <c r="Q129" s="229">
        <v>0</v>
      </c>
    </row>
    <row r="130" spans="9:30">
      <c r="I130" s="189" t="s">
        <v>4981</v>
      </c>
      <c r="J130" s="188">
        <f t="shared" si="5"/>
        <v>-9284823</v>
      </c>
      <c r="K130" s="189" t="s">
        <v>4979</v>
      </c>
      <c r="L130" s="237">
        <v>707021594</v>
      </c>
      <c r="M130" s="237">
        <v>420305454</v>
      </c>
      <c r="N130" s="188">
        <f t="shared" si="14"/>
        <v>1127327048</v>
      </c>
      <c r="O130" s="188">
        <f>M130-M129-6800000</f>
        <v>-6262691</v>
      </c>
      <c r="P130" s="188">
        <f>N130-N129-6800000</f>
        <v>-15547514</v>
      </c>
      <c r="Q130" s="229">
        <v>6800000</v>
      </c>
      <c r="S130" t="s">
        <v>25</v>
      </c>
    </row>
    <row r="131" spans="9:30">
      <c r="I131" s="189" t="s">
        <v>4987</v>
      </c>
      <c r="J131" s="188">
        <f t="shared" si="5"/>
        <v>2112595</v>
      </c>
      <c r="K131" s="189" t="s">
        <v>4982</v>
      </c>
      <c r="L131" s="237">
        <v>709134189</v>
      </c>
      <c r="M131" s="237">
        <v>421097153</v>
      </c>
      <c r="N131" s="188">
        <f t="shared" si="14"/>
        <v>1130231342</v>
      </c>
      <c r="O131" s="188">
        <f>M131-M130-500000</f>
        <v>291699</v>
      </c>
      <c r="P131" s="188">
        <f>N131-N130-500000</f>
        <v>2404294</v>
      </c>
      <c r="Q131" s="229">
        <v>500000</v>
      </c>
      <c r="S131" t="s">
        <v>25</v>
      </c>
    </row>
    <row r="132" spans="9:30">
      <c r="I132" s="246" t="s">
        <v>4990</v>
      </c>
      <c r="J132" s="247">
        <f t="shared" si="5"/>
        <v>1064287</v>
      </c>
      <c r="K132" s="246" t="s">
        <v>4988</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4994</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4995</v>
      </c>
      <c r="L134" s="84">
        <v>744280570</v>
      </c>
      <c r="M134" s="84">
        <v>440002399</v>
      </c>
      <c r="N134" s="220">
        <f t="shared" si="14"/>
        <v>1184282969</v>
      </c>
      <c r="O134" s="113">
        <f t="shared" si="13"/>
        <v>10396274</v>
      </c>
      <c r="P134" s="113">
        <f>N134-N133</f>
        <v>31854556</v>
      </c>
      <c r="Q134" s="229">
        <v>0</v>
      </c>
    </row>
    <row r="135" spans="9:30">
      <c r="I135" s="189" t="s">
        <v>5009</v>
      </c>
      <c r="J135" s="188">
        <f>L135-L134-1130250</f>
        <v>-410820</v>
      </c>
      <c r="K135" s="189" t="s">
        <v>4997</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5000</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5003</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5005</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5008</v>
      </c>
      <c r="J139" s="188">
        <f>L139-L138-206000</f>
        <v>15013287</v>
      </c>
      <c r="K139" s="189" t="s">
        <v>5007</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5013</v>
      </c>
      <c r="J140" s="247">
        <f>L140-L139-50000</f>
        <v>22852739</v>
      </c>
      <c r="K140" s="246" t="s">
        <v>5012</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5015</v>
      </c>
      <c r="L141" s="84">
        <v>788064769</v>
      </c>
      <c r="M141" s="84">
        <v>470434493</v>
      </c>
      <c r="N141" s="220">
        <f t="shared" si="14"/>
        <v>1258499262</v>
      </c>
      <c r="O141" s="113">
        <f t="shared" si="13"/>
        <v>9638295</v>
      </c>
      <c r="P141" s="113">
        <f>N141-N140</f>
        <v>23253284</v>
      </c>
      <c r="Q141" s="229">
        <v>0</v>
      </c>
    </row>
    <row r="142" spans="9:30">
      <c r="I142" s="189" t="s">
        <v>5018</v>
      </c>
      <c r="J142" s="188">
        <f>L142-L141-105000</f>
        <v>7274368</v>
      </c>
      <c r="K142" s="189" t="s">
        <v>5016</v>
      </c>
      <c r="L142" s="237">
        <v>795444137</v>
      </c>
      <c r="M142" s="237">
        <v>496046411</v>
      </c>
      <c r="N142" s="220">
        <f t="shared" si="14"/>
        <v>1291490548</v>
      </c>
      <c r="O142" s="188">
        <f>M142-M141-20000000</f>
        <v>5611918</v>
      </c>
      <c r="P142" s="188">
        <f>N142-N141-20105000</f>
        <v>12886286</v>
      </c>
      <c r="Q142" s="229">
        <v>20105000</v>
      </c>
    </row>
    <row r="143" spans="9:30">
      <c r="I143" s="260" t="s">
        <v>5024</v>
      </c>
      <c r="J143" s="261">
        <f>L143-L142+21285588</f>
        <v>17942685</v>
      </c>
      <c r="K143" s="260" t="s">
        <v>5020</v>
      </c>
      <c r="L143" s="262">
        <v>792101234</v>
      </c>
      <c r="M143" s="262">
        <v>504721695</v>
      </c>
      <c r="N143" s="220">
        <f t="shared" si="14"/>
        <v>1296822929</v>
      </c>
      <c r="O143" s="261">
        <f t="shared" si="13"/>
        <v>8675284</v>
      </c>
      <c r="P143" s="261">
        <f>N143-N142+21285588</f>
        <v>26617969</v>
      </c>
      <c r="Q143" s="229">
        <v>-21285588</v>
      </c>
    </row>
    <row r="144" spans="9:30">
      <c r="I144" s="260" t="s">
        <v>5025</v>
      </c>
      <c r="J144" s="261">
        <f>L144-L143+5949277</f>
        <v>6616903</v>
      </c>
      <c r="K144" s="260" t="s">
        <v>5021</v>
      </c>
      <c r="L144" s="262">
        <v>792768860</v>
      </c>
      <c r="M144" s="262">
        <v>507955566</v>
      </c>
      <c r="N144" s="220">
        <f t="shared" si="14"/>
        <v>1300724426</v>
      </c>
      <c r="O144" s="261">
        <f t="shared" si="13"/>
        <v>3233871</v>
      </c>
      <c r="P144" s="261">
        <f>N144-N143+5949277</f>
        <v>9850774</v>
      </c>
      <c r="Q144" s="229">
        <v>-5949277</v>
      </c>
    </row>
    <row r="145" spans="9:23" ht="30">
      <c r="I145" s="243" t="s">
        <v>5026</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5028</v>
      </c>
      <c r="J146" s="220">
        <f>L146-L145+15482124</f>
        <v>-6662026</v>
      </c>
      <c r="K146" s="219" t="s">
        <v>5027</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5029</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5030</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5031</v>
      </c>
      <c r="L149" s="84">
        <v>740819252</v>
      </c>
      <c r="M149" s="84">
        <v>470305993</v>
      </c>
      <c r="N149" s="113">
        <f t="shared" si="15"/>
        <v>1211125245</v>
      </c>
      <c r="O149" s="113">
        <f t="shared" si="17"/>
        <v>-1758760</v>
      </c>
      <c r="P149" s="113">
        <f t="shared" si="18"/>
        <v>-3863586</v>
      </c>
      <c r="Q149" s="229">
        <v>0</v>
      </c>
      <c r="V149" t="s">
        <v>25</v>
      </c>
    </row>
    <row r="150" spans="9:23">
      <c r="I150" s="189" t="s">
        <v>5034</v>
      </c>
      <c r="J150" s="188">
        <f t="shared" si="16"/>
        <v>19640187</v>
      </c>
      <c r="K150" s="189" t="s">
        <v>5033</v>
      </c>
      <c r="L150" s="237">
        <v>760459439</v>
      </c>
      <c r="M150" s="237">
        <v>480341526</v>
      </c>
      <c r="N150" s="188">
        <f t="shared" si="15"/>
        <v>1240800965</v>
      </c>
      <c r="O150" s="188">
        <f>M150-M149-2480000</f>
        <v>7555533</v>
      </c>
      <c r="P150" s="188">
        <f>N150-N149-2480000</f>
        <v>27195720</v>
      </c>
      <c r="Q150" s="229">
        <v>2480000</v>
      </c>
    </row>
    <row r="151" spans="9:23">
      <c r="I151" s="213" t="s">
        <v>5037</v>
      </c>
      <c r="J151" s="113">
        <f>L151-L150-10000000</f>
        <v>7047541</v>
      </c>
      <c r="K151" s="213" t="s">
        <v>5036</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5038</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5041</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5042</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5039</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5043</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5044</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5040</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5055</v>
      </c>
      <c r="J160" s="188">
        <f>L160-L159-1000000</f>
        <v>-11757327</v>
      </c>
      <c r="K160" s="189" t="s">
        <v>5054</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5056</v>
      </c>
      <c r="L161" s="84">
        <v>809787758</v>
      </c>
      <c r="M161" s="84">
        <v>508573621</v>
      </c>
      <c r="N161" s="113">
        <f t="shared" si="15"/>
        <v>1318361379</v>
      </c>
      <c r="O161" s="113">
        <f t="shared" si="19"/>
        <v>8266116</v>
      </c>
      <c r="P161" s="113">
        <f t="shared" si="20"/>
        <v>23567917</v>
      </c>
    </row>
    <row r="162" spans="9:18">
      <c r="I162" s="246" t="s">
        <v>5058</v>
      </c>
      <c r="J162" s="247">
        <f>L162-L161-40000</f>
        <v>22492792</v>
      </c>
      <c r="K162" s="246" t="s">
        <v>5057</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5060</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5067</v>
      </c>
      <c r="L164" s="84">
        <v>839851298</v>
      </c>
      <c r="M164" s="84">
        <v>524867809</v>
      </c>
      <c r="N164" s="113">
        <f t="shared" si="15"/>
        <v>1364719107</v>
      </c>
      <c r="O164" s="113">
        <f t="shared" si="19"/>
        <v>-5011363</v>
      </c>
      <c r="P164" s="113">
        <f t="shared" si="20"/>
        <v>-14640971</v>
      </c>
      <c r="Q164" s="229">
        <v>0</v>
      </c>
    </row>
    <row r="165" spans="9:18">
      <c r="I165" s="246" t="s">
        <v>5069</v>
      </c>
      <c r="J165" s="247">
        <f>L165-L164-120000</f>
        <v>-2216696</v>
      </c>
      <c r="K165" s="246" t="s">
        <v>5068</v>
      </c>
      <c r="L165" s="248">
        <v>837754602</v>
      </c>
      <c r="M165" s="248">
        <v>524141818</v>
      </c>
      <c r="N165" s="247">
        <f t="shared" si="15"/>
        <v>1361896420</v>
      </c>
      <c r="O165" s="247">
        <f>M165-M164-200000</f>
        <v>-925991</v>
      </c>
      <c r="P165" s="247">
        <f>N165-N164-320000</f>
        <v>-3142687</v>
      </c>
      <c r="Q165" s="229">
        <v>320000</v>
      </c>
    </row>
    <row r="166" spans="9:18">
      <c r="I166" s="246" t="s">
        <v>4987</v>
      </c>
      <c r="J166" s="247">
        <f t="shared" si="16"/>
        <v>-5830761</v>
      </c>
      <c r="K166" s="246" t="s">
        <v>5072</v>
      </c>
      <c r="L166" s="248">
        <v>831923841</v>
      </c>
      <c r="M166" s="248">
        <v>520741895</v>
      </c>
      <c r="N166" s="247">
        <f t="shared" si="15"/>
        <v>1352665736</v>
      </c>
      <c r="O166" s="247">
        <f>M166-M165-500000</f>
        <v>-3899923</v>
      </c>
      <c r="P166" s="247">
        <f>N166-N165-500000</f>
        <v>-9730684</v>
      </c>
      <c r="Q166" s="229">
        <v>500000</v>
      </c>
    </row>
    <row r="167" spans="9:18">
      <c r="I167" s="246" t="s">
        <v>4987</v>
      </c>
      <c r="J167" s="247">
        <f t="shared" si="16"/>
        <v>-22467551</v>
      </c>
      <c r="K167" s="246" t="s">
        <v>5074</v>
      </c>
      <c r="L167" s="248">
        <v>809456290</v>
      </c>
      <c r="M167" s="248">
        <v>509313372</v>
      </c>
      <c r="N167" s="247">
        <f t="shared" si="15"/>
        <v>1318769662</v>
      </c>
      <c r="O167" s="247">
        <f>M167-M166-500000</f>
        <v>-11928523</v>
      </c>
      <c r="P167" s="247">
        <f>N167-N166-500000</f>
        <v>-34396074</v>
      </c>
      <c r="Q167" s="229">
        <v>500000</v>
      </c>
    </row>
    <row r="168" spans="9:18">
      <c r="I168" s="246" t="s">
        <v>5075</v>
      </c>
      <c r="J168" s="247">
        <f>L168-L167-249000</f>
        <v>-15588738</v>
      </c>
      <c r="K168" s="246" t="s">
        <v>5062</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5076</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5079</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5087</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5088</v>
      </c>
      <c r="L173" s="84">
        <v>802082154</v>
      </c>
      <c r="M173" s="84">
        <v>508611485</v>
      </c>
      <c r="N173" s="113">
        <f t="shared" si="15"/>
        <v>1310693639</v>
      </c>
      <c r="O173" s="113">
        <f t="shared" si="19"/>
        <v>-117320</v>
      </c>
      <c r="P173" s="113">
        <f t="shared" si="20"/>
        <v>-4323075</v>
      </c>
      <c r="Q173" s="229">
        <v>0</v>
      </c>
      <c r="R173" t="s">
        <v>25</v>
      </c>
    </row>
    <row r="174" spans="9:18">
      <c r="I174" s="246" t="s">
        <v>5091</v>
      </c>
      <c r="J174" s="247">
        <f>L174-L173-65000</f>
        <v>5888390</v>
      </c>
      <c r="K174" s="246" t="s">
        <v>5090</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5097</v>
      </c>
      <c r="J176" s="244">
        <f>L176-L175+305807</f>
        <v>8668560</v>
      </c>
      <c r="K176" s="216" t="s">
        <v>5095</v>
      </c>
      <c r="L176" s="245">
        <v>816745622</v>
      </c>
      <c r="M176" s="245">
        <v>516127148</v>
      </c>
      <c r="N176" s="244">
        <f t="shared" si="15"/>
        <v>1332872770</v>
      </c>
      <c r="O176" s="244">
        <f>M176-M175+305807</f>
        <v>3691986</v>
      </c>
      <c r="P176" s="244">
        <f>N176-N175+611614</f>
        <v>12360546</v>
      </c>
      <c r="Q176" s="229">
        <v>-611614</v>
      </c>
    </row>
    <row r="177" spans="9:17">
      <c r="I177" s="152" t="s">
        <v>5098</v>
      </c>
      <c r="J177" s="244">
        <f>L177-L176+63348</f>
        <v>4837676</v>
      </c>
      <c r="K177" s="216" t="s">
        <v>5096</v>
      </c>
      <c r="L177" s="245">
        <v>821519950</v>
      </c>
      <c r="M177" s="245">
        <v>505943649</v>
      </c>
      <c r="N177" s="244">
        <f t="shared" si="15"/>
        <v>1327463599</v>
      </c>
      <c r="O177" s="244">
        <f>M177-M176+13076601</f>
        <v>2893102</v>
      </c>
      <c r="P177" s="244">
        <f>N177-N176+13139949</f>
        <v>7730778</v>
      </c>
      <c r="Q177" s="229">
        <v>-13139949</v>
      </c>
    </row>
    <row r="178" spans="9:17">
      <c r="I178" s="267" t="s">
        <v>5101</v>
      </c>
      <c r="J178" s="268">
        <f>L178-L177-50000</f>
        <v>30757186</v>
      </c>
      <c r="K178" s="267" t="s">
        <v>5100</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5063</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5106</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5109</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5110</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5115</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5116</v>
      </c>
      <c r="L184" s="84">
        <v>904707054</v>
      </c>
      <c r="M184" s="84">
        <v>557394961</v>
      </c>
      <c r="N184" s="113">
        <f t="shared" si="15"/>
        <v>1462102015</v>
      </c>
      <c r="O184" s="113">
        <f t="shared" si="19"/>
        <v>-6711498</v>
      </c>
      <c r="P184" s="113">
        <f t="shared" si="20"/>
        <v>-18369320</v>
      </c>
      <c r="Q184" s="229">
        <v>0</v>
      </c>
    </row>
    <row r="185" spans="9:17">
      <c r="I185" s="189" t="s">
        <v>5119</v>
      </c>
      <c r="J185" s="188">
        <f>L185-L184-200000</f>
        <v>15983884</v>
      </c>
      <c r="K185" s="189" t="s">
        <v>5117</v>
      </c>
      <c r="L185" s="237">
        <v>920890938</v>
      </c>
      <c r="M185" s="237">
        <v>566042468</v>
      </c>
      <c r="N185" s="188">
        <f t="shared" si="15"/>
        <v>1486933406</v>
      </c>
      <c r="O185" s="188">
        <f t="shared" si="19"/>
        <v>8647507</v>
      </c>
      <c r="P185" s="188">
        <f>N185-N184-200000</f>
        <v>24631391</v>
      </c>
      <c r="Q185" s="229">
        <v>200000</v>
      </c>
    </row>
    <row r="186" spans="9:17">
      <c r="I186" s="189" t="s">
        <v>5126</v>
      </c>
      <c r="J186" s="188">
        <f>L186-L185-30000</f>
        <v>1392982</v>
      </c>
      <c r="K186" s="189" t="s">
        <v>5120</v>
      </c>
      <c r="L186" s="237">
        <v>922313920</v>
      </c>
      <c r="M186" s="237">
        <v>567221668</v>
      </c>
      <c r="N186" s="188">
        <f t="shared" si="15"/>
        <v>1489535588</v>
      </c>
      <c r="O186" s="188">
        <f t="shared" si="19"/>
        <v>1179200</v>
      </c>
      <c r="P186" s="188">
        <f>N186-N185-30000</f>
        <v>2572182</v>
      </c>
      <c r="Q186" s="229">
        <v>30000</v>
      </c>
    </row>
    <row r="187" spans="9:17">
      <c r="I187" s="213" t="s">
        <v>5131</v>
      </c>
      <c r="J187" s="113">
        <f t="shared" si="16"/>
        <v>-1865454</v>
      </c>
      <c r="K187" s="213" t="s">
        <v>5130</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5132</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5078</v>
      </c>
      <c r="L189" s="84">
        <v>951067529</v>
      </c>
      <c r="M189" s="84">
        <v>596275041</v>
      </c>
      <c r="N189" s="220">
        <f t="shared" si="15"/>
        <v>1547342570</v>
      </c>
      <c r="O189" s="113">
        <f t="shared" si="19"/>
        <v>8603623</v>
      </c>
      <c r="P189" s="113">
        <f t="shared" si="20"/>
        <v>26700407</v>
      </c>
      <c r="Q189" s="229">
        <v>0</v>
      </c>
    </row>
    <row r="190" spans="9:17" ht="30">
      <c r="I190" s="266" t="s">
        <v>5139</v>
      </c>
      <c r="J190" s="188">
        <f>L190-L189+4000000</f>
        <v>-1393565</v>
      </c>
      <c r="K190" s="189" t="s">
        <v>5138</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5141</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5142</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5144</v>
      </c>
      <c r="L194" s="250">
        <v>901275329</v>
      </c>
      <c r="M194" s="250">
        <v>583098793</v>
      </c>
      <c r="N194" s="117">
        <f>L194+M194</f>
        <v>1484374122</v>
      </c>
      <c r="O194" s="117">
        <f t="shared" si="19"/>
        <v>-3486217</v>
      </c>
      <c r="P194" s="117">
        <f>N194-N193</f>
        <v>-18861608</v>
      </c>
      <c r="Q194" s="229">
        <v>0</v>
      </c>
    </row>
    <row r="195" spans="9:17">
      <c r="I195" s="189" t="s">
        <v>5149</v>
      </c>
      <c r="J195" s="188">
        <f>L195-L194-150000</f>
        <v>17593478</v>
      </c>
      <c r="K195" s="189" t="s">
        <v>5147</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5150</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5151</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5156</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5181</v>
      </c>
      <c r="L199" s="84">
        <v>992076311</v>
      </c>
      <c r="M199" s="84">
        <v>638214788</v>
      </c>
      <c r="N199" s="220">
        <f t="shared" si="15"/>
        <v>1630291099</v>
      </c>
      <c r="O199" s="113">
        <f t="shared" si="19"/>
        <v>470124</v>
      </c>
      <c r="P199" s="113">
        <f t="shared" si="20"/>
        <v>12547575</v>
      </c>
      <c r="Q199" s="229">
        <v>0</v>
      </c>
    </row>
    <row r="200" spans="9:17">
      <c r="I200" s="189" t="s">
        <v>5186</v>
      </c>
      <c r="J200" s="188">
        <f>L200-L199-400000</f>
        <v>-7612896</v>
      </c>
      <c r="K200" s="189" t="s">
        <v>5183</v>
      </c>
      <c r="L200" s="237">
        <v>984863415</v>
      </c>
      <c r="M200" s="237">
        <v>632226484</v>
      </c>
      <c r="N200" s="188">
        <f t="shared" si="15"/>
        <v>1617089899</v>
      </c>
      <c r="O200" s="188">
        <f t="shared" si="19"/>
        <v>-5988304</v>
      </c>
      <c r="P200" s="188">
        <f>N200-N199-400000</f>
        <v>-13601200</v>
      </c>
      <c r="Q200" s="229">
        <v>400000</v>
      </c>
    </row>
    <row r="201" spans="9:17">
      <c r="I201" s="216" t="s">
        <v>5189</v>
      </c>
      <c r="J201" s="244">
        <f>L201-L200+100000</f>
        <v>12509920</v>
      </c>
      <c r="K201" s="216" t="s">
        <v>5187</v>
      </c>
      <c r="L201" s="245">
        <v>997273335</v>
      </c>
      <c r="M201" s="245">
        <v>639479822</v>
      </c>
      <c r="N201" s="220">
        <f t="shared" si="15"/>
        <v>1636753157</v>
      </c>
      <c r="O201" s="244">
        <f t="shared" si="19"/>
        <v>7253338</v>
      </c>
      <c r="P201" s="244">
        <f>N201-N200+100000</f>
        <v>19763258</v>
      </c>
      <c r="Q201" s="229">
        <v>-100000</v>
      </c>
    </row>
    <row r="202" spans="9:17">
      <c r="I202" s="189" t="s">
        <v>5192</v>
      </c>
      <c r="J202" s="188">
        <f>L202-L201-10000000</f>
        <v>-2265988</v>
      </c>
      <c r="K202" s="189" t="s">
        <v>5191</v>
      </c>
      <c r="L202" s="237">
        <v>1005007347</v>
      </c>
      <c r="M202" s="237">
        <v>636084938</v>
      </c>
      <c r="N202" s="188">
        <f t="shared" si="15"/>
        <v>1641092285</v>
      </c>
      <c r="O202" s="188">
        <f t="shared" si="19"/>
        <v>-3394884</v>
      </c>
      <c r="P202" s="188">
        <f>N202-N201-10000000</f>
        <v>-5660872</v>
      </c>
      <c r="Q202" s="229">
        <v>10000000</v>
      </c>
    </row>
    <row r="203" spans="9:17">
      <c r="I203" s="216" t="s">
        <v>5197</v>
      </c>
      <c r="J203" s="244">
        <f>L203-L202+400000</f>
        <v>8061336</v>
      </c>
      <c r="K203" s="216" t="s">
        <v>5196</v>
      </c>
      <c r="L203" s="245">
        <v>1012668683</v>
      </c>
      <c r="M203" s="245">
        <v>641491326</v>
      </c>
      <c r="N203" s="220">
        <f t="shared" si="15"/>
        <v>1654160009</v>
      </c>
      <c r="O203" s="244">
        <f t="shared" si="19"/>
        <v>5406388</v>
      </c>
      <c r="P203" s="244">
        <f>N203-N202+400000</f>
        <v>13467724</v>
      </c>
      <c r="Q203" s="229">
        <v>-400000</v>
      </c>
    </row>
    <row r="204" spans="9:17">
      <c r="I204" s="216" t="s">
        <v>5198</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5199</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5202</v>
      </c>
      <c r="L206" s="84">
        <v>991102717</v>
      </c>
      <c r="M206" s="84">
        <v>623731041</v>
      </c>
      <c r="N206" s="113">
        <f t="shared" si="22"/>
        <v>1614833758</v>
      </c>
      <c r="O206" s="113">
        <f>M206-M205</f>
        <v>-2790917</v>
      </c>
      <c r="P206" s="113">
        <f>N206-N205</f>
        <v>-6391417</v>
      </c>
      <c r="Q206" s="229">
        <v>0</v>
      </c>
    </row>
    <row r="207" spans="9:17">
      <c r="I207" s="189" t="s">
        <v>5205</v>
      </c>
      <c r="J207" s="188">
        <f>L207-L206-1300000</f>
        <v>-17889835</v>
      </c>
      <c r="K207" s="189" t="s">
        <v>5203</v>
      </c>
      <c r="L207" s="237">
        <v>974512882</v>
      </c>
      <c r="M207" s="237">
        <v>611227725</v>
      </c>
      <c r="N207" s="188">
        <f t="shared" si="22"/>
        <v>1585740607</v>
      </c>
      <c r="O207" s="188">
        <f>M207-M206-230000</f>
        <v>-12733316</v>
      </c>
      <c r="P207" s="188">
        <f>N207-N206-1530000</f>
        <v>-30623151</v>
      </c>
      <c r="Q207" s="229">
        <v>1530000</v>
      </c>
    </row>
    <row r="208" spans="9:17">
      <c r="I208" s="216" t="s">
        <v>5207</v>
      </c>
      <c r="J208" s="244">
        <f>L208-L207-230000</f>
        <v>26666770</v>
      </c>
      <c r="K208" s="216" t="s">
        <v>5206</v>
      </c>
      <c r="L208" s="245">
        <v>1001409652</v>
      </c>
      <c r="M208" s="245">
        <v>627313031</v>
      </c>
      <c r="N208" s="244">
        <f t="shared" si="22"/>
        <v>1628722683</v>
      </c>
      <c r="O208" s="244">
        <f>M208-M207+880000</f>
        <v>16965306</v>
      </c>
      <c r="P208" s="244">
        <f>N208-N207</f>
        <v>42982076</v>
      </c>
      <c r="Q208" s="229">
        <v>-650000</v>
      </c>
    </row>
    <row r="209" spans="9:19">
      <c r="I209" s="189" t="s">
        <v>5208</v>
      </c>
      <c r="J209" s="188">
        <f>L209-L208-880000</f>
        <v>38363123</v>
      </c>
      <c r="K209" s="189" t="s">
        <v>5209</v>
      </c>
      <c r="L209" s="237">
        <v>1040652775</v>
      </c>
      <c r="M209" s="237">
        <v>653526288</v>
      </c>
      <c r="N209" s="220">
        <f t="shared" si="22"/>
        <v>1694179063</v>
      </c>
      <c r="O209" s="188">
        <f>M209-M208</f>
        <v>26213257</v>
      </c>
      <c r="P209" s="188">
        <f>N209-N208-880000</f>
        <v>64576380</v>
      </c>
      <c r="Q209" s="229">
        <v>880000</v>
      </c>
    </row>
    <row r="210" spans="9:19">
      <c r="I210" s="216" t="s">
        <v>5213</v>
      </c>
      <c r="J210" s="244">
        <f>L210-L209+900000</f>
        <v>20298534</v>
      </c>
      <c r="K210" s="216" t="s">
        <v>5211</v>
      </c>
      <c r="L210" s="245">
        <v>1060051309</v>
      </c>
      <c r="M210" s="245">
        <v>663872836</v>
      </c>
      <c r="N210" s="220">
        <f t="shared" si="22"/>
        <v>1723924145</v>
      </c>
      <c r="O210" s="244">
        <f>M210-M209-200000</f>
        <v>10146548</v>
      </c>
      <c r="P210" s="244">
        <f>N210-N209+700000</f>
        <v>30445082</v>
      </c>
      <c r="Q210" s="229">
        <v>-700000</v>
      </c>
    </row>
    <row r="211" spans="9:19">
      <c r="I211" s="189" t="s">
        <v>5214</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5215</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5216</v>
      </c>
      <c r="J213" s="113">
        <f>L213-L212+800000</f>
        <v>15351721</v>
      </c>
      <c r="K213" s="213" t="s">
        <v>5217</v>
      </c>
      <c r="L213" s="84">
        <v>1017597520</v>
      </c>
      <c r="M213" s="84">
        <v>638870084</v>
      </c>
      <c r="N213" s="113">
        <f t="shared" si="22"/>
        <v>1656467604</v>
      </c>
      <c r="O213" s="113">
        <f>M213-M212+10000000</f>
        <v>14214313</v>
      </c>
      <c r="P213" s="113">
        <f>N213-N212+10800000</f>
        <v>29566034</v>
      </c>
      <c r="Q213" s="229">
        <v>-10800000</v>
      </c>
    </row>
    <row r="214" spans="9:19">
      <c r="I214" s="216" t="s">
        <v>5224</v>
      </c>
      <c r="J214" s="244">
        <f t="shared" si="21"/>
        <v>-18127600</v>
      </c>
      <c r="K214" s="216" t="s">
        <v>5219</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5225</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5227</v>
      </c>
      <c r="J217" s="244">
        <f>L217-L216-50000</f>
        <v>-3947893</v>
      </c>
      <c r="K217" s="216" t="s">
        <v>5226</v>
      </c>
      <c r="L217" s="245">
        <v>1010326365</v>
      </c>
      <c r="M217" s="245">
        <v>632690003</v>
      </c>
      <c r="N217" s="244">
        <f t="shared" si="23"/>
        <v>1643016368</v>
      </c>
      <c r="O217" s="244">
        <f t="shared" si="24"/>
        <v>-2811879</v>
      </c>
      <c r="P217" s="244">
        <f>N217-N216-50000</f>
        <v>-6759772</v>
      </c>
      <c r="Q217" s="229">
        <v>50000</v>
      </c>
    </row>
    <row r="218" spans="9:19">
      <c r="I218" s="216" t="s">
        <v>5229</v>
      </c>
      <c r="J218" s="244">
        <f>L218-L217-400000</f>
        <v>-7352281</v>
      </c>
      <c r="K218" s="216" t="s">
        <v>5231</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5233</v>
      </c>
      <c r="L219" s="84">
        <v>999517682</v>
      </c>
      <c r="M219" s="84">
        <v>627640361</v>
      </c>
      <c r="N219" s="113">
        <f t="shared" si="23"/>
        <v>1627158043</v>
      </c>
      <c r="O219" s="113">
        <f t="shared" si="24"/>
        <v>-1762209</v>
      </c>
      <c r="P219" s="113">
        <f t="shared" si="25"/>
        <v>-5618611</v>
      </c>
      <c r="Q219" s="229">
        <v>0</v>
      </c>
    </row>
    <row r="220" spans="9:19">
      <c r="I220" s="189" t="s">
        <v>5235</v>
      </c>
      <c r="J220" s="188">
        <f t="shared" si="21"/>
        <v>30762624</v>
      </c>
      <c r="K220" s="189" t="s">
        <v>5234</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5201</v>
      </c>
      <c r="L221" s="84">
        <v>1013932649</v>
      </c>
      <c r="M221" s="84">
        <v>635152182</v>
      </c>
      <c r="N221" s="113">
        <f t="shared" si="23"/>
        <v>1649084831</v>
      </c>
      <c r="O221" s="113">
        <f t="shared" si="24"/>
        <v>-10386048</v>
      </c>
      <c r="P221" s="113">
        <f t="shared" si="25"/>
        <v>-26733705</v>
      </c>
      <c r="Q221" s="229">
        <v>0</v>
      </c>
    </row>
    <row r="222" spans="9:19">
      <c r="I222" s="272" t="s">
        <v>5239</v>
      </c>
      <c r="J222" s="273">
        <f>L222-L221+7000000</f>
        <v>4431891</v>
      </c>
      <c r="K222" s="272" t="s">
        <v>5240</v>
      </c>
      <c r="L222" s="274">
        <v>1011364540</v>
      </c>
      <c r="M222" s="274">
        <v>634014280</v>
      </c>
      <c r="N222" s="273">
        <f t="shared" si="23"/>
        <v>1645378820</v>
      </c>
      <c r="O222" s="273">
        <f t="shared" si="24"/>
        <v>-1137902</v>
      </c>
      <c r="P222" s="273">
        <f>N222-N221+7000000</f>
        <v>3293989</v>
      </c>
      <c r="Q222" s="229">
        <v>-7000000</v>
      </c>
    </row>
    <row r="223" spans="9:19">
      <c r="I223" s="216" t="s">
        <v>5242</v>
      </c>
      <c r="J223" s="244">
        <f t="shared" si="21"/>
        <v>-12364540</v>
      </c>
      <c r="K223" s="216" t="s">
        <v>5241</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5243</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5244</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5245</v>
      </c>
      <c r="L226" s="84">
        <v>995000000</v>
      </c>
      <c r="M226" s="84">
        <v>625000000</v>
      </c>
      <c r="N226" s="113">
        <f t="shared" si="23"/>
        <v>1620000000</v>
      </c>
      <c r="O226" s="113">
        <f t="shared" si="24"/>
        <v>-2621912</v>
      </c>
      <c r="P226" s="113">
        <f t="shared" si="25"/>
        <v>-8262288</v>
      </c>
      <c r="Q226" s="229">
        <v>0</v>
      </c>
    </row>
    <row r="227" spans="9:19">
      <c r="I227" s="189" t="s">
        <v>5246</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5248</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5249</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5250</v>
      </c>
      <c r="L230" s="84">
        <v>981346829</v>
      </c>
      <c r="M230" s="84">
        <v>616768631</v>
      </c>
      <c r="N230" s="113">
        <f>L230+M230</f>
        <v>1598115460</v>
      </c>
      <c r="O230" s="113">
        <f t="shared" si="24"/>
        <v>-231369</v>
      </c>
      <c r="P230" s="113">
        <f t="shared" si="25"/>
        <v>-2584540</v>
      </c>
      <c r="Q230" s="229">
        <v>0</v>
      </c>
    </row>
    <row r="231" spans="9:19">
      <c r="I231" s="189" t="s">
        <v>5252</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5251</v>
      </c>
      <c r="L232" s="84">
        <v>982764273</v>
      </c>
      <c r="M232" s="84">
        <v>618232370</v>
      </c>
      <c r="N232" s="113">
        <f t="shared" si="23"/>
        <v>1600996643</v>
      </c>
      <c r="O232" s="113">
        <f t="shared" si="24"/>
        <v>9817180</v>
      </c>
      <c r="P232" s="113">
        <f t="shared" si="25"/>
        <v>27833689</v>
      </c>
      <c r="Q232" s="229">
        <v>0</v>
      </c>
    </row>
    <row r="233" spans="9:19">
      <c r="I233" s="189" t="s">
        <v>5256</v>
      </c>
      <c r="J233" s="188">
        <f>L233-L232+990760</f>
        <v>270597</v>
      </c>
      <c r="K233" s="189" t="s">
        <v>5255</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5257</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5258</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5262</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5263</v>
      </c>
      <c r="L237" s="84">
        <v>973935836</v>
      </c>
      <c r="M237" s="84">
        <v>612781866</v>
      </c>
      <c r="N237" s="113">
        <f t="shared" si="23"/>
        <v>1586717702</v>
      </c>
      <c r="O237" s="113">
        <f t="shared" si="24"/>
        <v>-4703074</v>
      </c>
      <c r="P237" s="113">
        <f t="shared" si="25"/>
        <v>-14274043</v>
      </c>
      <c r="Q237" s="229">
        <v>0</v>
      </c>
    </row>
    <row r="238" spans="9:19">
      <c r="I238" s="216" t="s">
        <v>5265</v>
      </c>
      <c r="J238" s="244">
        <f>L238-L237-101268</f>
        <v>10034013</v>
      </c>
      <c r="K238" s="216" t="s">
        <v>5264</v>
      </c>
      <c r="L238" s="245">
        <v>984071117</v>
      </c>
      <c r="M238" s="245">
        <v>619527192</v>
      </c>
      <c r="N238" s="244">
        <f t="shared" si="23"/>
        <v>1603598309</v>
      </c>
      <c r="O238" s="244">
        <f t="shared" si="24"/>
        <v>6745326</v>
      </c>
      <c r="P238" s="244">
        <f>N238-N237-101268</f>
        <v>16779339</v>
      </c>
      <c r="Q238" s="229">
        <v>101268</v>
      </c>
    </row>
    <row r="239" spans="9:19">
      <c r="I239" s="275" t="s">
        <v>5266</v>
      </c>
      <c r="J239" s="94">
        <f>L239-L238-101000</f>
        <v>-5512506</v>
      </c>
      <c r="K239" s="275" t="s">
        <v>5267</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5268</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5270</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5272</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5273</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5274</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5277</v>
      </c>
      <c r="L246" s="84">
        <v>998587209</v>
      </c>
      <c r="M246" s="84">
        <v>628989460</v>
      </c>
      <c r="N246" s="113">
        <f t="shared" si="27"/>
        <v>1627576669</v>
      </c>
      <c r="O246" s="113">
        <f t="shared" si="28"/>
        <v>-386804</v>
      </c>
      <c r="P246" s="113">
        <f t="shared" si="28"/>
        <v>-378799</v>
      </c>
      <c r="Q246" s="229">
        <v>0</v>
      </c>
    </row>
    <row r="247" spans="9:19">
      <c r="I247" s="189" t="s">
        <v>5279</v>
      </c>
      <c r="J247" s="188">
        <f t="shared" si="26"/>
        <v>57939414</v>
      </c>
      <c r="K247" s="189" t="s">
        <v>5278</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5280</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5281</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5282</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5283</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5284</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5285</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5286</v>
      </c>
      <c r="L255" s="84">
        <v>1154946925</v>
      </c>
      <c r="M255" s="84">
        <v>724493233</v>
      </c>
      <c r="N255" s="220">
        <f t="shared" si="31"/>
        <v>1879440158</v>
      </c>
      <c r="O255" s="113">
        <f t="shared" si="32"/>
        <v>3771085</v>
      </c>
      <c r="P255" s="113">
        <f t="shared" si="33"/>
        <v>9561690</v>
      </c>
      <c r="Q255" s="229">
        <v>0</v>
      </c>
    </row>
    <row r="256" spans="9:19">
      <c r="I256" s="213" t="s">
        <v>5287</v>
      </c>
      <c r="J256" s="113">
        <f t="shared" si="30"/>
        <v>40761008</v>
      </c>
      <c r="K256" s="213" t="s">
        <v>5288</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5290</v>
      </c>
      <c r="L257" s="84">
        <v>1204397532</v>
      </c>
      <c r="M257" s="84">
        <v>768290500</v>
      </c>
      <c r="N257" s="220">
        <f t="shared" si="31"/>
        <v>1972688032</v>
      </c>
      <c r="O257" s="113">
        <f t="shared" si="32"/>
        <v>4065339</v>
      </c>
      <c r="P257" s="113">
        <f t="shared" si="33"/>
        <v>12754938</v>
      </c>
      <c r="Q257" s="229">
        <v>0</v>
      </c>
    </row>
    <row r="258" spans="9:19">
      <c r="I258" s="189" t="s">
        <v>5293</v>
      </c>
      <c r="J258" s="188">
        <f>L258-L257+488602</f>
        <v>5275127</v>
      </c>
      <c r="K258" s="189" t="s">
        <v>5291</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5292</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5295</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5300</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5306</v>
      </c>
      <c r="L262" s="84">
        <v>1153433035</v>
      </c>
      <c r="M262" s="84">
        <v>736240181</v>
      </c>
      <c r="N262" s="113">
        <f t="shared" si="31"/>
        <v>1889673216</v>
      </c>
      <c r="O262" s="113">
        <f t="shared" si="32"/>
        <v>-19759819</v>
      </c>
      <c r="P262" s="113">
        <f t="shared" si="33"/>
        <v>-46326784</v>
      </c>
      <c r="Q262" s="229">
        <v>0</v>
      </c>
    </row>
    <row r="263" spans="9:19">
      <c r="I263" s="216" t="s">
        <v>5308</v>
      </c>
      <c r="J263" s="244">
        <f>L263-L262-360000</f>
        <v>-33793035</v>
      </c>
      <c r="K263" s="216" t="s">
        <v>5307</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5309</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5312</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5313</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5314</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5319</v>
      </c>
      <c r="J268" s="188">
        <f>L268-L267+3600000</f>
        <v>6784521</v>
      </c>
      <c r="K268" s="189" t="s">
        <v>5315</v>
      </c>
      <c r="L268" s="237">
        <v>1227517149</v>
      </c>
      <c r="M268" s="237">
        <v>781946723</v>
      </c>
      <c r="N268" s="220">
        <f>L268+M268</f>
        <v>2009463872</v>
      </c>
      <c r="O268" s="188">
        <f t="shared" si="36"/>
        <v>648802</v>
      </c>
      <c r="P268" s="188">
        <f>N268-N267+3600000</f>
        <v>7433323</v>
      </c>
      <c r="Q268" s="229">
        <v>-3600000</v>
      </c>
    </row>
    <row r="269" spans="9:19">
      <c r="I269" s="216" t="s">
        <v>5321</v>
      </c>
      <c r="J269" s="244">
        <f t="shared" si="34"/>
        <v>8668842</v>
      </c>
      <c r="K269" s="216" t="s">
        <v>5318</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5326</v>
      </c>
      <c r="L270" s="84">
        <v>1295586377</v>
      </c>
      <c r="M270" s="84">
        <v>830602955</v>
      </c>
      <c r="N270" s="220">
        <f t="shared" si="35"/>
        <v>2126189332</v>
      </c>
      <c r="O270" s="113">
        <f t="shared" si="36"/>
        <v>39667491</v>
      </c>
      <c r="P270" s="113">
        <f>N270-N269</f>
        <v>99067877</v>
      </c>
      <c r="Q270" s="229">
        <v>0</v>
      </c>
    </row>
    <row r="271" spans="9:19">
      <c r="I271" s="189" t="s">
        <v>5328</v>
      </c>
      <c r="J271" s="188">
        <f>L271-L270+1000000</f>
        <v>21062163</v>
      </c>
      <c r="K271" s="189" t="s">
        <v>5327</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5330</v>
      </c>
      <c r="L272" s="84">
        <v>1290000000</v>
      </c>
      <c r="M272" s="84">
        <v>830000000</v>
      </c>
      <c r="N272" s="113">
        <f t="shared" si="35"/>
        <v>2120000000</v>
      </c>
      <c r="O272" s="113">
        <f t="shared" si="36"/>
        <v>-7889920</v>
      </c>
      <c r="P272" s="113">
        <f>N272-N271</f>
        <v>-33538460</v>
      </c>
    </row>
    <row r="273" spans="4:23">
      <c r="I273" s="213"/>
      <c r="J273" s="113">
        <f t="shared" si="34"/>
        <v>5173477</v>
      </c>
      <c r="K273" s="213" t="s">
        <v>5334</v>
      </c>
      <c r="L273" s="84">
        <v>1295173477</v>
      </c>
      <c r="M273" s="84">
        <v>832119130</v>
      </c>
      <c r="N273" s="113">
        <f t="shared" si="35"/>
        <v>2127292607</v>
      </c>
      <c r="O273" s="113">
        <f t="shared" si="36"/>
        <v>2119130</v>
      </c>
      <c r="P273" s="113">
        <f>N273-N272</f>
        <v>7292607</v>
      </c>
    </row>
    <row r="274" spans="4:23">
      <c r="D274" t="s">
        <v>25</v>
      </c>
      <c r="I274" s="216" t="s">
        <v>5308</v>
      </c>
      <c r="J274" s="244">
        <f>L274-L273-360000</f>
        <v>-3379409</v>
      </c>
      <c r="K274" s="216" t="s">
        <v>5335</v>
      </c>
      <c r="L274" s="245">
        <v>1292154068</v>
      </c>
      <c r="M274" s="245">
        <v>833033746</v>
      </c>
      <c r="N274" s="244">
        <f t="shared" si="35"/>
        <v>2125187814</v>
      </c>
      <c r="O274" s="244">
        <f t="shared" si="36"/>
        <v>914616</v>
      </c>
      <c r="P274" s="244">
        <f>N274-N273-360000</f>
        <v>-2464793</v>
      </c>
      <c r="Q274" s="229">
        <v>360000</v>
      </c>
    </row>
    <row r="275" spans="4:23">
      <c r="I275" s="216" t="s">
        <v>5339</v>
      </c>
      <c r="J275" s="244">
        <f>L275-L274-2000000</f>
        <v>-22946012</v>
      </c>
      <c r="K275" s="216" t="s">
        <v>5338</v>
      </c>
      <c r="L275" s="245">
        <v>1271208056</v>
      </c>
      <c r="M275" s="245">
        <v>825161254</v>
      </c>
      <c r="N275" s="244">
        <f t="shared" si="35"/>
        <v>2096369310</v>
      </c>
      <c r="O275" s="244">
        <f t="shared" si="36"/>
        <v>-7872492</v>
      </c>
      <c r="P275" s="244">
        <f>N275-N274-2000000</f>
        <v>-30818504</v>
      </c>
      <c r="Q275" s="229">
        <v>2000000</v>
      </c>
    </row>
    <row r="276" spans="4:23">
      <c r="I276" s="216" t="s">
        <v>5343</v>
      </c>
      <c r="J276" s="244">
        <f>L276-L275-15300000</f>
        <v>32802006</v>
      </c>
      <c r="K276" s="216" t="s">
        <v>5341</v>
      </c>
      <c r="L276" s="245">
        <v>1319310062</v>
      </c>
      <c r="M276" s="245">
        <v>846171439</v>
      </c>
      <c r="N276" s="244">
        <f t="shared" si="35"/>
        <v>2165481501</v>
      </c>
      <c r="O276" s="244">
        <f>M276-M275-200000</f>
        <v>20810185</v>
      </c>
      <c r="P276" s="244">
        <f>N276-N275-15500000</f>
        <v>53612191</v>
      </c>
      <c r="Q276" s="229">
        <v>15500000</v>
      </c>
    </row>
    <row r="277" spans="4:23">
      <c r="I277" s="216" t="s">
        <v>5346</v>
      </c>
      <c r="J277" s="244">
        <f>L277-L276-3000000</f>
        <v>12429762</v>
      </c>
      <c r="K277" s="216" t="s">
        <v>5345</v>
      </c>
      <c r="L277" s="245">
        <v>1334739824</v>
      </c>
      <c r="M277" s="245">
        <v>848815156</v>
      </c>
      <c r="N277" s="220">
        <f t="shared" si="35"/>
        <v>2183554980</v>
      </c>
      <c r="O277" s="244">
        <f>M277-M276-50000</f>
        <v>2593717</v>
      </c>
      <c r="P277" s="244">
        <f>N277-N276-3050000</f>
        <v>15023479</v>
      </c>
      <c r="Q277" s="229">
        <v>3050000</v>
      </c>
    </row>
    <row r="278" spans="4:23">
      <c r="I278" s="216" t="s">
        <v>5350</v>
      </c>
      <c r="J278" s="244">
        <f>L278-L277-1680000</f>
        <v>-15903030</v>
      </c>
      <c r="K278" s="216" t="s">
        <v>5348</v>
      </c>
      <c r="L278" s="245">
        <v>1320516794</v>
      </c>
      <c r="M278" s="245">
        <v>834312363</v>
      </c>
      <c r="N278" s="244">
        <f t="shared" si="35"/>
        <v>2154829157</v>
      </c>
      <c r="O278" s="244">
        <f>M278-M277-100000</f>
        <v>-14602793</v>
      </c>
      <c r="P278" s="244">
        <f>N278-N277-1600000</f>
        <v>-30325823</v>
      </c>
      <c r="Q278" s="229">
        <v>1780000</v>
      </c>
      <c r="S278" t="s">
        <v>25</v>
      </c>
    </row>
    <row r="279" spans="4:23">
      <c r="I279" s="216" t="s">
        <v>5352</v>
      </c>
      <c r="J279" s="244">
        <f>L279-L278-30000000</f>
        <v>3387493</v>
      </c>
      <c r="K279" s="216" t="s">
        <v>5351</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5358</v>
      </c>
      <c r="L281" s="84">
        <v>1379735558</v>
      </c>
      <c r="M281" s="84">
        <v>848557580</v>
      </c>
      <c r="N281" s="220">
        <f t="shared" si="35"/>
        <v>2228293138</v>
      </c>
      <c r="O281" s="113">
        <f t="shared" si="36"/>
        <v>4543265</v>
      </c>
      <c r="P281" s="113">
        <f>N281-N280</f>
        <v>8875537</v>
      </c>
      <c r="Q281" s="229">
        <v>0</v>
      </c>
    </row>
    <row r="282" spans="4:23">
      <c r="I282" s="213"/>
      <c r="J282" s="113">
        <f t="shared" ref="J282:J368" si="37">L282-L281</f>
        <v>29783485</v>
      </c>
      <c r="K282" s="213" t="s">
        <v>5359</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5362</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5365</v>
      </c>
      <c r="L284" s="84">
        <v>1473439379</v>
      </c>
      <c r="M284" s="84">
        <v>906774030</v>
      </c>
      <c r="N284" s="220">
        <f t="shared" si="38"/>
        <v>2380213409</v>
      </c>
      <c r="O284" s="113">
        <f t="shared" si="39"/>
        <v>14380845</v>
      </c>
      <c r="P284" s="113">
        <f t="shared" si="40"/>
        <v>32061881</v>
      </c>
      <c r="Q284" s="229">
        <v>0</v>
      </c>
    </row>
    <row r="285" spans="4:23">
      <c r="I285" s="189" t="s">
        <v>5368</v>
      </c>
      <c r="J285" s="188">
        <f t="shared" si="37"/>
        <v>4331396</v>
      </c>
      <c r="K285" s="189" t="s">
        <v>5366</v>
      </c>
      <c r="L285" s="237">
        <v>1477770775</v>
      </c>
      <c r="M285" s="237">
        <v>915475851</v>
      </c>
      <c r="N285" s="220">
        <f t="shared" si="38"/>
        <v>2393246626</v>
      </c>
      <c r="O285" s="188">
        <f>M285-M284+550000</f>
        <v>9251821</v>
      </c>
      <c r="P285" s="188">
        <f>N285-N284+550000</f>
        <v>13583217</v>
      </c>
      <c r="Q285" s="229">
        <v>-550000</v>
      </c>
    </row>
    <row r="286" spans="4:23">
      <c r="I286" s="189" t="s">
        <v>5372</v>
      </c>
      <c r="J286" s="188">
        <f t="shared" si="37"/>
        <v>39081054</v>
      </c>
      <c r="K286" s="189" t="s">
        <v>5370</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5371</v>
      </c>
      <c r="L287" s="84">
        <v>1560436105</v>
      </c>
      <c r="M287" s="84">
        <v>940791901</v>
      </c>
      <c r="N287" s="220">
        <f t="shared" si="38"/>
        <v>2501228006</v>
      </c>
      <c r="O287" s="113">
        <f t="shared" si="39"/>
        <v>35665189</v>
      </c>
      <c r="P287" s="113">
        <f t="shared" si="40"/>
        <v>79249465</v>
      </c>
      <c r="Q287" s="229">
        <v>0</v>
      </c>
    </row>
    <row r="288" spans="4:23">
      <c r="I288" s="189" t="s">
        <v>5382</v>
      </c>
      <c r="J288" s="188">
        <f t="shared" si="37"/>
        <v>83455296</v>
      </c>
      <c r="K288" s="189" t="s">
        <v>5381</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5384</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5389</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5395</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5404</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5427</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5426</v>
      </c>
      <c r="L294" s="84">
        <v>1775456973</v>
      </c>
      <c r="M294" s="84">
        <v>1056375788</v>
      </c>
      <c r="N294" s="220">
        <f t="shared" si="38"/>
        <v>2831832761</v>
      </c>
      <c r="O294" s="113">
        <f t="shared" si="39"/>
        <v>11375788</v>
      </c>
      <c r="P294" s="113">
        <f t="shared" si="40"/>
        <v>26832761</v>
      </c>
      <c r="Q294" s="229">
        <v>0</v>
      </c>
    </row>
    <row r="295" spans="9:21">
      <c r="I295" s="213" t="s">
        <v>5436</v>
      </c>
      <c r="J295" s="113">
        <f>L295-L294-3000000</f>
        <v>19422686</v>
      </c>
      <c r="K295" s="213" t="s">
        <v>5430</v>
      </c>
      <c r="L295" s="84">
        <v>1797879659</v>
      </c>
      <c r="M295" s="84">
        <v>1054864328</v>
      </c>
      <c r="N295" s="220">
        <f t="shared" si="38"/>
        <v>2852743987</v>
      </c>
      <c r="O295" s="113">
        <f t="shared" si="39"/>
        <v>-1511460</v>
      </c>
      <c r="P295" s="113">
        <f>N295-N294-3000000</f>
        <v>17911226</v>
      </c>
      <c r="Q295" s="229">
        <v>3000000</v>
      </c>
    </row>
    <row r="296" spans="9:21">
      <c r="I296" s="216" t="s">
        <v>5437</v>
      </c>
      <c r="J296" s="244">
        <f>L296-L295-7000000</f>
        <v>-47124934</v>
      </c>
      <c r="K296" s="216" t="s">
        <v>5431</v>
      </c>
      <c r="L296" s="245">
        <v>1757754725</v>
      </c>
      <c r="M296" s="245">
        <v>1037677810</v>
      </c>
      <c r="N296" s="244">
        <f t="shared" si="38"/>
        <v>2795432535</v>
      </c>
      <c r="O296" s="244">
        <f>M296-M295+4190000</f>
        <v>-12996518</v>
      </c>
      <c r="P296" s="244">
        <f>N296-N295+4190000-7000000</f>
        <v>-60121452</v>
      </c>
      <c r="Q296" s="229">
        <v>2810000</v>
      </c>
    </row>
    <row r="297" spans="9:21">
      <c r="I297" s="216" t="s">
        <v>5446</v>
      </c>
      <c r="J297" s="244">
        <f t="shared" si="37"/>
        <v>-53501669</v>
      </c>
      <c r="K297" s="216" t="s">
        <v>5439</v>
      </c>
      <c r="L297" s="245">
        <v>1704253056</v>
      </c>
      <c r="M297" s="245">
        <v>973497834</v>
      </c>
      <c r="N297" s="244">
        <f t="shared" si="38"/>
        <v>2677750890</v>
      </c>
      <c r="O297" s="244">
        <f>M297-M296+26000000</f>
        <v>-38179976</v>
      </c>
      <c r="P297" s="244">
        <f>N297-N296+26000000</f>
        <v>-91681645</v>
      </c>
      <c r="Q297" s="229">
        <v>-26000000</v>
      </c>
    </row>
    <row r="298" spans="9:21">
      <c r="I298" s="216" t="s">
        <v>5448</v>
      </c>
      <c r="J298" s="244">
        <f>L298-L297-8800000</f>
        <v>26691445</v>
      </c>
      <c r="K298" s="216" t="s">
        <v>5444</v>
      </c>
      <c r="L298" s="245">
        <v>1739744501</v>
      </c>
      <c r="M298" s="245">
        <v>914540569</v>
      </c>
      <c r="N298" s="244">
        <f t="shared" si="38"/>
        <v>2654285070</v>
      </c>
      <c r="O298" s="244">
        <f>M298-M297+81800000</f>
        <v>22842735</v>
      </c>
      <c r="P298" s="244">
        <f>N298-N297+73000000</f>
        <v>49534180</v>
      </c>
      <c r="Q298" s="229">
        <v>-73000000</v>
      </c>
    </row>
    <row r="299" spans="9:21">
      <c r="I299" s="216" t="s">
        <v>5453</v>
      </c>
      <c r="J299" s="244">
        <f t="shared" si="37"/>
        <v>32696702</v>
      </c>
      <c r="K299" s="216" t="s">
        <v>5445</v>
      </c>
      <c r="L299" s="245">
        <v>1772441203</v>
      </c>
      <c r="M299" s="245">
        <v>900025831</v>
      </c>
      <c r="N299" s="244">
        <f t="shared" si="38"/>
        <v>2672467034</v>
      </c>
      <c r="O299" s="244">
        <f>M299-M298+34000000</f>
        <v>19485262</v>
      </c>
      <c r="P299" s="244">
        <f>N299-N298+34000000</f>
        <v>52181964</v>
      </c>
      <c r="Q299" s="229">
        <v>-34000000</v>
      </c>
    </row>
    <row r="300" spans="9:21">
      <c r="I300" s="189" t="s">
        <v>5456</v>
      </c>
      <c r="J300" s="188">
        <f>L300-L299-40000000</f>
        <v>74215198</v>
      </c>
      <c r="K300" s="189" t="s">
        <v>5451</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5242</v>
      </c>
      <c r="J301" s="188">
        <f t="shared" si="37"/>
        <v>39912599</v>
      </c>
      <c r="K301" s="189" t="s">
        <v>5452</v>
      </c>
      <c r="L301" s="237">
        <v>1926569000</v>
      </c>
      <c r="M301" s="237">
        <v>959442000</v>
      </c>
      <c r="N301" s="220">
        <f t="shared" si="38"/>
        <v>2886011000</v>
      </c>
      <c r="O301" s="188">
        <f>M301-M300-300000</f>
        <v>21646377</v>
      </c>
      <c r="P301" s="188">
        <f>N301-N300-300000</f>
        <v>61558976</v>
      </c>
      <c r="Q301" s="229">
        <v>300000</v>
      </c>
    </row>
    <row r="302" spans="9:21">
      <c r="I302" s="189" t="s">
        <v>5462</v>
      </c>
      <c r="J302" s="188">
        <f t="shared" si="37"/>
        <v>-55865388</v>
      </c>
      <c r="K302" s="189" t="s">
        <v>5461</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5464</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5466</v>
      </c>
      <c r="L304" s="84">
        <v>1773000000</v>
      </c>
      <c r="M304" s="84">
        <v>879000000</v>
      </c>
      <c r="N304" s="113">
        <f t="shared" si="38"/>
        <v>2652000000</v>
      </c>
      <c r="O304" s="113">
        <f t="shared" si="39"/>
        <v>217170</v>
      </c>
      <c r="P304" s="113">
        <f t="shared" si="40"/>
        <v>-212651</v>
      </c>
      <c r="Q304" s="229">
        <v>0</v>
      </c>
    </row>
    <row r="305" spans="9:17">
      <c r="I305" s="213" t="s">
        <v>5468</v>
      </c>
      <c r="J305" s="113">
        <f>L305-L304-400000</f>
        <v>-400000</v>
      </c>
      <c r="K305" s="213" t="s">
        <v>5467</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5477</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5490</v>
      </c>
      <c r="L307" s="84">
        <v>1627606378</v>
      </c>
      <c r="M307" s="84">
        <v>802901457</v>
      </c>
      <c r="N307" s="113">
        <f t="shared" si="38"/>
        <v>2430507835</v>
      </c>
      <c r="O307" s="113">
        <f t="shared" si="39"/>
        <v>21798585</v>
      </c>
      <c r="P307" s="113">
        <f t="shared" si="40"/>
        <v>63329771</v>
      </c>
      <c r="Q307" s="229">
        <v>0</v>
      </c>
    </row>
    <row r="308" spans="9:17">
      <c r="I308" s="213" t="s">
        <v>5493</v>
      </c>
      <c r="J308" s="113">
        <f>L308-L307+968000</f>
        <v>30858637</v>
      </c>
      <c r="K308" s="213" t="s">
        <v>5492</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5495</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5498</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5500</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5501</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5503</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5506</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5508</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5510</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5512</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5513</v>
      </c>
      <c r="L318" s="84">
        <v>2260584534</v>
      </c>
      <c r="M318" s="84">
        <v>1120314374</v>
      </c>
      <c r="N318" s="220">
        <f t="shared" si="41"/>
        <v>3380898908</v>
      </c>
      <c r="O318" s="113">
        <f t="shared" si="42"/>
        <v>67266920</v>
      </c>
      <c r="P318" s="113">
        <f t="shared" si="43"/>
        <v>208542979</v>
      </c>
      <c r="Q318" s="229">
        <v>0</v>
      </c>
    </row>
    <row r="319" spans="9:17">
      <c r="I319" s="213" t="s">
        <v>5517</v>
      </c>
      <c r="J319" s="113">
        <f>L319-L318-3006000</f>
        <v>32865631</v>
      </c>
      <c r="K319" s="213" t="s">
        <v>5516</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5524</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5528</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5530</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5531</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5532</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5540</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5542</v>
      </c>
      <c r="L326" s="84">
        <v>2819979138</v>
      </c>
      <c r="M326" s="84">
        <v>1401539279</v>
      </c>
      <c r="N326" s="220">
        <f t="shared" si="41"/>
        <v>4221518417</v>
      </c>
      <c r="O326" s="113">
        <f t="shared" si="42"/>
        <v>13084171</v>
      </c>
      <c r="P326" s="113">
        <f t="shared" si="43"/>
        <v>39080100</v>
      </c>
      <c r="Q326" s="229">
        <v>0</v>
      </c>
    </row>
    <row r="327" spans="9:22">
      <c r="I327" s="213" t="s">
        <v>5545</v>
      </c>
      <c r="J327" s="113">
        <f>L327-L326+130382924</f>
        <v>36685298</v>
      </c>
      <c r="K327" s="213" t="s">
        <v>5544</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5543</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5547</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5548</v>
      </c>
      <c r="L330" s="84">
        <v>3427431734</v>
      </c>
      <c r="M330" s="84">
        <v>1705312175</v>
      </c>
      <c r="N330" s="220">
        <f t="shared" ref="N330:N368" si="44">L330+M330</f>
        <v>5132743909</v>
      </c>
      <c r="O330" s="113">
        <f t="shared" ref="O330:O368" si="45">M330-M329</f>
        <v>69312175</v>
      </c>
      <c r="P330" s="113">
        <f t="shared" ref="P330:P368"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5554</v>
      </c>
      <c r="J332" s="188">
        <f>L332-L331-125000000</f>
        <v>154015802</v>
      </c>
      <c r="K332" s="189" t="s">
        <v>5392</v>
      </c>
      <c r="L332" s="237">
        <v>3877711355</v>
      </c>
      <c r="M332" s="237">
        <v>1868422520</v>
      </c>
      <c r="N332" s="220">
        <f t="shared" si="44"/>
        <v>5746133875</v>
      </c>
      <c r="O332" s="188">
        <f t="shared" si="45"/>
        <v>77900986</v>
      </c>
      <c r="P332" s="188">
        <f>N332-N331-125000000</f>
        <v>231916788</v>
      </c>
      <c r="Q332" s="229">
        <v>125000000</v>
      </c>
    </row>
    <row r="333" spans="9:22">
      <c r="I333" s="189" t="s">
        <v>5555</v>
      </c>
      <c r="J333" s="188">
        <f>L333-L332-7200000</f>
        <v>-108573535</v>
      </c>
      <c r="K333" s="189" t="s">
        <v>5549</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5561</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5566</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5567</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5571</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5573</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5575</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5576</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5577</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5581</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5582</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5584</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5589</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5613</v>
      </c>
      <c r="L346" s="84">
        <v>3220000000</v>
      </c>
      <c r="M346" s="84">
        <v>1580000000</v>
      </c>
      <c r="N346" s="113">
        <f t="shared" si="44"/>
        <v>4800000000</v>
      </c>
      <c r="O346" s="113">
        <f t="shared" si="45"/>
        <v>16994429</v>
      </c>
      <c r="P346" s="113">
        <f t="shared" si="46"/>
        <v>32497144</v>
      </c>
      <c r="Q346" s="229">
        <v>0</v>
      </c>
    </row>
    <row r="347" spans="9:19">
      <c r="I347" s="189" t="s">
        <v>5629</v>
      </c>
      <c r="J347" s="188">
        <f>L347-L346-50000000</f>
        <v>30000000</v>
      </c>
      <c r="K347" s="189" t="s">
        <v>5614</v>
      </c>
      <c r="L347" s="237">
        <v>3300000000</v>
      </c>
      <c r="M347" s="237">
        <v>1600000000</v>
      </c>
      <c r="N347" s="188">
        <f t="shared" si="44"/>
        <v>4900000000</v>
      </c>
      <c r="O347" s="188">
        <f t="shared" si="45"/>
        <v>20000000</v>
      </c>
      <c r="P347" s="188">
        <f>N347-N346-50000000</f>
        <v>50000000</v>
      </c>
      <c r="Q347" s="229">
        <v>50000000</v>
      </c>
    </row>
    <row r="348" spans="9:19">
      <c r="I348" s="189" t="s">
        <v>5639</v>
      </c>
      <c r="J348" s="188">
        <f t="shared" si="37"/>
        <v>79324490</v>
      </c>
      <c r="K348" s="189" t="s">
        <v>5615</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5646</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5648</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5651</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5654</v>
      </c>
      <c r="L352" s="84">
        <v>3964029618</v>
      </c>
      <c r="M352" s="84">
        <v>1918994990</v>
      </c>
      <c r="N352" s="292">
        <f t="shared" si="44"/>
        <v>5883024608</v>
      </c>
      <c r="O352" s="113">
        <f t="shared" si="45"/>
        <v>85923046</v>
      </c>
      <c r="P352" s="113">
        <f t="shared" si="46"/>
        <v>259308351</v>
      </c>
      <c r="Q352" s="229">
        <v>0</v>
      </c>
    </row>
    <row r="353" spans="9:21">
      <c r="I353" s="213"/>
      <c r="J353" s="113">
        <f t="shared" si="37"/>
        <v>197999356</v>
      </c>
      <c r="K353" s="213" t="s">
        <v>5655</v>
      </c>
      <c r="L353" s="84">
        <v>4162028974</v>
      </c>
      <c r="M353" s="84">
        <v>2014922470</v>
      </c>
      <c r="N353" s="292">
        <f t="shared" si="44"/>
        <v>6176951444</v>
      </c>
      <c r="O353" s="113">
        <f t="shared" si="45"/>
        <v>95927480</v>
      </c>
      <c r="P353" s="113">
        <f t="shared" si="46"/>
        <v>293926836</v>
      </c>
      <c r="Q353" s="229">
        <v>0</v>
      </c>
      <c r="U353" t="s">
        <v>25</v>
      </c>
    </row>
    <row r="354" spans="9:21">
      <c r="I354" s="213"/>
      <c r="J354" s="113">
        <f t="shared" si="37"/>
        <v>75948917</v>
      </c>
      <c r="K354" s="213" t="s">
        <v>5657</v>
      </c>
      <c r="L354" s="84">
        <v>4237977891</v>
      </c>
      <c r="M354" s="84">
        <v>2058362540</v>
      </c>
      <c r="N354" s="292">
        <f t="shared" si="44"/>
        <v>6296340431</v>
      </c>
      <c r="O354" s="113">
        <f t="shared" si="45"/>
        <v>43440070</v>
      </c>
      <c r="P354" s="113">
        <f t="shared" si="46"/>
        <v>119388987</v>
      </c>
      <c r="Q354" s="229">
        <v>0</v>
      </c>
    </row>
    <row r="355" spans="9:21">
      <c r="I355" s="213"/>
      <c r="J355" s="113">
        <f t="shared" si="37"/>
        <v>272316683</v>
      </c>
      <c r="K355" s="213" t="s">
        <v>5658</v>
      </c>
      <c r="L355" s="84">
        <v>4510294574</v>
      </c>
      <c r="M355" s="84">
        <v>2190854889</v>
      </c>
      <c r="N355" s="292">
        <f t="shared" si="44"/>
        <v>6701149463</v>
      </c>
      <c r="O355" s="113">
        <f t="shared" si="45"/>
        <v>132492349</v>
      </c>
      <c r="P355" s="113">
        <f t="shared" si="46"/>
        <v>404809032</v>
      </c>
      <c r="Q355" s="229">
        <v>0</v>
      </c>
    </row>
    <row r="356" spans="9:21">
      <c r="I356" s="213"/>
      <c r="J356" s="113">
        <f t="shared" si="37"/>
        <v>20447233</v>
      </c>
      <c r="K356" s="213" t="s">
        <v>5660</v>
      </c>
      <c r="L356" s="84">
        <v>4530741807</v>
      </c>
      <c r="M356" s="84">
        <v>2183355146</v>
      </c>
      <c r="N356" s="292">
        <f t="shared" si="44"/>
        <v>6714096953</v>
      </c>
      <c r="O356" s="113">
        <f t="shared" si="45"/>
        <v>-7499743</v>
      </c>
      <c r="P356" s="113">
        <f t="shared" si="46"/>
        <v>12947490</v>
      </c>
      <c r="Q356" s="229">
        <v>0</v>
      </c>
    </row>
    <row r="357" spans="9:21">
      <c r="I357" s="213"/>
      <c r="J357" s="113">
        <f t="shared" si="37"/>
        <v>44659872</v>
      </c>
      <c r="K357" s="213" t="s">
        <v>5662</v>
      </c>
      <c r="L357" s="84">
        <v>4575401679</v>
      </c>
      <c r="M357" s="84">
        <v>2205686125</v>
      </c>
      <c r="N357" s="292">
        <f t="shared" si="44"/>
        <v>6781087804</v>
      </c>
      <c r="O357" s="113">
        <f t="shared" si="45"/>
        <v>22330979</v>
      </c>
      <c r="P357" s="113">
        <f t="shared" si="46"/>
        <v>66990851</v>
      </c>
      <c r="Q357" s="229">
        <v>0</v>
      </c>
    </row>
    <row r="358" spans="9:21">
      <c r="I358" s="213"/>
      <c r="J358" s="113">
        <f t="shared" si="37"/>
        <v>-97728047</v>
      </c>
      <c r="K358" s="213" t="s">
        <v>5663</v>
      </c>
      <c r="L358" s="84">
        <v>4477673632</v>
      </c>
      <c r="M358" s="84">
        <v>2158000000</v>
      </c>
      <c r="N358" s="113">
        <f t="shared" si="44"/>
        <v>6635673632</v>
      </c>
      <c r="O358" s="113">
        <f t="shared" si="45"/>
        <v>-47686125</v>
      </c>
      <c r="P358" s="113">
        <f t="shared" si="46"/>
        <v>-145414172</v>
      </c>
      <c r="Q358" s="229">
        <v>0</v>
      </c>
    </row>
    <row r="359" spans="9:21">
      <c r="I359" s="213"/>
      <c r="J359" s="113">
        <f t="shared" si="37"/>
        <v>127023161</v>
      </c>
      <c r="K359" s="213" t="s">
        <v>5666</v>
      </c>
      <c r="L359" s="84">
        <v>4604696793</v>
      </c>
      <c r="M359" s="84">
        <f>M358*L359/L358</f>
        <v>2219218392.3989034</v>
      </c>
      <c r="N359" s="292">
        <f t="shared" si="44"/>
        <v>6823915185.3989029</v>
      </c>
      <c r="O359" s="113">
        <f t="shared" si="45"/>
        <v>61218392.39890337</v>
      </c>
      <c r="P359" s="113">
        <f t="shared" si="46"/>
        <v>188241553.39890289</v>
      </c>
      <c r="Q359" s="229">
        <v>0</v>
      </c>
    </row>
    <row r="360" spans="9:21">
      <c r="I360" s="213"/>
      <c r="J360" s="113">
        <f t="shared" si="37"/>
        <v>97899358</v>
      </c>
      <c r="K360" s="213" t="s">
        <v>5667</v>
      </c>
      <c r="L360" s="84">
        <v>4702596151</v>
      </c>
      <c r="M360" s="84">
        <f>M359*L360/L359</f>
        <v>2266400664.2496624</v>
      </c>
      <c r="N360" s="292">
        <f t="shared" si="44"/>
        <v>6968996815.2496624</v>
      </c>
      <c r="O360" s="113">
        <f t="shared" si="45"/>
        <v>47182271.850759029</v>
      </c>
      <c r="P360" s="113">
        <f t="shared" si="46"/>
        <v>145081629.85075951</v>
      </c>
      <c r="Q360" s="229">
        <v>0</v>
      </c>
    </row>
    <row r="361" spans="9:21">
      <c r="I361" s="213"/>
      <c r="J361" s="113">
        <f t="shared" si="37"/>
        <v>27403849</v>
      </c>
      <c r="K361" s="213" t="s">
        <v>5672</v>
      </c>
      <c r="L361" s="84">
        <v>4730000000</v>
      </c>
      <c r="M361" s="84">
        <v>2276000000</v>
      </c>
      <c r="N361" s="292">
        <f t="shared" si="44"/>
        <v>7006000000</v>
      </c>
      <c r="O361" s="113">
        <f t="shared" si="45"/>
        <v>9599335.7503376007</v>
      </c>
      <c r="P361" s="113">
        <f t="shared" si="46"/>
        <v>37003184.750337601</v>
      </c>
      <c r="Q361" s="229">
        <v>0</v>
      </c>
    </row>
    <row r="362" spans="9:21">
      <c r="I362" s="213" t="s">
        <v>5677</v>
      </c>
      <c r="J362" s="113">
        <f>L362-L361+58196600</f>
        <v>79816926</v>
      </c>
      <c r="K362" s="213" t="s">
        <v>5675</v>
      </c>
      <c r="L362" s="84">
        <v>4751620326</v>
      </c>
      <c r="M362" s="84">
        <v>2286535574</v>
      </c>
      <c r="N362" s="292">
        <f t="shared" si="44"/>
        <v>7038155900</v>
      </c>
      <c r="O362" s="113">
        <f>M362-M361+46183500</f>
        <v>56719074</v>
      </c>
      <c r="P362" s="113">
        <f>N362-N361+58196600+46183500</f>
        <v>136536000</v>
      </c>
      <c r="Q362" s="229">
        <v>-104380100</v>
      </c>
    </row>
    <row r="363" spans="9:21">
      <c r="I363" s="213"/>
      <c r="J363" s="113">
        <f t="shared" si="37"/>
        <v>240267176</v>
      </c>
      <c r="K363" s="213" t="s">
        <v>5685</v>
      </c>
      <c r="L363" s="84">
        <v>4991887502</v>
      </c>
      <c r="M363" s="84">
        <v>2397577212</v>
      </c>
      <c r="N363" s="35">
        <f t="shared" si="44"/>
        <v>7389464714</v>
      </c>
      <c r="O363" s="113">
        <f t="shared" si="45"/>
        <v>111041638</v>
      </c>
      <c r="P363" s="113">
        <f t="shared" si="46"/>
        <v>351308814</v>
      </c>
      <c r="Q363" s="229">
        <v>0</v>
      </c>
    </row>
    <row r="364" spans="9:21">
      <c r="I364" s="213"/>
      <c r="J364" s="113">
        <f t="shared" si="37"/>
        <v>-4991887502</v>
      </c>
      <c r="K364" s="213"/>
      <c r="L364" s="84"/>
      <c r="M364" s="84"/>
      <c r="N364" s="113">
        <f t="shared" si="44"/>
        <v>0</v>
      </c>
      <c r="O364" s="113">
        <f t="shared" si="45"/>
        <v>-2397577212</v>
      </c>
      <c r="P364" s="113">
        <f t="shared" si="46"/>
        <v>-7389464714</v>
      </c>
    </row>
    <row r="365" spans="9:21">
      <c r="I365" s="213"/>
      <c r="J365" s="113">
        <f t="shared" si="37"/>
        <v>0</v>
      </c>
      <c r="K365" s="213"/>
      <c r="L365" s="84"/>
      <c r="M365" s="84"/>
      <c r="N365" s="113">
        <f t="shared" si="44"/>
        <v>0</v>
      </c>
      <c r="O365" s="113">
        <f t="shared" si="45"/>
        <v>0</v>
      </c>
      <c r="P365" s="113">
        <f t="shared" si="46"/>
        <v>0</v>
      </c>
      <c r="U365" t="s">
        <v>25</v>
      </c>
    </row>
    <row r="366" spans="9:21">
      <c r="I366" s="213"/>
      <c r="J366" s="113">
        <f t="shared" si="37"/>
        <v>0</v>
      </c>
      <c r="K366" s="213"/>
      <c r="L366" s="84"/>
      <c r="M366" s="84"/>
      <c r="N366" s="113">
        <f t="shared" si="44"/>
        <v>0</v>
      </c>
      <c r="O366" s="113">
        <f t="shared" si="45"/>
        <v>0</v>
      </c>
      <c r="P366" s="113">
        <f t="shared" si="46"/>
        <v>0</v>
      </c>
    </row>
    <row r="367" spans="9:21">
      <c r="I367" s="213"/>
      <c r="J367" s="113">
        <f t="shared" si="37"/>
        <v>0</v>
      </c>
      <c r="K367" s="213">
        <v>0</v>
      </c>
      <c r="L367" s="84">
        <v>0</v>
      </c>
      <c r="M367" s="84">
        <v>0</v>
      </c>
      <c r="N367" s="113">
        <f t="shared" si="44"/>
        <v>0</v>
      </c>
      <c r="O367" s="113">
        <f t="shared" si="45"/>
        <v>0</v>
      </c>
      <c r="P367" s="113">
        <f t="shared" si="46"/>
        <v>0</v>
      </c>
    </row>
    <row r="368" spans="9:21">
      <c r="I368" s="213"/>
      <c r="J368" s="113">
        <f t="shared" si="37"/>
        <v>0</v>
      </c>
      <c r="K368" s="213">
        <v>0</v>
      </c>
      <c r="L368" s="84">
        <v>0</v>
      </c>
      <c r="M368" s="84">
        <v>0</v>
      </c>
      <c r="N368" s="113">
        <f t="shared" si="44"/>
        <v>0</v>
      </c>
      <c r="O368" s="113">
        <f t="shared" si="45"/>
        <v>0</v>
      </c>
      <c r="P368" s="113">
        <f t="shared" si="46"/>
        <v>0</v>
      </c>
    </row>
    <row r="369" spans="9:16">
      <c r="I369" s="213"/>
      <c r="J369" s="113">
        <f>L369-L368</f>
        <v>0</v>
      </c>
      <c r="K369" s="213"/>
      <c r="L369" s="84"/>
      <c r="M369" s="84"/>
      <c r="N369" s="113">
        <f>L369+M369</f>
        <v>0</v>
      </c>
      <c r="O369" s="113">
        <f>M369-M368</f>
        <v>0</v>
      </c>
      <c r="P369" s="113">
        <f>N369-N368</f>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5401</v>
      </c>
      <c r="B1">
        <v>0.24</v>
      </c>
    </row>
    <row r="4" spans="1:21">
      <c r="A4" s="99" t="s">
        <v>3637</v>
      </c>
      <c r="B4" s="99" t="s">
        <v>180</v>
      </c>
      <c r="C4" s="99" t="s">
        <v>5405</v>
      </c>
      <c r="D4" s="99" t="s">
        <v>5406</v>
      </c>
      <c r="E4" s="99" t="s">
        <v>5413</v>
      </c>
      <c r="F4" s="99" t="s">
        <v>5407</v>
      </c>
      <c r="G4" s="99" t="s">
        <v>5408</v>
      </c>
      <c r="H4" s="99" t="s">
        <v>5409</v>
      </c>
      <c r="I4" s="99" t="s">
        <v>5410</v>
      </c>
      <c r="J4" s="99" t="s">
        <v>5411</v>
      </c>
      <c r="K4" s="99" t="s">
        <v>5412</v>
      </c>
      <c r="L4" s="99" t="s">
        <v>5400</v>
      </c>
      <c r="M4" s="99" t="s">
        <v>5402</v>
      </c>
      <c r="N4" s="99" t="s">
        <v>5403</v>
      </c>
      <c r="O4" s="99"/>
    </row>
    <row r="5" spans="1:21">
      <c r="A5" s="99">
        <v>0</v>
      </c>
      <c r="B5" s="99" t="s">
        <v>5399</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5404</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5427</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5426</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5430</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5414</v>
      </c>
      <c r="C52" s="283" t="s">
        <v>5415</v>
      </c>
      <c r="D52" s="283" t="s">
        <v>5416</v>
      </c>
      <c r="E52" s="283" t="s">
        <v>4262</v>
      </c>
      <c r="F52" s="283" t="s">
        <v>5417</v>
      </c>
      <c r="G52" s="283" t="s">
        <v>5418</v>
      </c>
      <c r="H52" s="283" t="s">
        <v>5419</v>
      </c>
      <c r="I52" s="283" t="s">
        <v>5420</v>
      </c>
      <c r="J52" s="283" t="s">
        <v>5421</v>
      </c>
      <c r="K52" s="283" t="s">
        <v>5422</v>
      </c>
      <c r="L52" s="283" t="s">
        <v>5423</v>
      </c>
      <c r="M52" s="283" t="s">
        <v>5424</v>
      </c>
      <c r="N52" s="283" t="s">
        <v>5425</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5385</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5379</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5369</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5360</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5396</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5414</v>
      </c>
      <c r="C64" s="283" t="s">
        <v>5415</v>
      </c>
      <c r="D64" s="283" t="s">
        <v>5416</v>
      </c>
      <c r="E64" s="283" t="s">
        <v>4262</v>
      </c>
      <c r="F64" s="283" t="s">
        <v>5417</v>
      </c>
      <c r="G64" s="283" t="s">
        <v>5418</v>
      </c>
      <c r="H64" s="283" t="s">
        <v>5419</v>
      </c>
      <c r="I64" s="283" t="s">
        <v>5420</v>
      </c>
      <c r="J64" s="283" t="s">
        <v>5421</v>
      </c>
      <c r="K64" s="283" t="s">
        <v>5422</v>
      </c>
      <c r="L64" s="283" t="s">
        <v>5423</v>
      </c>
      <c r="M64" s="283" t="s">
        <v>5424</v>
      </c>
      <c r="N64" s="283" t="s">
        <v>5425</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5385</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5369</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5360</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5396</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5615</v>
      </c>
      <c r="I31" s="11">
        <v>267000</v>
      </c>
      <c r="J31" s="11" t="s">
        <v>477</v>
      </c>
    </row>
    <row r="32" spans="2:21">
      <c r="G32" s="11">
        <f>$I$48-I32</f>
        <v>82000</v>
      </c>
      <c r="H32" s="59" t="s">
        <v>792</v>
      </c>
      <c r="I32" s="11">
        <v>185000</v>
      </c>
      <c r="J32" s="11" t="s">
        <v>558</v>
      </c>
    </row>
    <row r="33" spans="6:23">
      <c r="G33" s="11">
        <f t="shared" si="5"/>
        <v>0</v>
      </c>
      <c r="H33" s="11" t="s">
        <v>5615</v>
      </c>
      <c r="I33" s="11">
        <v>267000</v>
      </c>
      <c r="J33" s="11" t="s">
        <v>566</v>
      </c>
    </row>
    <row r="34" spans="6:23">
      <c r="G34" s="11">
        <f t="shared" si="5"/>
        <v>0</v>
      </c>
      <c r="H34" s="11" t="s">
        <v>5615</v>
      </c>
      <c r="I34" s="11">
        <v>267000</v>
      </c>
      <c r="J34" s="11" t="s">
        <v>567</v>
      </c>
    </row>
    <row r="35" spans="6:23">
      <c r="G35" s="11">
        <f t="shared" si="5"/>
        <v>0</v>
      </c>
      <c r="H35" s="11" t="s">
        <v>5615</v>
      </c>
      <c r="I35" s="11">
        <v>267000</v>
      </c>
      <c r="J35" s="11" t="s">
        <v>568</v>
      </c>
    </row>
    <row r="36" spans="6:23">
      <c r="F36" t="s">
        <v>25</v>
      </c>
      <c r="G36" s="11">
        <f t="shared" si="5"/>
        <v>3000</v>
      </c>
      <c r="H36" s="11" t="s">
        <v>5439</v>
      </c>
      <c r="I36" s="11">
        <v>264000</v>
      </c>
      <c r="J36" s="11" t="s">
        <v>641</v>
      </c>
      <c r="O36" s="22"/>
    </row>
    <row r="37" spans="6:23">
      <c r="G37" s="11">
        <f t="shared" si="5"/>
        <v>9000</v>
      </c>
      <c r="H37" s="11" t="s">
        <v>5231</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5187</v>
      </c>
      <c r="I47" s="99">
        <v>257000</v>
      </c>
      <c r="J47" s="99" t="s">
        <v>5221</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C52" zoomScaleNormal="100" workbookViewId="0">
      <selection activeCell="Q78" sqref="Q7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5094</v>
      </c>
      <c r="D1" s="189" t="s">
        <v>5066</v>
      </c>
      <c r="E1" s="213" t="s">
        <v>5064</v>
      </c>
      <c r="F1" s="213" t="s">
        <v>5065</v>
      </c>
      <c r="G1" s="213" t="s">
        <v>4894</v>
      </c>
      <c r="H1" s="213" t="s">
        <v>4893</v>
      </c>
      <c r="I1" s="213" t="s">
        <v>4262</v>
      </c>
      <c r="J1" s="56" t="s">
        <v>4986</v>
      </c>
      <c r="M1" t="s">
        <v>4886</v>
      </c>
      <c r="N1" t="s">
        <v>4890</v>
      </c>
      <c r="O1" t="s">
        <v>4891</v>
      </c>
    </row>
    <row r="2" spans="1:20">
      <c r="A2" s="197" t="s">
        <v>4885</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4887</v>
      </c>
      <c r="B3" s="191">
        <v>2605736250</v>
      </c>
      <c r="C3" s="189">
        <v>150</v>
      </c>
      <c r="D3" s="189">
        <f>B3*C3/$M$2</f>
        <v>5.4286171875000004</v>
      </c>
      <c r="E3" s="191">
        <v>80</v>
      </c>
      <c r="F3" s="191">
        <f>B3*E3/$M$2</f>
        <v>2.8952624999999999</v>
      </c>
      <c r="G3" s="191"/>
      <c r="H3" s="191"/>
      <c r="I3" s="191">
        <v>3692</v>
      </c>
      <c r="J3" s="191">
        <f>B3*I3/$M$2</f>
        <v>133.61636437499999</v>
      </c>
      <c r="N3">
        <f>N2/O2</f>
        <v>0.67428291627160497</v>
      </c>
    </row>
    <row r="4" spans="1:20">
      <c r="A4" s="191" t="s">
        <v>4888</v>
      </c>
      <c r="B4" s="191">
        <v>560000000</v>
      </c>
      <c r="C4" s="189">
        <v>75</v>
      </c>
      <c r="D4" s="189">
        <f>B4*C4/$M$2</f>
        <v>0.58333333333333337</v>
      </c>
      <c r="E4" s="191">
        <v>25</v>
      </c>
      <c r="F4" s="191">
        <f>B4*E4/$M$2</f>
        <v>0.19444444444444445</v>
      </c>
      <c r="G4" s="191"/>
      <c r="H4" s="191"/>
      <c r="I4" s="191">
        <v>1290</v>
      </c>
      <c r="J4" s="191">
        <f>B4*I4/$M$2</f>
        <v>10.033333333333333</v>
      </c>
    </row>
    <row r="5" spans="1:20">
      <c r="A5" s="191" t="s">
        <v>4889</v>
      </c>
      <c r="B5" s="191">
        <v>30161250</v>
      </c>
      <c r="C5" s="189">
        <v>300</v>
      </c>
      <c r="D5" s="189">
        <f>B5*C5/$M$2</f>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4885</v>
      </c>
      <c r="B7" s="197">
        <v>1124709340</v>
      </c>
      <c r="C7" s="189">
        <f>C2</f>
        <v>1300</v>
      </c>
      <c r="D7" s="189">
        <f>B7*C7*$N$3/$M$2</f>
        <v>13.692833081292301</v>
      </c>
      <c r="E7" s="197">
        <f>E2</f>
        <v>930</v>
      </c>
      <c r="F7" s="197">
        <f t="shared" ref="F7:F19" si="0">B7*E7*$N$3/$M$2</f>
        <v>9.7956421273860297</v>
      </c>
      <c r="G7" s="197">
        <v>0</v>
      </c>
      <c r="H7" s="197">
        <f t="shared" ref="H7:H19" si="1">B7*G7*$N$3/$M$2</f>
        <v>0</v>
      </c>
      <c r="I7" s="197">
        <f>I2</f>
        <v>13566</v>
      </c>
      <c r="J7" s="197">
        <f>B7*I7*$N$3/$M$2</f>
        <v>142.88997967754719</v>
      </c>
    </row>
    <row r="8" spans="1:20">
      <c r="A8" s="191" t="s">
        <v>4892</v>
      </c>
      <c r="B8" s="191">
        <v>555409765</v>
      </c>
      <c r="C8" s="189">
        <v>300</v>
      </c>
      <c r="D8" s="189">
        <f t="shared" ref="D8:D15" si="2">B8*C8*$N$3/$M$2</f>
        <v>1.5604304836246949</v>
      </c>
      <c r="E8" s="191">
        <v>250</v>
      </c>
      <c r="F8" s="191">
        <f t="shared" si="0"/>
        <v>1.3003587363539126</v>
      </c>
      <c r="G8" s="191">
        <v>300</v>
      </c>
      <c r="H8" s="191">
        <f t="shared" si="1"/>
        <v>1.5604304836246949</v>
      </c>
      <c r="I8" s="191">
        <v>9300</v>
      </c>
      <c r="J8" s="191">
        <f t="shared" ref="J8:J15" si="3">B8*I8*$N$3/$M$2</f>
        <v>48.373344992365546</v>
      </c>
    </row>
    <row r="9" spans="1:20">
      <c r="A9" s="191" t="s">
        <v>4889</v>
      </c>
      <c r="B9" s="191">
        <v>4203087537</v>
      </c>
      <c r="C9" s="189">
        <v>300</v>
      </c>
      <c r="D9" s="189">
        <f t="shared" si="2"/>
        <v>11.808625507471655</v>
      </c>
      <c r="E9" s="191">
        <v>170</v>
      </c>
      <c r="F9" s="191">
        <f t="shared" si="0"/>
        <v>6.6915544542339385</v>
      </c>
      <c r="G9" s="191"/>
      <c r="H9" s="191">
        <f t="shared" si="1"/>
        <v>0</v>
      </c>
      <c r="I9" s="191">
        <f>I5</f>
        <v>1945</v>
      </c>
      <c r="J9" s="191">
        <f t="shared" si="3"/>
        <v>76.559255373441232</v>
      </c>
      <c r="L9" t="s">
        <v>25</v>
      </c>
    </row>
    <row r="10" spans="1:20">
      <c r="A10" s="213" t="s">
        <v>4895</v>
      </c>
      <c r="B10" s="213">
        <v>4123527587</v>
      </c>
      <c r="C10" s="189">
        <v>500</v>
      </c>
      <c r="D10" s="189">
        <f t="shared" si="2"/>
        <v>19.308501435338712</v>
      </c>
      <c r="E10" s="213">
        <v>208</v>
      </c>
      <c r="F10" s="213">
        <f t="shared" si="0"/>
        <v>8.0323365971009029</v>
      </c>
      <c r="G10" s="213"/>
      <c r="H10" s="213">
        <f t="shared" si="1"/>
        <v>0</v>
      </c>
      <c r="I10" s="213">
        <v>6200</v>
      </c>
      <c r="J10" s="213">
        <f t="shared" si="3"/>
        <v>239.42541779820002</v>
      </c>
    </row>
    <row r="11" spans="1:20">
      <c r="A11" s="198" t="s">
        <v>4896</v>
      </c>
      <c r="B11" s="198">
        <v>2635379034</v>
      </c>
      <c r="C11" s="189">
        <v>300</v>
      </c>
      <c r="D11" s="189">
        <f t="shared" si="2"/>
        <v>7.4041294188606885</v>
      </c>
      <c r="E11" s="198">
        <v>0</v>
      </c>
      <c r="F11" s="198">
        <f t="shared" si="0"/>
        <v>0</v>
      </c>
      <c r="G11" s="198"/>
      <c r="H11" s="198">
        <f t="shared" si="1"/>
        <v>0</v>
      </c>
      <c r="I11" s="198">
        <v>3630</v>
      </c>
      <c r="J11" s="198">
        <f t="shared" si="3"/>
        <v>89.589965968214329</v>
      </c>
    </row>
    <row r="12" spans="1:20">
      <c r="A12" s="191" t="s">
        <v>4897</v>
      </c>
      <c r="B12" s="191">
        <v>4858308125</v>
      </c>
      <c r="C12" s="189">
        <v>300</v>
      </c>
      <c r="D12" s="189">
        <f t="shared" si="2"/>
        <v>13.649475711129305</v>
      </c>
      <c r="E12" s="191">
        <v>240</v>
      </c>
      <c r="F12" s="191">
        <f t="shared" si="0"/>
        <v>10.919580568903443</v>
      </c>
      <c r="G12" s="191"/>
      <c r="H12" s="191">
        <f t="shared" si="1"/>
        <v>0</v>
      </c>
      <c r="I12" s="191">
        <v>2630</v>
      </c>
      <c r="J12" s="191">
        <f t="shared" si="3"/>
        <v>119.66040373423357</v>
      </c>
      <c r="O12" t="s">
        <v>4974</v>
      </c>
    </row>
    <row r="13" spans="1:20">
      <c r="A13" s="191" t="s">
        <v>4898</v>
      </c>
      <c r="B13" s="191">
        <v>1630533748</v>
      </c>
      <c r="C13" s="189">
        <v>70</v>
      </c>
      <c r="D13" s="189">
        <f t="shared" si="2"/>
        <v>1.0689010214951349</v>
      </c>
      <c r="E13" s="191">
        <v>60</v>
      </c>
      <c r="F13" s="191">
        <f t="shared" si="0"/>
        <v>0.91620087556725849</v>
      </c>
      <c r="G13" s="191"/>
      <c r="H13" s="191">
        <f t="shared" si="1"/>
        <v>0</v>
      </c>
      <c r="I13" s="191">
        <v>2280</v>
      </c>
      <c r="J13" s="191">
        <f t="shared" si="3"/>
        <v>34.815633271555825</v>
      </c>
      <c r="O13" s="99" t="s">
        <v>180</v>
      </c>
      <c r="P13" s="99" t="s">
        <v>267</v>
      </c>
      <c r="Q13" s="99" t="s">
        <v>4972</v>
      </c>
      <c r="R13" s="99"/>
      <c r="S13" s="96"/>
      <c r="T13" s="96"/>
    </row>
    <row r="14" spans="1:20">
      <c r="A14" s="191" t="s">
        <v>4382</v>
      </c>
      <c r="B14" s="191">
        <v>813533684</v>
      </c>
      <c r="C14" s="189">
        <v>1400</v>
      </c>
      <c r="D14" s="189">
        <f t="shared" si="2"/>
        <v>10.666286262580323</v>
      </c>
      <c r="E14" s="191">
        <v>1460</v>
      </c>
      <c r="F14" s="191">
        <f t="shared" si="0"/>
        <v>11.123412816690907</v>
      </c>
      <c r="G14" s="191"/>
      <c r="H14" s="191">
        <f t="shared" si="1"/>
        <v>0</v>
      </c>
      <c r="I14" s="191">
        <v>13000</v>
      </c>
      <c r="J14" s="191">
        <f>B14*I14*$N$3/$M$2</f>
        <v>99.044086723960149</v>
      </c>
      <c r="L14">
        <f>B12*2.575</f>
        <v>12510143421.875</v>
      </c>
      <c r="O14" s="99" t="s">
        <v>4965</v>
      </c>
      <c r="P14" s="18">
        <v>7500000</v>
      </c>
      <c r="Q14" s="99">
        <v>4</v>
      </c>
      <c r="R14" s="99"/>
      <c r="S14" s="96"/>
      <c r="T14" s="96"/>
    </row>
    <row r="15" spans="1:20">
      <c r="A15" s="191" t="s">
        <v>4899</v>
      </c>
      <c r="B15" s="191">
        <v>236958025</v>
      </c>
      <c r="C15" s="189">
        <v>300</v>
      </c>
      <c r="D15" s="189">
        <f t="shared" si="2"/>
        <v>0.66573645054566621</v>
      </c>
      <c r="E15" s="191">
        <v>270</v>
      </c>
      <c r="F15" s="191">
        <f t="shared" si="0"/>
        <v>0.59916280549109957</v>
      </c>
      <c r="G15" s="191"/>
      <c r="H15" s="191">
        <f t="shared" si="1"/>
        <v>0</v>
      </c>
      <c r="I15" s="191">
        <v>6900</v>
      </c>
      <c r="J15" s="191">
        <f t="shared" si="3"/>
        <v>15.31193836255032</v>
      </c>
      <c r="O15" s="99" t="s">
        <v>4971</v>
      </c>
      <c r="P15" s="18">
        <v>-500000</v>
      </c>
      <c r="Q15" s="99">
        <v>7</v>
      </c>
      <c r="R15" s="99"/>
      <c r="S15" s="96"/>
      <c r="T15" s="96"/>
    </row>
    <row r="16" spans="1:20">
      <c r="A16" s="213"/>
      <c r="B16" s="213"/>
      <c r="C16" s="213"/>
      <c r="D16" s="213"/>
      <c r="E16" s="213"/>
      <c r="F16" s="213">
        <f t="shared" si="0"/>
        <v>0</v>
      </c>
      <c r="G16" s="213"/>
      <c r="H16" s="213">
        <f t="shared" si="1"/>
        <v>0</v>
      </c>
      <c r="I16" s="213"/>
      <c r="J16" s="213">
        <v>222</v>
      </c>
      <c r="K16" t="s">
        <v>5537</v>
      </c>
      <c r="O16" s="99" t="s">
        <v>4979</v>
      </c>
      <c r="P16" s="18">
        <v>-7000000</v>
      </c>
      <c r="Q16" s="99">
        <v>1</v>
      </c>
      <c r="R16" s="99"/>
      <c r="S16" s="96"/>
      <c r="T16" s="96"/>
    </row>
    <row r="17" spans="1:22">
      <c r="A17" s="213"/>
      <c r="B17" s="213"/>
      <c r="C17" s="213"/>
      <c r="D17" s="213" t="s">
        <v>25</v>
      </c>
      <c r="E17" s="213"/>
      <c r="F17" s="213">
        <f t="shared" si="0"/>
        <v>0</v>
      </c>
      <c r="G17" s="213"/>
      <c r="H17" s="213">
        <f t="shared" si="1"/>
        <v>0</v>
      </c>
      <c r="I17" s="213"/>
      <c r="J17" s="213">
        <v>111</v>
      </c>
      <c r="K17" t="s">
        <v>5538</v>
      </c>
      <c r="O17" s="99" t="s">
        <v>4982</v>
      </c>
      <c r="P17" s="18">
        <v>2000000</v>
      </c>
      <c r="Q17" s="99">
        <v>6</v>
      </c>
      <c r="R17" s="99"/>
      <c r="S17" s="96"/>
      <c r="T17" s="96"/>
    </row>
    <row r="18" spans="1:22">
      <c r="A18" s="213"/>
      <c r="B18" s="213"/>
      <c r="C18" s="213"/>
      <c r="D18" s="213"/>
      <c r="E18" s="213"/>
      <c r="F18" s="213">
        <f t="shared" si="0"/>
        <v>0</v>
      </c>
      <c r="G18" s="213"/>
      <c r="H18" s="213">
        <f t="shared" si="1"/>
        <v>0</v>
      </c>
      <c r="I18" s="213"/>
      <c r="J18" s="213">
        <v>200</v>
      </c>
      <c r="K18" t="s">
        <v>5539</v>
      </c>
      <c r="O18" s="99" t="s">
        <v>4997</v>
      </c>
      <c r="P18" s="18">
        <v>1000000</v>
      </c>
      <c r="Q18" s="99">
        <v>3</v>
      </c>
      <c r="R18" s="99"/>
      <c r="S18" s="96"/>
      <c r="T18" s="96"/>
    </row>
    <row r="19" spans="1:22">
      <c r="A19" s="213"/>
      <c r="B19" s="213"/>
      <c r="C19" s="213"/>
      <c r="D19" s="213"/>
      <c r="E19" s="213"/>
      <c r="F19" s="213">
        <f t="shared" si="0"/>
        <v>0</v>
      </c>
      <c r="G19" s="213"/>
      <c r="H19" s="213">
        <f t="shared" si="1"/>
        <v>0</v>
      </c>
      <c r="I19" s="213"/>
      <c r="J19" s="213"/>
      <c r="O19" s="99" t="s">
        <v>5004</v>
      </c>
      <c r="P19" s="18">
        <v>200000</v>
      </c>
      <c r="Q19" s="99">
        <v>3</v>
      </c>
      <c r="R19" s="99"/>
      <c r="S19" s="96"/>
      <c r="T19" s="96"/>
    </row>
    <row r="20" spans="1:22">
      <c r="A20" s="213"/>
      <c r="B20" s="213"/>
      <c r="C20" s="213"/>
      <c r="D20" s="213"/>
      <c r="E20" s="213"/>
      <c r="F20" s="213"/>
      <c r="G20" s="213"/>
      <c r="H20" s="213"/>
      <c r="I20" s="213"/>
      <c r="J20" s="213"/>
      <c r="L20" t="s">
        <v>25</v>
      </c>
      <c r="O20" s="99" t="s">
        <v>5007</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5019</v>
      </c>
      <c r="P21" s="18">
        <v>6000000</v>
      </c>
      <c r="Q21" s="99">
        <v>1</v>
      </c>
      <c r="R21" s="99"/>
      <c r="S21" s="96"/>
      <c r="T21" s="96"/>
    </row>
    <row r="22" spans="1:22">
      <c r="A22" s="213"/>
      <c r="B22" s="213"/>
      <c r="C22" s="213"/>
      <c r="D22" s="213" t="s">
        <v>6</v>
      </c>
      <c r="E22" s="213"/>
      <c r="F22" s="213" t="s">
        <v>6</v>
      </c>
      <c r="G22" s="213"/>
      <c r="H22" s="213"/>
      <c r="I22" s="213"/>
      <c r="J22" s="213" t="s">
        <v>4465</v>
      </c>
      <c r="O22" s="99" t="s">
        <v>5020</v>
      </c>
      <c r="P22" s="18">
        <v>2000000</v>
      </c>
      <c r="Q22" s="99">
        <v>3</v>
      </c>
      <c r="R22" s="99"/>
      <c r="S22" s="96"/>
      <c r="T22" s="96"/>
    </row>
    <row r="23" spans="1:22">
      <c r="A23" s="213"/>
      <c r="B23" s="213"/>
      <c r="C23" s="213"/>
      <c r="D23" s="213"/>
      <c r="E23" s="213"/>
      <c r="F23" s="213"/>
      <c r="G23" s="213"/>
      <c r="H23" s="213">
        <v>820</v>
      </c>
      <c r="I23" s="213">
        <f>H23/J21</f>
        <v>0.46742758555093122</v>
      </c>
      <c r="J23" s="213"/>
      <c r="O23" s="99" t="s">
        <v>5027</v>
      </c>
      <c r="P23" s="18">
        <v>-50000</v>
      </c>
      <c r="Q23" s="99">
        <v>7</v>
      </c>
      <c r="R23" s="99"/>
      <c r="S23" s="96"/>
      <c r="T23" s="96"/>
    </row>
    <row r="24" spans="1:22">
      <c r="A24" s="213"/>
      <c r="B24" s="213"/>
      <c r="C24" s="213"/>
      <c r="D24" s="213"/>
      <c r="E24" s="213"/>
      <c r="F24" s="213"/>
      <c r="G24" s="213"/>
      <c r="H24" s="213" t="s">
        <v>5092</v>
      </c>
      <c r="I24" s="213" t="s">
        <v>5093</v>
      </c>
      <c r="J24" s="213"/>
      <c r="O24" s="99" t="s">
        <v>5033</v>
      </c>
      <c r="P24" s="18">
        <v>-2480000</v>
      </c>
      <c r="Q24" s="99">
        <v>5</v>
      </c>
      <c r="R24" s="99"/>
      <c r="S24" s="96"/>
      <c r="T24" s="96"/>
      <c r="V24" t="s">
        <v>25</v>
      </c>
    </row>
    <row r="25" spans="1:22">
      <c r="O25" s="99" t="s">
        <v>5041</v>
      </c>
      <c r="P25" s="18">
        <v>300000</v>
      </c>
      <c r="Q25" s="99">
        <v>1</v>
      </c>
      <c r="R25" s="99"/>
      <c r="S25" s="96"/>
      <c r="T25" s="96"/>
    </row>
    <row r="26" spans="1:22">
      <c r="O26" s="99" t="s">
        <v>4227</v>
      </c>
      <c r="P26" s="18">
        <v>300000</v>
      </c>
      <c r="Q26" s="99">
        <v>6</v>
      </c>
      <c r="R26" s="99"/>
      <c r="S26" s="96"/>
      <c r="T26" s="96"/>
    </row>
    <row r="27" spans="1:22">
      <c r="O27" s="99" t="s">
        <v>5050</v>
      </c>
      <c r="P27" s="18">
        <v>500000</v>
      </c>
      <c r="Q27" s="99">
        <v>2</v>
      </c>
      <c r="R27" s="99"/>
      <c r="S27" s="96"/>
      <c r="T27" s="96"/>
    </row>
    <row r="28" spans="1:22">
      <c r="C28" s="96" t="s">
        <v>5162</v>
      </c>
      <c r="D28" s="96" t="s">
        <v>5168</v>
      </c>
      <c r="E28" t="s">
        <v>5169</v>
      </c>
      <c r="F28" t="s">
        <v>5171</v>
      </c>
      <c r="G28" t="s">
        <v>5172</v>
      </c>
      <c r="O28" s="99" t="s">
        <v>5056</v>
      </c>
      <c r="P28" s="18">
        <v>100000</v>
      </c>
      <c r="Q28" s="99">
        <v>1</v>
      </c>
      <c r="R28" s="99"/>
      <c r="S28" s="96"/>
      <c r="T28" s="96"/>
    </row>
    <row r="29" spans="1:22">
      <c r="C29" s="96" t="s">
        <v>5167</v>
      </c>
      <c r="D29" s="96">
        <v>1306</v>
      </c>
      <c r="E29">
        <v>0.53500000000000003</v>
      </c>
      <c r="F29">
        <f t="shared" ref="F29:F35" si="4">D29*E29*$D$40</f>
        <v>698710000</v>
      </c>
      <c r="G29">
        <f>F29*11400/1000000000</f>
        <v>7965.2939999999999</v>
      </c>
      <c r="J29" t="s">
        <v>25</v>
      </c>
      <c r="O29" s="99" t="s">
        <v>5057</v>
      </c>
      <c r="P29" s="18">
        <v>-6423626</v>
      </c>
      <c r="Q29" s="99">
        <v>1</v>
      </c>
      <c r="R29" s="99"/>
      <c r="S29" s="96"/>
      <c r="T29" s="96"/>
    </row>
    <row r="30" spans="1:22">
      <c r="B30" s="96"/>
      <c r="C30" s="96" t="s">
        <v>5173</v>
      </c>
      <c r="D30" s="96">
        <v>10</v>
      </c>
      <c r="E30" s="96">
        <v>0.5</v>
      </c>
      <c r="F30" s="96">
        <f t="shared" si="4"/>
        <v>5000000</v>
      </c>
      <c r="G30" s="96">
        <f t="shared" ref="G30:G35" si="5">F30*11400/1000000000</f>
        <v>57</v>
      </c>
      <c r="O30" s="99" t="s">
        <v>5060</v>
      </c>
      <c r="P30" s="18">
        <v>-4592486</v>
      </c>
      <c r="Q30" s="99">
        <v>0</v>
      </c>
      <c r="R30" s="99"/>
      <c r="S30" s="96"/>
      <c r="T30" s="96"/>
      <c r="V30" t="s">
        <v>25</v>
      </c>
    </row>
    <row r="31" spans="1:22">
      <c r="B31" s="96"/>
      <c r="C31" s="96" t="s">
        <v>5174</v>
      </c>
      <c r="D31" s="96">
        <v>492</v>
      </c>
      <c r="E31" s="96">
        <v>0.65</v>
      </c>
      <c r="F31" s="96">
        <f t="shared" si="4"/>
        <v>319800000</v>
      </c>
      <c r="G31" s="96">
        <f t="shared" si="5"/>
        <v>3645.72</v>
      </c>
      <c r="J31" t="s">
        <v>25</v>
      </c>
      <c r="O31" s="99" t="s">
        <v>5060</v>
      </c>
      <c r="P31" s="18">
        <v>4346112</v>
      </c>
      <c r="Q31" s="99">
        <v>11</v>
      </c>
      <c r="R31" s="99"/>
      <c r="S31" s="96"/>
      <c r="T31" s="96"/>
    </row>
    <row r="32" spans="1:22">
      <c r="B32" s="96"/>
      <c r="C32" s="96" t="s">
        <v>5175</v>
      </c>
      <c r="D32" s="96">
        <v>235</v>
      </c>
      <c r="E32" s="96">
        <v>1</v>
      </c>
      <c r="F32" s="96">
        <f t="shared" si="4"/>
        <v>235000000</v>
      </c>
      <c r="G32" s="96">
        <f t="shared" si="5"/>
        <v>2679</v>
      </c>
      <c r="O32" s="99" t="s">
        <v>5076</v>
      </c>
      <c r="P32" s="18">
        <v>1500000</v>
      </c>
      <c r="Q32" s="99">
        <v>16</v>
      </c>
      <c r="R32" s="99"/>
      <c r="S32" s="96"/>
      <c r="T32" s="96"/>
    </row>
    <row r="33" spans="1:22">
      <c r="A33" s="96"/>
      <c r="B33" s="96"/>
      <c r="C33" s="96" t="s">
        <v>5176</v>
      </c>
      <c r="D33" s="96">
        <v>500</v>
      </c>
      <c r="E33" s="96">
        <v>0.6</v>
      </c>
      <c r="F33" s="96">
        <f t="shared" si="4"/>
        <v>300000000</v>
      </c>
      <c r="G33" s="96">
        <f t="shared" si="5"/>
        <v>3420</v>
      </c>
      <c r="O33" s="99" t="s">
        <v>5063</v>
      </c>
      <c r="P33" s="18">
        <v>6000000</v>
      </c>
      <c r="Q33" s="99">
        <v>8</v>
      </c>
      <c r="R33" s="99"/>
      <c r="S33" s="96"/>
      <c r="T33" s="96"/>
    </row>
    <row r="34" spans="1:22">
      <c r="A34" s="96"/>
      <c r="B34" s="96"/>
      <c r="C34" s="96" t="s">
        <v>5177</v>
      </c>
      <c r="D34" s="96">
        <v>903</v>
      </c>
      <c r="E34" s="96">
        <v>1</v>
      </c>
      <c r="F34" s="96">
        <f t="shared" si="4"/>
        <v>903000000</v>
      </c>
      <c r="G34" s="96">
        <f t="shared" si="5"/>
        <v>10294.200000000001</v>
      </c>
      <c r="O34" s="99" t="s">
        <v>5117</v>
      </c>
      <c r="P34" s="18">
        <v>-50000</v>
      </c>
      <c r="Q34" s="99">
        <v>3</v>
      </c>
      <c r="R34" s="99"/>
      <c r="S34" s="96"/>
      <c r="T34" s="96"/>
    </row>
    <row r="35" spans="1:22">
      <c r="A35" s="96"/>
      <c r="B35" s="96"/>
      <c r="E35" s="96"/>
      <c r="F35" s="96">
        <f t="shared" si="4"/>
        <v>0</v>
      </c>
      <c r="G35" s="96">
        <f t="shared" si="5"/>
        <v>0</v>
      </c>
      <c r="O35" s="99" t="s">
        <v>5120</v>
      </c>
      <c r="P35" s="18">
        <v>-20000</v>
      </c>
      <c r="Q35" s="99">
        <v>7</v>
      </c>
      <c r="R35" s="99"/>
      <c r="S35" s="96"/>
      <c r="T35" s="96"/>
    </row>
    <row r="36" spans="1:22">
      <c r="A36" s="96"/>
      <c r="B36" s="96"/>
      <c r="E36" s="96"/>
      <c r="F36" s="96"/>
      <c r="G36" s="96"/>
      <c r="N36" t="s">
        <v>25</v>
      </c>
      <c r="O36" s="99" t="s">
        <v>5078</v>
      </c>
      <c r="P36" s="18">
        <v>6000000</v>
      </c>
      <c r="Q36" s="99">
        <v>1</v>
      </c>
      <c r="R36" s="99"/>
      <c r="S36" s="96"/>
      <c r="T36" s="96"/>
      <c r="V36" t="s">
        <v>25</v>
      </c>
    </row>
    <row r="37" spans="1:22">
      <c r="A37" s="96"/>
      <c r="B37" s="96"/>
      <c r="E37" s="96"/>
      <c r="F37" s="96"/>
      <c r="G37" s="96"/>
      <c r="O37" s="99" t="s">
        <v>5138</v>
      </c>
      <c r="P37" s="18">
        <v>-2302282</v>
      </c>
      <c r="Q37" s="99">
        <v>6</v>
      </c>
      <c r="R37" s="99"/>
      <c r="S37" s="96"/>
      <c r="T37" s="96"/>
    </row>
    <row r="38" spans="1:22">
      <c r="A38" s="96"/>
      <c r="B38" s="96"/>
      <c r="E38" s="96"/>
      <c r="F38" s="96"/>
      <c r="O38" s="99" t="s">
        <v>5144</v>
      </c>
      <c r="P38" s="18">
        <v>100000</v>
      </c>
      <c r="Q38" s="99">
        <v>1</v>
      </c>
      <c r="R38" s="99"/>
      <c r="S38" s="96"/>
      <c r="T38" s="96"/>
    </row>
    <row r="39" spans="1:22">
      <c r="A39" s="96"/>
      <c r="B39" s="96"/>
      <c r="C39" s="96" t="s">
        <v>5163</v>
      </c>
      <c r="D39" s="96" t="s">
        <v>5164</v>
      </c>
      <c r="E39" s="96"/>
      <c r="F39" s="96"/>
      <c r="O39" s="99" t="s">
        <v>5147</v>
      </c>
      <c r="P39" s="18">
        <v>-1727718</v>
      </c>
      <c r="Q39" s="99">
        <v>2</v>
      </c>
      <c r="R39" s="99"/>
      <c r="S39" s="96"/>
      <c r="T39" s="96"/>
      <c r="V39" t="s">
        <v>25</v>
      </c>
    </row>
    <row r="40" spans="1:22">
      <c r="A40" s="96"/>
      <c r="B40" s="96"/>
      <c r="C40" s="96" t="s">
        <v>5170</v>
      </c>
      <c r="D40" s="96">
        <v>1000000</v>
      </c>
      <c r="E40" s="96"/>
      <c r="F40" s="96"/>
      <c r="O40" s="99" t="s">
        <v>5151</v>
      </c>
      <c r="P40" s="18">
        <v>-1000000</v>
      </c>
      <c r="Q40" s="99">
        <v>0</v>
      </c>
      <c r="R40" s="99"/>
      <c r="S40" s="96"/>
      <c r="T40" s="96"/>
    </row>
    <row r="41" spans="1:22">
      <c r="A41" s="96"/>
      <c r="B41" s="96"/>
      <c r="C41" s="96" t="s">
        <v>5165</v>
      </c>
      <c r="D41" s="96" t="s">
        <v>5166</v>
      </c>
      <c r="E41" s="96"/>
      <c r="F41" s="96"/>
      <c r="O41" s="99" t="s">
        <v>5151</v>
      </c>
      <c r="P41" s="18">
        <v>-439200</v>
      </c>
      <c r="Q41" s="99">
        <v>1</v>
      </c>
      <c r="R41" s="99"/>
      <c r="S41" s="96"/>
      <c r="T41" s="96"/>
    </row>
    <row r="42" spans="1:22">
      <c r="A42" s="96"/>
      <c r="B42" s="96"/>
      <c r="E42" s="96"/>
      <c r="F42" s="96"/>
      <c r="O42" s="99" t="s">
        <v>5156</v>
      </c>
      <c r="P42" s="18">
        <v>-3631879</v>
      </c>
      <c r="Q42" s="99">
        <v>3</v>
      </c>
      <c r="R42" s="99"/>
      <c r="S42" s="96"/>
      <c r="T42" s="96"/>
    </row>
    <row r="43" spans="1:22">
      <c r="A43" s="96"/>
      <c r="B43" s="96"/>
      <c r="E43" s="96"/>
      <c r="F43" s="96"/>
      <c r="O43" s="99" t="s">
        <v>5181</v>
      </c>
      <c r="P43" s="18">
        <v>-2428921</v>
      </c>
      <c r="Q43" s="99">
        <v>9</v>
      </c>
      <c r="R43" s="99"/>
      <c r="S43" s="96"/>
      <c r="T43" s="96"/>
    </row>
    <row r="44" spans="1:22">
      <c r="A44" s="96"/>
      <c r="B44" s="96"/>
      <c r="E44" s="96"/>
      <c r="F44" s="96"/>
      <c r="O44" s="99" t="s">
        <v>5202</v>
      </c>
      <c r="P44" s="18">
        <v>-500000</v>
      </c>
      <c r="Q44" s="99">
        <v>1</v>
      </c>
      <c r="R44" s="99"/>
      <c r="S44" s="96"/>
      <c r="T44" s="96"/>
    </row>
    <row r="45" spans="1:22">
      <c r="A45" s="96"/>
      <c r="B45" s="96"/>
      <c r="E45" s="96"/>
      <c r="F45" s="96"/>
      <c r="O45" s="99" t="s">
        <v>5203</v>
      </c>
      <c r="P45" s="18">
        <v>-2603</v>
      </c>
      <c r="Q45" s="99">
        <v>0</v>
      </c>
      <c r="R45" s="99" t="s">
        <v>5204</v>
      </c>
      <c r="S45" s="96"/>
      <c r="T45" s="96"/>
    </row>
    <row r="46" spans="1:22">
      <c r="A46" s="96"/>
      <c r="B46" s="96" t="s">
        <v>4884</v>
      </c>
      <c r="C46" s="96" t="s">
        <v>4262</v>
      </c>
      <c r="D46" s="96" t="s">
        <v>4447</v>
      </c>
      <c r="E46" s="96" t="s">
        <v>5168</v>
      </c>
      <c r="F46" s="96" t="s">
        <v>5523</v>
      </c>
      <c r="O46" s="99" t="s">
        <v>5203</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5219</v>
      </c>
      <c r="P48" s="18">
        <v>300000</v>
      </c>
      <c r="Q48" s="99">
        <v>3</v>
      </c>
      <c r="R48" s="99"/>
      <c r="S48" s="96"/>
      <c r="T48" s="96"/>
    </row>
    <row r="49" spans="1:21">
      <c r="A49" s="96"/>
      <c r="B49" s="96"/>
      <c r="E49" s="96"/>
      <c r="F49" s="96"/>
      <c r="O49" s="99" t="s">
        <v>5226</v>
      </c>
      <c r="P49" s="18">
        <v>-50000</v>
      </c>
      <c r="Q49" s="99">
        <v>3</v>
      </c>
      <c r="R49" s="99"/>
      <c r="S49" s="96"/>
      <c r="T49" s="96"/>
    </row>
    <row r="50" spans="1:21">
      <c r="A50" s="96"/>
      <c r="B50" s="96"/>
      <c r="E50" s="96"/>
      <c r="F50" s="96"/>
      <c r="O50" s="99" t="s">
        <v>5231</v>
      </c>
      <c r="P50" s="18">
        <v>-1683146</v>
      </c>
      <c r="Q50" s="99">
        <v>10</v>
      </c>
      <c r="R50" s="99"/>
      <c r="S50" s="96"/>
      <c r="T50" s="96"/>
    </row>
    <row r="51" spans="1:21">
      <c r="A51" s="96"/>
      <c r="B51" s="96"/>
      <c r="E51" s="96"/>
      <c r="F51" s="96"/>
      <c r="O51" s="99" t="s">
        <v>5243</v>
      </c>
      <c r="P51" s="18">
        <v>700000</v>
      </c>
      <c r="Q51" s="99">
        <v>18</v>
      </c>
      <c r="R51" s="99"/>
      <c r="S51" s="96"/>
      <c r="T51" s="96"/>
    </row>
    <row r="52" spans="1:21">
      <c r="A52" s="96"/>
      <c r="B52" s="96"/>
      <c r="E52" s="96"/>
      <c r="F52" s="96"/>
      <c r="O52" s="99" t="s">
        <v>5258</v>
      </c>
      <c r="P52" s="18">
        <v>-700000</v>
      </c>
      <c r="Q52" s="99">
        <v>46</v>
      </c>
      <c r="R52" s="99"/>
    </row>
    <row r="53" spans="1:21">
      <c r="A53" s="96"/>
      <c r="B53" s="96"/>
      <c r="E53" s="96"/>
      <c r="F53" s="96"/>
      <c r="K53" t="s">
        <v>25</v>
      </c>
      <c r="O53" s="99" t="s">
        <v>5309</v>
      </c>
      <c r="P53" s="18">
        <v>1000000</v>
      </c>
      <c r="Q53" s="99">
        <v>4</v>
      </c>
      <c r="R53" s="99"/>
    </row>
    <row r="54" spans="1:21">
      <c r="A54" s="96"/>
      <c r="B54" s="96"/>
      <c r="E54" s="96"/>
      <c r="F54" s="96"/>
      <c r="O54" s="99" t="s">
        <v>5313</v>
      </c>
      <c r="P54" s="18">
        <v>1500000</v>
      </c>
      <c r="Q54" s="99">
        <v>1</v>
      </c>
      <c r="R54" s="99"/>
    </row>
    <row r="55" spans="1:21">
      <c r="A55" s="96"/>
      <c r="B55" s="96"/>
      <c r="E55" s="96"/>
      <c r="F55" s="96"/>
      <c r="O55" s="99" t="s">
        <v>5314</v>
      </c>
      <c r="P55" s="18">
        <v>-1500000</v>
      </c>
      <c r="Q55" s="99">
        <v>15</v>
      </c>
      <c r="R55" s="99"/>
    </row>
    <row r="56" spans="1:21">
      <c r="A56" s="96"/>
      <c r="B56" s="96"/>
      <c r="E56" s="96"/>
      <c r="F56" s="96"/>
      <c r="O56" s="99" t="s">
        <v>5345</v>
      </c>
      <c r="P56" s="18">
        <v>-100000</v>
      </c>
      <c r="Q56" s="99">
        <v>5</v>
      </c>
      <c r="R56" s="99"/>
    </row>
    <row r="57" spans="1:21">
      <c r="A57" s="96"/>
      <c r="B57" s="96"/>
      <c r="E57" s="96"/>
      <c r="F57" s="96"/>
      <c r="O57" s="99" t="s">
        <v>5351</v>
      </c>
      <c r="P57" s="18">
        <v>1164690</v>
      </c>
      <c r="Q57" s="99">
        <v>4</v>
      </c>
      <c r="R57" s="99"/>
      <c r="S57" t="s">
        <v>25</v>
      </c>
    </row>
    <row r="58" spans="1:21">
      <c r="A58" s="96"/>
      <c r="B58" s="96"/>
      <c r="E58" s="96"/>
      <c r="F58" s="96"/>
      <c r="O58" s="99" t="s">
        <v>5361</v>
      </c>
      <c r="P58" s="18">
        <v>1000000</v>
      </c>
      <c r="Q58" s="99">
        <v>4</v>
      </c>
      <c r="R58" s="99"/>
    </row>
    <row r="59" spans="1:21">
      <c r="A59" s="96"/>
      <c r="B59" s="96"/>
      <c r="E59" s="96"/>
      <c r="F59" s="96"/>
      <c r="O59" s="99" t="s">
        <v>5366</v>
      </c>
      <c r="P59" s="18">
        <v>-264690</v>
      </c>
      <c r="Q59" s="99">
        <v>7</v>
      </c>
      <c r="R59" s="99"/>
    </row>
    <row r="60" spans="1:21">
      <c r="A60" s="96"/>
      <c r="B60" s="96"/>
      <c r="E60" s="96"/>
      <c r="F60" s="96"/>
      <c r="N60" t="s">
        <v>25</v>
      </c>
      <c r="O60" s="99" t="s">
        <v>5384</v>
      </c>
      <c r="P60" s="18">
        <v>2700000</v>
      </c>
      <c r="Q60" s="99">
        <v>0</v>
      </c>
      <c r="R60" s="99"/>
    </row>
    <row r="61" spans="1:21">
      <c r="A61" s="96"/>
      <c r="B61" s="96"/>
      <c r="E61" s="96"/>
      <c r="F61" s="96"/>
      <c r="O61" s="99" t="s">
        <v>5384</v>
      </c>
      <c r="P61" s="18">
        <v>-1000000</v>
      </c>
      <c r="Q61" s="99">
        <v>1</v>
      </c>
      <c r="R61" s="99" t="s">
        <v>5387</v>
      </c>
    </row>
    <row r="62" spans="1:21">
      <c r="A62" s="96"/>
      <c r="B62" s="96"/>
      <c r="E62" s="96"/>
      <c r="F62" s="96"/>
      <c r="O62" s="99" t="s">
        <v>5389</v>
      </c>
      <c r="P62" s="18">
        <v>-75616</v>
      </c>
      <c r="Q62" s="99">
        <v>2</v>
      </c>
      <c r="R62" s="99" t="s">
        <v>5390</v>
      </c>
    </row>
    <row r="63" spans="1:21">
      <c r="A63" s="96"/>
      <c r="B63" s="96"/>
      <c r="E63" s="96"/>
      <c r="F63" s="96"/>
      <c r="O63" s="99" t="s">
        <v>975</v>
      </c>
      <c r="P63" s="18">
        <v>-2424384</v>
      </c>
      <c r="Q63" s="99">
        <v>2</v>
      </c>
      <c r="R63" s="99"/>
      <c r="U63" t="s">
        <v>25</v>
      </c>
    </row>
    <row r="64" spans="1:21">
      <c r="A64" s="96"/>
      <c r="B64" s="96"/>
      <c r="E64" s="96"/>
      <c r="F64" s="96"/>
      <c r="O64" s="99" t="s">
        <v>5404</v>
      </c>
      <c r="P64" s="18">
        <v>-2000000</v>
      </c>
      <c r="Q64" s="99">
        <v>6</v>
      </c>
      <c r="R64" s="99"/>
    </row>
    <row r="65" spans="1:21">
      <c r="A65" s="96"/>
      <c r="B65" s="96"/>
      <c r="E65" s="96"/>
      <c r="F65" s="96"/>
      <c r="O65" s="99" t="s">
        <v>5441</v>
      </c>
      <c r="P65" s="18">
        <v>2500000</v>
      </c>
      <c r="Q65" s="99">
        <v>1</v>
      </c>
      <c r="R65" s="99"/>
    </row>
    <row r="66" spans="1:21">
      <c r="A66" s="96"/>
      <c r="B66" s="96"/>
      <c r="E66" s="96"/>
      <c r="F66" s="96"/>
      <c r="O66" s="99" t="s">
        <v>5444</v>
      </c>
      <c r="P66" s="18">
        <v>3000000</v>
      </c>
      <c r="Q66" s="99">
        <v>3</v>
      </c>
      <c r="R66" s="99"/>
    </row>
    <row r="67" spans="1:21">
      <c r="A67" s="96"/>
      <c r="B67" s="96"/>
      <c r="E67" s="96"/>
      <c r="F67" s="96"/>
      <c r="O67" s="99" t="s">
        <v>5452</v>
      </c>
      <c r="P67" s="18">
        <v>-300000</v>
      </c>
      <c r="Q67" s="99">
        <v>5</v>
      </c>
      <c r="R67" s="99"/>
    </row>
    <row r="68" spans="1:21">
      <c r="A68" s="96"/>
      <c r="B68" s="96"/>
      <c r="E68" s="96"/>
      <c r="F68" s="96"/>
      <c r="O68" s="99" t="s">
        <v>5464</v>
      </c>
      <c r="P68" s="18">
        <v>500000</v>
      </c>
      <c r="Q68" s="99">
        <v>1</v>
      </c>
      <c r="R68" s="99"/>
    </row>
    <row r="69" spans="1:21">
      <c r="A69" s="96"/>
      <c r="B69" s="96"/>
      <c r="E69" s="96"/>
      <c r="F69" s="96"/>
      <c r="O69" s="99" t="s">
        <v>5466</v>
      </c>
      <c r="P69" s="18">
        <v>1000000</v>
      </c>
      <c r="Q69" s="99">
        <v>5</v>
      </c>
      <c r="R69" s="99"/>
    </row>
    <row r="70" spans="1:21">
      <c r="A70" s="96"/>
      <c r="B70" s="96"/>
      <c r="E70" s="96"/>
      <c r="F70" s="96"/>
      <c r="O70" s="99" t="s">
        <v>5472</v>
      </c>
      <c r="P70" s="18">
        <v>-2700000</v>
      </c>
      <c r="Q70" s="99">
        <v>1</v>
      </c>
      <c r="R70" s="99"/>
    </row>
    <row r="71" spans="1:21">
      <c r="A71" s="96"/>
      <c r="B71" s="96"/>
      <c r="E71" s="96"/>
      <c r="F71" s="96"/>
      <c r="M71" t="s">
        <v>25</v>
      </c>
      <c r="O71" s="99" t="s">
        <v>5475</v>
      </c>
      <c r="P71" s="18">
        <v>-3600000</v>
      </c>
      <c r="Q71" s="99">
        <v>1</v>
      </c>
      <c r="R71" s="99"/>
    </row>
    <row r="72" spans="1:21">
      <c r="A72" s="96"/>
      <c r="B72" s="96"/>
      <c r="E72" s="96"/>
      <c r="F72" s="96"/>
      <c r="O72" s="99" t="s">
        <v>999</v>
      </c>
      <c r="P72" s="18">
        <v>-400000</v>
      </c>
      <c r="Q72" s="99">
        <v>17</v>
      </c>
      <c r="R72" s="99"/>
    </row>
    <row r="73" spans="1:21">
      <c r="A73" s="96"/>
      <c r="B73" s="96"/>
      <c r="E73" s="96"/>
      <c r="F73" s="96"/>
      <c r="O73" s="99" t="s">
        <v>5499</v>
      </c>
      <c r="P73" s="18">
        <v>1000000</v>
      </c>
      <c r="Q73" s="99">
        <v>20</v>
      </c>
      <c r="R73" s="99"/>
    </row>
    <row r="74" spans="1:21">
      <c r="A74" s="96"/>
      <c r="B74" s="96"/>
      <c r="E74" s="96"/>
      <c r="F74" s="96"/>
      <c r="O74" s="99" t="s">
        <v>5534</v>
      </c>
      <c r="P74" s="18">
        <v>-1000000</v>
      </c>
      <c r="Q74" s="99">
        <v>25</v>
      </c>
      <c r="R74" s="99"/>
    </row>
    <row r="75" spans="1:21">
      <c r="A75" s="96"/>
      <c r="B75" s="96"/>
      <c r="E75" s="96"/>
      <c r="F75" s="96"/>
      <c r="O75" s="99" t="s">
        <v>5581</v>
      </c>
      <c r="P75" s="18">
        <v>300000</v>
      </c>
      <c r="Q75" s="99">
        <v>3</v>
      </c>
      <c r="R75" s="99"/>
    </row>
    <row r="76" spans="1:21">
      <c r="A76" s="96"/>
      <c r="B76" s="96"/>
      <c r="E76" s="96"/>
      <c r="F76" s="96"/>
      <c r="O76" s="99" t="s">
        <v>5588</v>
      </c>
      <c r="P76" s="18">
        <v>-300000</v>
      </c>
      <c r="Q76" s="99">
        <v>9</v>
      </c>
      <c r="R76" s="99"/>
    </row>
    <row r="77" spans="1:21">
      <c r="A77" s="96"/>
      <c r="B77" s="96"/>
      <c r="E77" s="96"/>
      <c r="F77" s="96"/>
      <c r="O77" s="99" t="s">
        <v>5615</v>
      </c>
      <c r="P77" s="18">
        <v>1000000</v>
      </c>
      <c r="Q77" s="99">
        <v>1</v>
      </c>
      <c r="R77" s="99"/>
      <c r="U77" t="s">
        <v>25</v>
      </c>
    </row>
    <row r="78" spans="1:21">
      <c r="A78" s="96"/>
      <c r="B78" s="96"/>
      <c r="E78" s="96"/>
      <c r="F78" s="96"/>
      <c r="O78" s="99"/>
      <c r="P78" s="18"/>
      <c r="Q78" s="99"/>
      <c r="R78" s="99"/>
    </row>
    <row r="79" spans="1:21">
      <c r="A79" s="96"/>
      <c r="B79" s="96"/>
      <c r="E79" s="96"/>
      <c r="F79" s="96"/>
      <c r="O79" s="99"/>
      <c r="P79" s="18"/>
      <c r="Q79" s="99"/>
      <c r="R79" s="99"/>
    </row>
    <row r="80" spans="1:21">
      <c r="A80" s="96"/>
      <c r="B80" s="96"/>
      <c r="E80" s="96"/>
      <c r="F80" s="96"/>
      <c r="O80" s="99"/>
      <c r="P80" s="18"/>
      <c r="Q80" s="99"/>
      <c r="R80" s="99"/>
    </row>
    <row r="81" spans="2:19">
      <c r="B81" s="96"/>
      <c r="E81" s="96"/>
      <c r="F81" s="96"/>
      <c r="O81" s="99"/>
      <c r="P81" s="18">
        <f>SUM(P14:P80)</f>
        <v>1000000</v>
      </c>
      <c r="Q81" s="99"/>
      <c r="R81" s="99"/>
    </row>
    <row r="82" spans="2:19">
      <c r="E82" s="96"/>
      <c r="F82" s="96"/>
      <c r="P82" t="s">
        <v>4973</v>
      </c>
    </row>
    <row r="83" spans="2:19">
      <c r="E83" s="96"/>
      <c r="F83" s="96"/>
    </row>
    <row r="84" spans="2:19">
      <c r="E84" s="96"/>
      <c r="F84" s="96"/>
      <c r="O84" t="s">
        <v>25</v>
      </c>
    </row>
    <row r="85" spans="2:19">
      <c r="E85" s="96"/>
      <c r="F85" s="96"/>
    </row>
    <row r="86" spans="2:19">
      <c r="E86" s="96"/>
      <c r="F86" s="96"/>
      <c r="Q86" t="s">
        <v>25</v>
      </c>
    </row>
    <row r="87" spans="2:19">
      <c r="O87" t="s">
        <v>25</v>
      </c>
      <c r="R87" t="s">
        <v>25</v>
      </c>
      <c r="S87" t="s">
        <v>25</v>
      </c>
    </row>
    <row r="88" spans="2:19">
      <c r="P88" t="s">
        <v>25</v>
      </c>
      <c r="R88" t="s">
        <v>25</v>
      </c>
    </row>
    <row r="89" spans="2:19">
      <c r="R89" t="s">
        <v>25</v>
      </c>
    </row>
    <row r="90" spans="2:19">
      <c r="O90"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opLeftCell="A118" workbookViewId="0">
      <selection activeCell="D133" sqref="D13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4900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4901</v>
      </c>
      <c r="F55" s="114"/>
      <c r="G55" s="41"/>
      <c r="H55" s="96"/>
      <c r="I55" s="96"/>
      <c r="J55" s="96"/>
      <c r="K55" s="96"/>
      <c r="L55" s="96"/>
      <c r="M55" s="96"/>
      <c r="N55" s="96"/>
      <c r="O55" s="96"/>
      <c r="P55" s="96"/>
      <c r="Q55" s="96"/>
      <c r="R55" s="96"/>
      <c r="S55" s="96"/>
      <c r="T55" s="96"/>
      <c r="U55" s="96"/>
    </row>
    <row r="56" spans="1:21">
      <c r="A56" s="96"/>
      <c r="B56" s="96"/>
      <c r="C56" s="96"/>
      <c r="D56" s="18">
        <v>1465000</v>
      </c>
      <c r="E56" s="122" t="s">
        <v>4909</v>
      </c>
      <c r="F56" s="114"/>
      <c r="G56" s="41"/>
      <c r="H56" s="96"/>
      <c r="I56" s="96"/>
      <c r="J56" s="96"/>
      <c r="K56" s="96"/>
      <c r="L56" s="96"/>
      <c r="M56" s="96"/>
      <c r="N56" s="96"/>
      <c r="O56" s="96"/>
      <c r="P56" s="96"/>
      <c r="Q56" s="96"/>
      <c r="R56" s="96"/>
      <c r="S56" s="96"/>
      <c r="T56" s="96"/>
      <c r="U56" s="96"/>
    </row>
    <row r="57" spans="1:21">
      <c r="A57" s="96"/>
      <c r="B57" s="96"/>
      <c r="C57" s="96"/>
      <c r="D57" s="18">
        <v>2600000</v>
      </c>
      <c r="E57" s="122" t="s">
        <v>4945</v>
      </c>
      <c r="F57" s="114"/>
      <c r="G57" s="41"/>
      <c r="H57" s="96"/>
      <c r="I57" s="96"/>
      <c r="J57" s="96"/>
      <c r="K57" s="96"/>
      <c r="L57" s="96"/>
      <c r="M57" s="96"/>
      <c r="N57" s="96"/>
      <c r="O57" s="96"/>
      <c r="P57" s="96"/>
      <c r="Q57" s="96"/>
      <c r="R57" s="96"/>
      <c r="S57" s="96"/>
      <c r="T57" s="96"/>
      <c r="U57" s="96"/>
    </row>
    <row r="58" spans="1:21">
      <c r="A58" s="96"/>
      <c r="B58" s="96"/>
      <c r="C58" s="96"/>
      <c r="D58" s="18">
        <v>-1170000</v>
      </c>
      <c r="E58" s="122" t="s">
        <v>4954</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4953</v>
      </c>
      <c r="F59" s="114"/>
      <c r="G59" s="96"/>
      <c r="H59" s="96"/>
      <c r="I59" s="96"/>
      <c r="J59" s="96"/>
      <c r="K59" s="96"/>
      <c r="L59" s="96"/>
      <c r="M59" s="96"/>
      <c r="N59" s="96"/>
      <c r="O59" s="96"/>
      <c r="P59" s="96"/>
      <c r="Q59" s="96"/>
      <c r="R59" s="96"/>
      <c r="S59" s="96"/>
      <c r="T59" s="96"/>
      <c r="U59" s="96"/>
    </row>
    <row r="60" spans="1:21">
      <c r="A60" s="96"/>
      <c r="B60" s="96"/>
      <c r="C60" s="96"/>
      <c r="D60" s="18">
        <v>360000</v>
      </c>
      <c r="E60" s="122" t="s">
        <v>4962</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4980</v>
      </c>
      <c r="F61" s="96"/>
      <c r="G61" s="96"/>
      <c r="H61" s="96"/>
      <c r="I61" s="96"/>
      <c r="J61" s="96"/>
      <c r="K61" s="96"/>
      <c r="L61" s="96"/>
      <c r="M61" s="96"/>
      <c r="N61" s="96"/>
      <c r="O61" s="96"/>
      <c r="P61" s="96"/>
      <c r="Q61" s="96"/>
      <c r="R61" s="96"/>
      <c r="S61" s="96"/>
      <c r="T61" s="96"/>
      <c r="U61" s="96"/>
    </row>
    <row r="62" spans="1:21">
      <c r="A62" s="96"/>
      <c r="B62" s="96"/>
      <c r="C62" s="96"/>
      <c r="D62" s="18">
        <v>-550000</v>
      </c>
      <c r="E62" s="251" t="s">
        <v>4983</v>
      </c>
      <c r="F62" s="96"/>
      <c r="G62" s="96"/>
      <c r="H62" s="96"/>
      <c r="I62" s="96"/>
      <c r="J62" s="96"/>
      <c r="K62" s="96"/>
      <c r="L62" s="96"/>
      <c r="M62" s="96"/>
      <c r="N62" s="96"/>
      <c r="O62" s="96"/>
      <c r="P62" s="96"/>
      <c r="Q62" s="96"/>
      <c r="R62" s="96"/>
      <c r="S62" s="96"/>
      <c r="T62" s="96"/>
      <c r="U62" s="96"/>
    </row>
    <row r="63" spans="1:21">
      <c r="A63" s="96"/>
      <c r="B63" s="96"/>
      <c r="C63" s="96"/>
      <c r="D63" s="18">
        <v>-850000</v>
      </c>
      <c r="E63" s="251" t="s">
        <v>4989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4993</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4998</v>
      </c>
      <c r="F65" s="96"/>
      <c r="G65" s="96"/>
      <c r="H65" s="96"/>
      <c r="I65" s="96"/>
      <c r="J65" s="96"/>
      <c r="K65" s="96"/>
      <c r="L65" s="96"/>
      <c r="M65" s="96"/>
      <c r="N65" s="96"/>
      <c r="O65" s="96"/>
      <c r="P65" s="96"/>
      <c r="Q65" s="96"/>
      <c r="R65" s="96"/>
      <c r="S65" s="96"/>
      <c r="T65" s="96"/>
      <c r="U65" s="96"/>
    </row>
    <row r="66" spans="1:21">
      <c r="A66" s="96"/>
      <c r="B66" s="96"/>
      <c r="C66" s="96"/>
      <c r="D66" s="18">
        <v>-2290500</v>
      </c>
      <c r="E66" s="251" t="s">
        <v>4999</v>
      </c>
      <c r="F66" s="96"/>
      <c r="G66" s="96"/>
      <c r="H66" s="96"/>
      <c r="I66" s="96"/>
      <c r="J66" s="96"/>
      <c r="K66" s="96"/>
      <c r="L66" s="96"/>
      <c r="M66" s="96"/>
      <c r="N66" s="96"/>
      <c r="O66" s="96"/>
      <c r="P66" s="96"/>
      <c r="Q66" s="96"/>
      <c r="R66" s="96"/>
      <c r="S66" s="96"/>
      <c r="T66" s="96"/>
      <c r="U66" s="96"/>
    </row>
    <row r="67" spans="1:21">
      <c r="A67" s="96"/>
      <c r="B67" s="96"/>
      <c r="C67" s="96"/>
      <c r="D67" s="18">
        <v>1700000</v>
      </c>
      <c r="E67" s="251" t="s">
        <v>5006</v>
      </c>
      <c r="F67" s="96"/>
      <c r="G67" s="96"/>
      <c r="H67" s="96"/>
      <c r="I67" s="96"/>
      <c r="J67" s="96"/>
      <c r="K67" s="96"/>
      <c r="L67" s="96"/>
      <c r="M67" s="96"/>
      <c r="N67" s="96"/>
      <c r="O67" s="96"/>
      <c r="P67" s="96"/>
      <c r="Q67" s="96"/>
      <c r="R67" s="96"/>
      <c r="S67" s="96"/>
      <c r="T67" s="96"/>
      <c r="U67" s="96"/>
    </row>
    <row r="68" spans="1:21">
      <c r="A68" s="96"/>
      <c r="B68" s="96"/>
      <c r="C68" s="96"/>
      <c r="D68" s="18">
        <v>-150000</v>
      </c>
      <c r="E68" s="251" t="s">
        <v>5011</v>
      </c>
      <c r="F68" s="96"/>
      <c r="G68" s="96"/>
      <c r="H68" s="96"/>
      <c r="I68" s="96"/>
      <c r="J68" s="96"/>
      <c r="K68" s="96"/>
      <c r="L68" s="96"/>
      <c r="M68" s="96"/>
      <c r="N68" s="96"/>
      <c r="O68" s="96"/>
      <c r="P68" s="96"/>
      <c r="Q68" s="96"/>
      <c r="R68" s="96"/>
      <c r="S68" s="96"/>
      <c r="T68" s="96"/>
      <c r="U68" s="96"/>
    </row>
    <row r="69" spans="1:21">
      <c r="A69" s="96"/>
      <c r="B69" s="96"/>
      <c r="C69" s="96"/>
      <c r="D69" s="18">
        <v>-550000</v>
      </c>
      <c r="E69" s="251" t="s">
        <v>5014</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5032</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5046</v>
      </c>
      <c r="F71" s="96"/>
      <c r="G71" s="96"/>
      <c r="H71" s="96"/>
      <c r="I71" s="96"/>
      <c r="J71" s="96"/>
      <c r="K71" s="96"/>
      <c r="L71" s="96"/>
      <c r="M71" s="96"/>
      <c r="N71" s="96"/>
      <c r="O71" s="96"/>
      <c r="P71" s="96"/>
      <c r="Q71" s="96"/>
      <c r="R71" s="96"/>
      <c r="S71" s="96"/>
      <c r="T71" s="96"/>
      <c r="U71" s="96"/>
    </row>
    <row r="72" spans="1:21">
      <c r="A72" s="96"/>
      <c r="B72" s="96"/>
      <c r="C72" s="96"/>
      <c r="D72" s="18">
        <v>1500000</v>
      </c>
      <c r="E72" s="251" t="s">
        <v>5047</v>
      </c>
      <c r="F72" s="96"/>
      <c r="G72" s="96"/>
      <c r="H72" s="96"/>
      <c r="I72" s="96"/>
      <c r="J72" s="96"/>
      <c r="K72" s="96"/>
      <c r="L72" s="96"/>
      <c r="M72" s="96"/>
      <c r="N72" s="96"/>
      <c r="O72" s="96"/>
      <c r="P72" s="96"/>
      <c r="Q72" s="96"/>
      <c r="R72" s="96"/>
      <c r="S72" s="96"/>
      <c r="T72" s="96"/>
      <c r="U72" s="96"/>
    </row>
    <row r="73" spans="1:21">
      <c r="A73" s="96"/>
      <c r="B73" s="96"/>
      <c r="C73" s="96"/>
      <c r="D73" s="18">
        <v>-550000</v>
      </c>
      <c r="E73" s="251" t="s">
        <v>5051</v>
      </c>
      <c r="F73" s="96"/>
      <c r="G73" s="96"/>
      <c r="H73" s="96"/>
      <c r="I73" s="96"/>
      <c r="J73" s="96"/>
      <c r="K73" s="96"/>
      <c r="L73" s="96"/>
      <c r="M73" s="96"/>
      <c r="N73" s="96"/>
      <c r="O73" s="96"/>
      <c r="P73" s="96"/>
      <c r="Q73" s="96"/>
      <c r="R73" s="96"/>
      <c r="S73" s="96"/>
      <c r="T73" s="96"/>
      <c r="U73" s="96"/>
    </row>
    <row r="74" spans="1:21">
      <c r="A74" s="96"/>
      <c r="B74" s="96"/>
      <c r="C74" s="96"/>
      <c r="D74" s="18">
        <v>-50000</v>
      </c>
      <c r="E74" s="251" t="s">
        <v>5052</v>
      </c>
      <c r="F74" s="96"/>
      <c r="G74" s="96"/>
      <c r="H74" s="96"/>
      <c r="I74" s="96"/>
      <c r="J74" s="96"/>
      <c r="K74" s="96"/>
      <c r="L74" s="96"/>
      <c r="M74" s="96"/>
      <c r="N74" s="96"/>
      <c r="O74" s="96"/>
      <c r="P74" s="96"/>
      <c r="Q74" s="96"/>
      <c r="R74" s="96"/>
      <c r="S74" s="96"/>
      <c r="T74" s="96"/>
      <c r="U74" s="96"/>
    </row>
    <row r="75" spans="1:21">
      <c r="A75" s="96"/>
      <c r="B75" s="96"/>
      <c r="C75" s="96"/>
      <c r="D75" s="18">
        <v>-60000</v>
      </c>
      <c r="E75" s="251" t="s">
        <v>5053</v>
      </c>
      <c r="F75" s="96"/>
      <c r="G75" s="96"/>
      <c r="H75" s="96"/>
      <c r="I75" s="96"/>
      <c r="J75" s="96"/>
      <c r="K75" s="96"/>
      <c r="L75" s="96"/>
      <c r="M75" s="96"/>
      <c r="N75" s="96"/>
      <c r="O75" s="96"/>
      <c r="P75" s="96"/>
      <c r="Q75" s="96"/>
      <c r="R75" s="96"/>
      <c r="S75" s="96"/>
      <c r="T75" s="96"/>
      <c r="U75" s="96"/>
    </row>
    <row r="76" spans="1:21">
      <c r="A76" s="96"/>
      <c r="B76" s="96"/>
      <c r="C76" s="96"/>
      <c r="D76" s="18">
        <v>-43000</v>
      </c>
      <c r="E76" s="251" t="s">
        <v>5061</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5071</v>
      </c>
      <c r="F78" s="96"/>
      <c r="G78" s="96"/>
      <c r="H78" s="96"/>
      <c r="I78" s="96"/>
      <c r="J78" s="96"/>
      <c r="K78" s="96"/>
      <c r="L78" s="96"/>
      <c r="M78" s="96"/>
      <c r="N78" s="96"/>
      <c r="O78" s="96"/>
      <c r="P78" s="96"/>
      <c r="Q78" s="96"/>
      <c r="R78" s="96"/>
      <c r="S78" s="96"/>
      <c r="T78" s="96"/>
      <c r="U78" s="96"/>
    </row>
    <row r="79" spans="1:21">
      <c r="A79" s="96"/>
      <c r="B79" s="96"/>
      <c r="C79" s="96"/>
      <c r="D79" s="18">
        <v>-750000</v>
      </c>
      <c r="E79" s="251" t="s">
        <v>5077</v>
      </c>
      <c r="F79" s="96"/>
      <c r="G79" s="96"/>
      <c r="H79" s="96"/>
      <c r="I79" s="96"/>
      <c r="J79" s="96"/>
      <c r="K79" s="96"/>
      <c r="L79" s="96"/>
      <c r="M79" s="96"/>
      <c r="N79" s="96"/>
      <c r="O79" s="96"/>
      <c r="P79" s="96"/>
      <c r="Q79" s="96"/>
      <c r="R79" s="96"/>
      <c r="S79" s="96"/>
      <c r="T79" s="96"/>
      <c r="U79" s="96"/>
    </row>
    <row r="80" spans="1:21">
      <c r="A80" s="96"/>
      <c r="B80" s="96"/>
      <c r="C80" s="96"/>
      <c r="D80" s="18">
        <v>50000</v>
      </c>
      <c r="E80" s="251" t="s">
        <v>5089</v>
      </c>
      <c r="F80" s="96"/>
      <c r="G80" s="96"/>
      <c r="H80" s="96"/>
      <c r="I80" s="96"/>
      <c r="J80" s="96"/>
      <c r="K80" s="96"/>
      <c r="L80" s="96"/>
      <c r="M80" s="96"/>
      <c r="N80" s="96"/>
      <c r="O80" s="96"/>
      <c r="P80" s="96"/>
      <c r="Q80" s="96"/>
      <c r="R80" s="96"/>
      <c r="S80" s="96"/>
      <c r="T80" s="96"/>
      <c r="U80" s="96"/>
    </row>
    <row r="81" spans="1:21">
      <c r="A81" s="96"/>
      <c r="B81" s="96"/>
      <c r="C81" s="96"/>
      <c r="D81" s="18">
        <v>500000</v>
      </c>
      <c r="E81" s="251" t="s">
        <v>5103</v>
      </c>
      <c r="F81" s="96"/>
      <c r="G81" s="96"/>
      <c r="H81" s="96"/>
      <c r="I81" s="96"/>
      <c r="J81" s="96"/>
      <c r="K81" s="96"/>
      <c r="L81" s="96"/>
      <c r="M81" s="96"/>
      <c r="N81" s="96"/>
      <c r="O81" s="96"/>
      <c r="P81" s="96"/>
      <c r="Q81" s="96"/>
      <c r="R81" s="96"/>
      <c r="S81" s="96"/>
      <c r="T81" s="96"/>
      <c r="U81" s="96"/>
    </row>
    <row r="82" spans="1:21">
      <c r="A82" s="96"/>
      <c r="B82" s="96"/>
      <c r="C82" s="96"/>
      <c r="D82" s="18">
        <v>1500000</v>
      </c>
      <c r="E82" s="251" t="s">
        <v>5102</v>
      </c>
      <c r="F82" s="96"/>
      <c r="G82" s="96"/>
      <c r="H82" s="96"/>
      <c r="I82" s="96"/>
      <c r="J82" s="96"/>
      <c r="K82" s="96"/>
      <c r="L82" s="96"/>
      <c r="M82" s="96"/>
      <c r="N82" s="96"/>
      <c r="O82" s="96"/>
      <c r="P82" s="96"/>
      <c r="Q82" s="96"/>
      <c r="R82" s="96"/>
      <c r="S82" s="96"/>
      <c r="T82" s="96"/>
      <c r="U82" s="96"/>
    </row>
    <row r="83" spans="1:21">
      <c r="D83" s="18">
        <v>-510000</v>
      </c>
      <c r="E83" s="251" t="s">
        <v>5104</v>
      </c>
      <c r="H83" t="s">
        <v>25</v>
      </c>
    </row>
    <row r="84" spans="1:21">
      <c r="D84" s="18">
        <v>-400000</v>
      </c>
      <c r="E84" s="251" t="s">
        <v>5118</v>
      </c>
    </row>
    <row r="85" spans="1:21">
      <c r="D85" s="18">
        <v>250000</v>
      </c>
      <c r="E85" s="251" t="s">
        <v>5124</v>
      </c>
    </row>
    <row r="86" spans="1:21">
      <c r="D86" s="18">
        <v>-50000</v>
      </c>
      <c r="E86" s="251" t="s">
        <v>5125</v>
      </c>
    </row>
    <row r="87" spans="1:21">
      <c r="D87" s="18">
        <v>-300000</v>
      </c>
      <c r="E87" s="251" t="s">
        <v>5129</v>
      </c>
    </row>
    <row r="88" spans="1:21">
      <c r="D88" s="18">
        <v>-100000</v>
      </c>
      <c r="E88" s="251" t="s">
        <v>5143</v>
      </c>
      <c r="I88" t="s">
        <v>25</v>
      </c>
    </row>
    <row r="89" spans="1:21">
      <c r="D89" s="18">
        <v>-250000</v>
      </c>
      <c r="E89" s="251" t="s">
        <v>5155</v>
      </c>
    </row>
    <row r="90" spans="1:21">
      <c r="D90" s="18">
        <v>-45000</v>
      </c>
      <c r="E90" s="251" t="s">
        <v>5178</v>
      </c>
    </row>
    <row r="91" spans="1:21">
      <c r="D91" s="18">
        <v>3000000</v>
      </c>
      <c r="E91" s="251" t="s">
        <v>5179</v>
      </c>
      <c r="I91" t="s">
        <v>25</v>
      </c>
    </row>
    <row r="92" spans="1:21">
      <c r="D92" s="18">
        <v>-550000</v>
      </c>
      <c r="E92" s="251" t="s">
        <v>5180</v>
      </c>
    </row>
    <row r="93" spans="1:21">
      <c r="D93" s="18">
        <v>-200000</v>
      </c>
      <c r="E93" s="251" t="s">
        <v>5194</v>
      </c>
      <c r="G93" t="s">
        <v>25</v>
      </c>
    </row>
    <row r="94" spans="1:21">
      <c r="D94" s="18">
        <v>-30500</v>
      </c>
      <c r="E94" s="251" t="s">
        <v>5195</v>
      </c>
    </row>
    <row r="95" spans="1:21">
      <c r="D95" s="18">
        <v>2500000</v>
      </c>
      <c r="E95" s="251" t="s">
        <v>5230</v>
      </c>
      <c r="I95" t="s">
        <v>25</v>
      </c>
    </row>
    <row r="96" spans="1:21">
      <c r="D96" s="18">
        <v>-230000</v>
      </c>
      <c r="E96" s="251" t="s">
        <v>5236</v>
      </c>
    </row>
    <row r="97" spans="4:10">
      <c r="D97" s="18">
        <v>-168950</v>
      </c>
      <c r="E97" s="251" t="s">
        <v>4400</v>
      </c>
      <c r="J97" t="s">
        <v>25</v>
      </c>
    </row>
    <row r="98" spans="4:10">
      <c r="D98" s="18">
        <v>-250000</v>
      </c>
      <c r="E98" s="251" t="s">
        <v>5247</v>
      </c>
    </row>
    <row r="99" spans="4:10">
      <c r="D99" s="18">
        <v>500000</v>
      </c>
      <c r="E99" s="251" t="s">
        <v>5261</v>
      </c>
    </row>
    <row r="100" spans="4:10">
      <c r="D100" s="18">
        <v>-520000</v>
      </c>
      <c r="E100" s="251" t="s">
        <v>5260</v>
      </c>
      <c r="J100" t="s">
        <v>25</v>
      </c>
    </row>
    <row r="101" spans="4:10">
      <c r="D101" s="18">
        <v>500000</v>
      </c>
      <c r="E101" s="251" t="s">
        <v>5271</v>
      </c>
    </row>
    <row r="102" spans="4:10">
      <c r="D102" s="18">
        <v>-200000</v>
      </c>
      <c r="E102" s="251" t="s">
        <v>5275</v>
      </c>
    </row>
    <row r="103" spans="4:10">
      <c r="D103" s="18">
        <v>-300000</v>
      </c>
      <c r="E103" s="251" t="s">
        <v>5276</v>
      </c>
    </row>
    <row r="104" spans="4:10">
      <c r="D104" s="18">
        <v>-530000</v>
      </c>
      <c r="E104" s="251" t="s">
        <v>5294</v>
      </c>
    </row>
    <row r="105" spans="4:10">
      <c r="D105" s="18">
        <v>-550000</v>
      </c>
      <c r="E105" s="251" t="s">
        <v>5296</v>
      </c>
    </row>
    <row r="106" spans="4:10">
      <c r="D106" s="18">
        <v>-200000</v>
      </c>
      <c r="E106" s="251" t="s">
        <v>5320</v>
      </c>
    </row>
    <row r="107" spans="4:10">
      <c r="D107" s="18">
        <v>-1600000</v>
      </c>
      <c r="E107" s="251" t="s">
        <v>5322</v>
      </c>
      <c r="G107" t="s">
        <v>25</v>
      </c>
    </row>
    <row r="108" spans="4:10">
      <c r="D108" s="18">
        <v>1600000</v>
      </c>
      <c r="E108" s="251" t="s">
        <v>5329</v>
      </c>
    </row>
    <row r="109" spans="4:10">
      <c r="D109" s="18">
        <v>-550000</v>
      </c>
      <c r="E109" s="251" t="s">
        <v>5332</v>
      </c>
    </row>
    <row r="110" spans="4:10">
      <c r="D110" s="18">
        <v>-15000</v>
      </c>
      <c r="E110" s="251" t="s">
        <v>5337</v>
      </c>
    </row>
    <row r="111" spans="4:10">
      <c r="D111" s="18">
        <v>-325000</v>
      </c>
      <c r="E111" s="251" t="s">
        <v>5354</v>
      </c>
    </row>
    <row r="112" spans="4:10">
      <c r="D112" s="18">
        <v>-130000</v>
      </c>
      <c r="E112" s="251" t="s">
        <v>5355</v>
      </c>
    </row>
    <row r="113" spans="4:10">
      <c r="D113" s="18">
        <v>-250000</v>
      </c>
      <c r="E113" s="251" t="s">
        <v>5364</v>
      </c>
      <c r="J113" t="s">
        <v>25</v>
      </c>
    </row>
    <row r="114" spans="4:10">
      <c r="D114" s="18">
        <v>-750000</v>
      </c>
      <c r="E114" s="251" t="s">
        <v>5367</v>
      </c>
    </row>
    <row r="115" spans="4:10">
      <c r="D115" s="18">
        <v>250000</v>
      </c>
      <c r="E115" s="251" t="s">
        <v>5374</v>
      </c>
    </row>
    <row r="116" spans="4:10">
      <c r="D116" s="18">
        <v>-2100000</v>
      </c>
      <c r="E116" s="251" t="s">
        <v>5388</v>
      </c>
    </row>
    <row r="117" spans="4:10">
      <c r="D117" s="18">
        <v>-1000000</v>
      </c>
      <c r="E117" s="251" t="s">
        <v>5397</v>
      </c>
    </row>
    <row r="118" spans="4:10">
      <c r="D118" s="18">
        <v>-100000</v>
      </c>
      <c r="E118" s="251" t="s">
        <v>5398</v>
      </c>
    </row>
    <row r="119" spans="4:10">
      <c r="D119" s="18">
        <v>-550000</v>
      </c>
      <c r="E119" s="251" t="s">
        <v>5428</v>
      </c>
    </row>
    <row r="120" spans="4:10">
      <c r="D120" s="18">
        <v>-550000</v>
      </c>
      <c r="E120" s="251" t="s">
        <v>5429</v>
      </c>
    </row>
    <row r="121" spans="4:10">
      <c r="D121" s="18">
        <v>-390000</v>
      </c>
      <c r="E121" s="251" t="s">
        <v>5459</v>
      </c>
      <c r="H121" t="s">
        <v>25</v>
      </c>
      <c r="J121" t="s">
        <v>25</v>
      </c>
    </row>
    <row r="122" spans="4:10">
      <c r="D122" s="18">
        <v>2432520</v>
      </c>
      <c r="E122" s="251" t="s">
        <v>5460</v>
      </c>
    </row>
    <row r="123" spans="4:10">
      <c r="D123" s="18">
        <v>8000000</v>
      </c>
      <c r="E123" s="251" t="s">
        <v>5478</v>
      </c>
    </row>
    <row r="124" spans="4:10">
      <c r="D124" s="18">
        <v>-83930</v>
      </c>
      <c r="E124" s="251" t="s">
        <v>5487</v>
      </c>
    </row>
    <row r="125" spans="4:10">
      <c r="D125" s="18">
        <v>1000000</v>
      </c>
      <c r="E125" s="251" t="s">
        <v>5535</v>
      </c>
    </row>
    <row r="126" spans="4:10">
      <c r="D126" s="18">
        <v>-1333333</v>
      </c>
      <c r="E126" s="251" t="s">
        <v>5536</v>
      </c>
      <c r="J126" t="s">
        <v>25</v>
      </c>
    </row>
    <row r="127" spans="4:10">
      <c r="D127" s="18">
        <v>-1050000</v>
      </c>
      <c r="E127" s="251" t="s">
        <v>5559</v>
      </c>
    </row>
    <row r="128" spans="4:10">
      <c r="D128" s="18">
        <v>-2000000</v>
      </c>
      <c r="E128" s="251" t="s">
        <v>5574</v>
      </c>
      <c r="I128" t="s">
        <v>25</v>
      </c>
    </row>
    <row r="129" spans="4:5">
      <c r="D129" s="18">
        <v>-250000</v>
      </c>
      <c r="E129" s="251" t="s">
        <v>5587</v>
      </c>
    </row>
    <row r="130" spans="4:5">
      <c r="D130" s="18">
        <v>-550000</v>
      </c>
      <c r="E130" s="251" t="s">
        <v>5601</v>
      </c>
    </row>
    <row r="131" spans="4:5">
      <c r="D131" s="18">
        <v>210000</v>
      </c>
      <c r="E131" s="251" t="s">
        <v>5602</v>
      </c>
    </row>
    <row r="132" spans="4:5">
      <c r="D132" s="18">
        <v>-724200</v>
      </c>
      <c r="E132" s="251" t="s">
        <v>5653</v>
      </c>
    </row>
    <row r="133" spans="4:5">
      <c r="D133" s="18">
        <v>-400000</v>
      </c>
      <c r="E133" s="251" t="s">
        <v>5669</v>
      </c>
    </row>
    <row r="134" spans="4:5">
      <c r="D134" s="18"/>
      <c r="E134" s="251"/>
    </row>
    <row r="135" spans="4:5">
      <c r="D135" s="18"/>
      <c r="E135" s="251"/>
    </row>
    <row r="136" spans="4:5">
      <c r="D136" s="18"/>
      <c r="E136" s="251"/>
    </row>
    <row r="137" spans="4:5">
      <c r="D137" s="18"/>
      <c r="E137" s="251"/>
    </row>
    <row r="138" spans="4:5">
      <c r="D138" s="18"/>
      <c r="E138" s="96"/>
    </row>
    <row r="139" spans="4:5">
      <c r="D139" s="18"/>
      <c r="E139" s="96" t="s">
        <v>25</v>
      </c>
    </row>
    <row r="140" spans="4:5">
      <c r="D140" s="18">
        <f>SUM(D40:D139)</f>
        <v>25122516</v>
      </c>
      <c r="E140" s="96" t="s">
        <v>6</v>
      </c>
    </row>
    <row r="141" spans="4:5">
      <c r="D141" s="96"/>
      <c r="E141" s="96"/>
    </row>
    <row r="142" spans="4:5">
      <c r="D142" s="96"/>
      <c r="E142" s="96"/>
    </row>
    <row r="145" spans="5:5">
      <c r="E145" t="s">
        <v>25</v>
      </c>
    </row>
    <row r="146" spans="5:5">
      <c r="E146" t="s">
        <v>25</v>
      </c>
    </row>
    <row r="147" spans="5:5">
      <c r="E14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5023</v>
      </c>
      <c r="X20" s="41">
        <v>9194342556</v>
      </c>
      <c r="Y20" s="41">
        <v>200</v>
      </c>
      <c r="Z20" s="41" t="s">
        <v>4521</v>
      </c>
      <c r="AA20" t="s">
        <v>5005</v>
      </c>
      <c r="AB20" s="96"/>
      <c r="AC20" s="96"/>
      <c r="AD20" s="96"/>
      <c r="AE20" s="96"/>
      <c r="AF20" s="96"/>
      <c r="AG20" s="96"/>
      <c r="AH20" s="96"/>
      <c r="AI20" s="96"/>
    </row>
    <row r="21" spans="5:35">
      <c r="O21" s="99"/>
      <c r="P21" s="99"/>
      <c r="Q21" s="331" t="s">
        <v>1085</v>
      </c>
      <c r="R21" s="331"/>
      <c r="S21" s="331"/>
      <c r="T21" s="331"/>
      <c r="U21" s="96"/>
      <c r="V21" s="96"/>
      <c r="W21" s="41" t="s">
        <v>5022</v>
      </c>
      <c r="X21" s="41">
        <v>9035210431</v>
      </c>
      <c r="Y21" s="41">
        <v>50</v>
      </c>
      <c r="Z21" s="41" t="s">
        <v>5301</v>
      </c>
      <c r="AA21" t="s">
        <v>5040</v>
      </c>
    </row>
    <row r="22" spans="5:35">
      <c r="O22" s="99"/>
      <c r="P22" s="99"/>
      <c r="Q22" s="331"/>
      <c r="R22" s="331"/>
      <c r="S22" s="331"/>
      <c r="T22" s="331"/>
      <c r="U22" s="96"/>
      <c r="V22" s="96"/>
      <c r="W22" s="41" t="s">
        <v>5113</v>
      </c>
      <c r="X22" s="41">
        <v>9909620343</v>
      </c>
      <c r="Y22" s="41">
        <v>200</v>
      </c>
      <c r="Z22" s="41" t="s">
        <v>5302</v>
      </c>
      <c r="AA22" t="s">
        <v>5305</v>
      </c>
      <c r="AB22" s="41" t="s">
        <v>5313</v>
      </c>
    </row>
    <row r="23" spans="5:35" ht="15.75">
      <c r="O23" s="178"/>
      <c r="P23" s="99" t="s">
        <v>4082</v>
      </c>
      <c r="Q23" s="332" t="s">
        <v>1086</v>
      </c>
      <c r="R23" s="333" t="s">
        <v>1087</v>
      </c>
      <c r="S23" s="332" t="s">
        <v>1088</v>
      </c>
      <c r="T23" s="334" t="s">
        <v>1089</v>
      </c>
      <c r="W23" s="41" t="s">
        <v>5114</v>
      </c>
      <c r="X23" s="41">
        <v>9378807702</v>
      </c>
      <c r="Y23" s="41">
        <v>0</v>
      </c>
      <c r="Z23" s="41">
        <v>0</v>
      </c>
      <c r="AD23" t="s">
        <v>25</v>
      </c>
    </row>
    <row r="24" spans="5:35">
      <c r="O24" s="99"/>
      <c r="P24" s="99"/>
      <c r="Q24" s="332"/>
      <c r="R24" s="333"/>
      <c r="S24" s="332"/>
      <c r="T24" s="334"/>
      <c r="W24" s="41" t="s">
        <v>5137</v>
      </c>
      <c r="X24" s="41"/>
      <c r="Y24" s="41">
        <v>200</v>
      </c>
      <c r="Z24" s="41" t="s">
        <v>4521</v>
      </c>
      <c r="AA24" t="s">
        <v>5150</v>
      </c>
      <c r="AB24" t="s">
        <v>5202</v>
      </c>
    </row>
    <row r="25" spans="5:35">
      <c r="O25" s="173" t="s">
        <v>4138</v>
      </c>
      <c r="P25" s="173">
        <v>2182188507</v>
      </c>
      <c r="Q25" s="174" t="s">
        <v>1090</v>
      </c>
      <c r="R25" s="174" t="s">
        <v>4083</v>
      </c>
      <c r="S25" s="174" t="s">
        <v>4088</v>
      </c>
      <c r="T25" s="174" t="s">
        <v>1091</v>
      </c>
      <c r="W25" s="41" t="s">
        <v>5157</v>
      </c>
      <c r="X25" s="41">
        <v>9013075723</v>
      </c>
      <c r="Y25" s="41">
        <v>100</v>
      </c>
      <c r="Z25" s="41" t="s">
        <v>5301</v>
      </c>
      <c r="AA25" t="s">
        <v>5226</v>
      </c>
    </row>
    <row r="26" spans="5:35">
      <c r="O26" s="173"/>
      <c r="P26" s="173">
        <v>2123095122</v>
      </c>
      <c r="Q26" s="175" t="s">
        <v>1092</v>
      </c>
      <c r="R26" s="175" t="s">
        <v>1093</v>
      </c>
      <c r="S26" s="175" t="s">
        <v>1094</v>
      </c>
      <c r="T26" s="175" t="s">
        <v>1095</v>
      </c>
      <c r="U26" s="96"/>
      <c r="V26" s="96"/>
      <c r="W26" s="41" t="s">
        <v>5303</v>
      </c>
      <c r="X26" s="41">
        <v>9214923916</v>
      </c>
      <c r="Y26" s="41">
        <v>100</v>
      </c>
      <c r="Z26" s="41" t="s">
        <v>4521</v>
      </c>
      <c r="AA26" s="207" t="s">
        <v>5297</v>
      </c>
      <c r="AB26" s="96"/>
    </row>
    <row r="27" spans="5:35" ht="30">
      <c r="O27" s="173" t="s">
        <v>4193</v>
      </c>
      <c r="P27" s="173">
        <v>2188831909</v>
      </c>
      <c r="Q27" s="99" t="s">
        <v>4085</v>
      </c>
      <c r="R27" s="99" t="s">
        <v>4086</v>
      </c>
      <c r="S27" s="99" t="s">
        <v>4087</v>
      </c>
      <c r="T27" s="176" t="s">
        <v>4089</v>
      </c>
      <c r="U27" s="96"/>
      <c r="V27" s="96"/>
      <c r="W27" s="41" t="s">
        <v>5304</v>
      </c>
      <c r="X27" s="41" t="s">
        <v>5363</v>
      </c>
      <c r="Y27" s="41">
        <v>80</v>
      </c>
      <c r="Z27" s="41" t="s">
        <v>5301</v>
      </c>
      <c r="AA27" s="207" t="s">
        <v>5297</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5375</v>
      </c>
      <c r="E1" s="99"/>
      <c r="F1" s="99"/>
      <c r="G1" s="99"/>
      <c r="H1" s="99"/>
      <c r="I1" s="99"/>
    </row>
    <row r="2" spans="1:15">
      <c r="A2" s="99">
        <v>1</v>
      </c>
      <c r="B2" s="99" t="s">
        <v>5273</v>
      </c>
      <c r="C2" s="95">
        <v>28500</v>
      </c>
      <c r="D2" s="99" t="s">
        <v>5378</v>
      </c>
      <c r="E2" s="99"/>
      <c r="F2" s="99"/>
      <c r="G2" s="99"/>
      <c r="H2" s="99"/>
      <c r="I2" s="99"/>
    </row>
    <row r="3" spans="1:15">
      <c r="A3" s="99">
        <v>2</v>
      </c>
      <c r="B3" s="99" t="s">
        <v>5300</v>
      </c>
      <c r="C3" s="95">
        <v>180200</v>
      </c>
      <c r="D3" s="99" t="s">
        <v>5377</v>
      </c>
      <c r="E3" s="99"/>
      <c r="F3" s="99"/>
      <c r="G3" s="99"/>
      <c r="H3" s="99"/>
      <c r="I3" s="99"/>
    </row>
    <row r="4" spans="1:15">
      <c r="A4" s="99">
        <v>3</v>
      </c>
      <c r="B4" s="99" t="s">
        <v>5370</v>
      </c>
      <c r="C4" s="95">
        <v>187000</v>
      </c>
      <c r="D4" s="99" t="s">
        <v>5376</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G409" sqref="G4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1453</v>
      </c>
      <c r="E2" s="11">
        <f>IF(B2&gt;0,1,0)</f>
        <v>1</v>
      </c>
      <c r="F2" s="11">
        <f>B2*(D2-E2)</f>
        <v>140408400</v>
      </c>
      <c r="G2" s="11" t="s">
        <v>1</v>
      </c>
    </row>
    <row r="3" spans="1:7">
      <c r="A3" s="11" t="s">
        <v>394</v>
      </c>
      <c r="B3" s="3">
        <v>3000000</v>
      </c>
      <c r="C3" s="11">
        <v>3</v>
      </c>
      <c r="D3" s="11">
        <f t="shared" si="0"/>
        <v>1451</v>
      </c>
      <c r="E3" s="11">
        <f t="shared" ref="E3:E66" si="1">IF(B3&gt;0,1,0)</f>
        <v>1</v>
      </c>
      <c r="F3" s="11">
        <f t="shared" ref="F3:F66" si="2">B3*(D3-E3)</f>
        <v>4350000000</v>
      </c>
      <c r="G3" s="11"/>
    </row>
    <row r="4" spans="1:7">
      <c r="A4" s="11" t="s">
        <v>393</v>
      </c>
      <c r="B4" s="3">
        <v>-200000</v>
      </c>
      <c r="C4" s="11">
        <v>2</v>
      </c>
      <c r="D4" s="11">
        <f t="shared" si="0"/>
        <v>1448</v>
      </c>
      <c r="E4" s="11">
        <f t="shared" si="1"/>
        <v>0</v>
      </c>
      <c r="F4" s="11">
        <f t="shared" si="2"/>
        <v>-289600000</v>
      </c>
      <c r="G4" s="11"/>
    </row>
    <row r="5" spans="1:7">
      <c r="A5" s="11" t="s">
        <v>392</v>
      </c>
      <c r="B5" s="3">
        <v>-100000</v>
      </c>
      <c r="C5" s="11">
        <v>1</v>
      </c>
      <c r="D5" s="11">
        <f t="shared" si="0"/>
        <v>1446</v>
      </c>
      <c r="E5" s="11">
        <f t="shared" si="1"/>
        <v>0</v>
      </c>
      <c r="F5" s="11">
        <f t="shared" si="2"/>
        <v>-144600000</v>
      </c>
      <c r="G5" s="11"/>
    </row>
    <row r="6" spans="1:7">
      <c r="A6" s="11" t="s">
        <v>391</v>
      </c>
      <c r="B6" s="3">
        <v>-55000</v>
      </c>
      <c r="C6" s="11">
        <v>1</v>
      </c>
      <c r="D6" s="11">
        <f t="shared" si="0"/>
        <v>1445</v>
      </c>
      <c r="E6" s="11">
        <f t="shared" si="1"/>
        <v>0</v>
      </c>
      <c r="F6" s="11">
        <f t="shared" si="2"/>
        <v>-79475000</v>
      </c>
      <c r="G6" s="11"/>
    </row>
    <row r="7" spans="1:7">
      <c r="A7" s="11" t="s">
        <v>390</v>
      </c>
      <c r="B7" s="3">
        <v>-200000</v>
      </c>
      <c r="C7" s="11">
        <v>4</v>
      </c>
      <c r="D7" s="11">
        <f t="shared" si="0"/>
        <v>1444</v>
      </c>
      <c r="E7" s="11">
        <f t="shared" si="1"/>
        <v>0</v>
      </c>
      <c r="F7" s="11">
        <f t="shared" si="2"/>
        <v>-288800000</v>
      </c>
      <c r="G7" s="11"/>
    </row>
    <row r="8" spans="1:7">
      <c r="A8" s="11" t="s">
        <v>389</v>
      </c>
      <c r="B8" s="3">
        <v>-200000</v>
      </c>
      <c r="C8" s="11">
        <v>10</v>
      </c>
      <c r="D8" s="11">
        <f t="shared" si="0"/>
        <v>1440</v>
      </c>
      <c r="E8" s="11">
        <f t="shared" si="1"/>
        <v>0</v>
      </c>
      <c r="F8" s="11">
        <f t="shared" si="2"/>
        <v>-288000000</v>
      </c>
      <c r="G8" s="11"/>
    </row>
    <row r="9" spans="1:7">
      <c r="A9" s="11" t="s">
        <v>388</v>
      </c>
      <c r="B9" s="3">
        <v>-950500</v>
      </c>
      <c r="C9" s="11">
        <v>1</v>
      </c>
      <c r="D9" s="11">
        <f t="shared" si="0"/>
        <v>1430</v>
      </c>
      <c r="E9" s="11">
        <f t="shared" si="1"/>
        <v>0</v>
      </c>
      <c r="F9" s="11">
        <f t="shared" si="2"/>
        <v>-1359215000</v>
      </c>
      <c r="G9" s="11"/>
    </row>
    <row r="10" spans="1:7">
      <c r="A10" s="23" t="s">
        <v>387</v>
      </c>
      <c r="B10" s="3">
        <v>2000000</v>
      </c>
      <c r="C10" s="11">
        <v>2</v>
      </c>
      <c r="D10" s="11">
        <f t="shared" si="0"/>
        <v>1429</v>
      </c>
      <c r="E10" s="11">
        <f t="shared" si="1"/>
        <v>1</v>
      </c>
      <c r="F10" s="11">
        <f t="shared" si="2"/>
        <v>2856000000</v>
      </c>
      <c r="G10" s="11"/>
    </row>
    <row r="11" spans="1:7">
      <c r="A11" s="11" t="s">
        <v>386</v>
      </c>
      <c r="B11" s="3">
        <v>-1065000</v>
      </c>
      <c r="C11" s="11">
        <v>3</v>
      </c>
      <c r="D11" s="11">
        <f t="shared" si="0"/>
        <v>1427</v>
      </c>
      <c r="E11" s="11">
        <f t="shared" si="1"/>
        <v>0</v>
      </c>
      <c r="F11" s="11">
        <f t="shared" si="2"/>
        <v>-1519755000</v>
      </c>
      <c r="G11" s="11"/>
    </row>
    <row r="12" spans="1:7">
      <c r="A12" s="11" t="s">
        <v>385</v>
      </c>
      <c r="B12" s="3">
        <v>-45000</v>
      </c>
      <c r="C12" s="11">
        <v>1</v>
      </c>
      <c r="D12" s="11">
        <f t="shared" si="0"/>
        <v>1424</v>
      </c>
      <c r="E12" s="11">
        <f t="shared" si="1"/>
        <v>0</v>
      </c>
      <c r="F12" s="11">
        <f t="shared" si="2"/>
        <v>-64080000</v>
      </c>
      <c r="G12" s="11"/>
    </row>
    <row r="13" spans="1:7">
      <c r="A13" s="11" t="s">
        <v>384</v>
      </c>
      <c r="B13" s="3">
        <v>-2000700</v>
      </c>
      <c r="C13" s="11">
        <v>4</v>
      </c>
      <c r="D13" s="11">
        <f t="shared" si="0"/>
        <v>1423</v>
      </c>
      <c r="E13" s="11">
        <f t="shared" si="1"/>
        <v>0</v>
      </c>
      <c r="F13" s="11">
        <f t="shared" si="2"/>
        <v>-2846996100</v>
      </c>
      <c r="G13" s="11"/>
    </row>
    <row r="14" spans="1:7">
      <c r="A14" s="23" t="s">
        <v>383</v>
      </c>
      <c r="B14" s="3">
        <v>-200000</v>
      </c>
      <c r="C14" s="11">
        <v>2</v>
      </c>
      <c r="D14" s="11">
        <f t="shared" si="0"/>
        <v>1419</v>
      </c>
      <c r="E14" s="11">
        <f t="shared" si="1"/>
        <v>0</v>
      </c>
      <c r="F14" s="11">
        <f t="shared" si="2"/>
        <v>-283800000</v>
      </c>
      <c r="G14" s="11"/>
    </row>
    <row r="15" spans="1:7">
      <c r="A15" s="11" t="s">
        <v>382</v>
      </c>
      <c r="B15" s="3">
        <v>2000000</v>
      </c>
      <c r="C15" s="11">
        <v>0</v>
      </c>
      <c r="D15" s="11">
        <f t="shared" si="0"/>
        <v>1417</v>
      </c>
      <c r="E15" s="11">
        <f t="shared" si="1"/>
        <v>1</v>
      </c>
      <c r="F15" s="11">
        <f t="shared" si="2"/>
        <v>2832000000</v>
      </c>
      <c r="G15" s="11"/>
    </row>
    <row r="16" spans="1:7">
      <c r="A16" s="11" t="s">
        <v>382</v>
      </c>
      <c r="B16" s="3">
        <v>2000000</v>
      </c>
      <c r="C16" s="11">
        <v>0</v>
      </c>
      <c r="D16" s="11">
        <f t="shared" si="0"/>
        <v>1417</v>
      </c>
      <c r="E16" s="11">
        <f t="shared" si="1"/>
        <v>1</v>
      </c>
      <c r="F16" s="11">
        <f t="shared" si="2"/>
        <v>2832000000</v>
      </c>
      <c r="G16" s="11"/>
    </row>
    <row r="17" spans="1:12">
      <c r="A17" s="11" t="s">
        <v>382</v>
      </c>
      <c r="B17" s="3">
        <v>1200000</v>
      </c>
      <c r="C17" s="11">
        <v>0</v>
      </c>
      <c r="D17" s="11">
        <f t="shared" si="0"/>
        <v>1417</v>
      </c>
      <c r="E17" s="11">
        <f t="shared" si="1"/>
        <v>1</v>
      </c>
      <c r="F17" s="11">
        <f t="shared" si="2"/>
        <v>1699200000</v>
      </c>
      <c r="G17" s="11"/>
    </row>
    <row r="18" spans="1:12">
      <c r="A18" s="11" t="s">
        <v>382</v>
      </c>
      <c r="B18" s="3">
        <v>1000000</v>
      </c>
      <c r="C18" s="11">
        <v>1</v>
      </c>
      <c r="D18" s="11">
        <f t="shared" si="0"/>
        <v>1417</v>
      </c>
      <c r="E18" s="11">
        <f t="shared" si="1"/>
        <v>1</v>
      </c>
      <c r="F18" s="11">
        <f t="shared" si="2"/>
        <v>1416000000</v>
      </c>
      <c r="G18" s="11"/>
    </row>
    <row r="19" spans="1:12">
      <c r="A19" s="11" t="s">
        <v>381</v>
      </c>
      <c r="B19" s="3">
        <v>3000000</v>
      </c>
      <c r="C19" s="11">
        <v>0</v>
      </c>
      <c r="D19" s="11">
        <f t="shared" si="0"/>
        <v>1416</v>
      </c>
      <c r="E19" s="11">
        <f t="shared" si="1"/>
        <v>1</v>
      </c>
      <c r="F19" s="11">
        <f t="shared" si="2"/>
        <v>4245000000</v>
      </c>
      <c r="G19" s="11"/>
      <c r="L19" t="s">
        <v>25</v>
      </c>
    </row>
    <row r="20" spans="1:12">
      <c r="A20" s="11" t="s">
        <v>381</v>
      </c>
      <c r="B20" s="3">
        <v>-432700</v>
      </c>
      <c r="C20" s="11">
        <v>0</v>
      </c>
      <c r="D20" s="11">
        <f t="shared" si="0"/>
        <v>1416</v>
      </c>
      <c r="E20" s="11">
        <f t="shared" si="1"/>
        <v>0</v>
      </c>
      <c r="F20" s="11">
        <f t="shared" si="2"/>
        <v>-612703200</v>
      </c>
      <c r="G20" s="11"/>
    </row>
    <row r="21" spans="1:12">
      <c r="A21" s="11" t="s">
        <v>381</v>
      </c>
      <c r="B21" s="3">
        <v>-432700</v>
      </c>
      <c r="C21" s="11">
        <v>0</v>
      </c>
      <c r="D21" s="11">
        <f t="shared" si="0"/>
        <v>1416</v>
      </c>
      <c r="E21" s="11">
        <f t="shared" si="1"/>
        <v>0</v>
      </c>
      <c r="F21" s="11">
        <f t="shared" si="2"/>
        <v>-612703200</v>
      </c>
      <c r="G21" s="11"/>
    </row>
    <row r="22" spans="1:12">
      <c r="A22" s="11" t="s">
        <v>381</v>
      </c>
      <c r="B22" s="3">
        <v>-432700</v>
      </c>
      <c r="C22" s="11">
        <v>0</v>
      </c>
      <c r="D22" s="11">
        <f t="shared" si="0"/>
        <v>1416</v>
      </c>
      <c r="E22" s="11">
        <f t="shared" si="1"/>
        <v>0</v>
      </c>
      <c r="F22" s="11">
        <f t="shared" si="2"/>
        <v>-612703200</v>
      </c>
      <c r="G22" s="11"/>
    </row>
    <row r="23" spans="1:12">
      <c r="A23" s="11" t="s">
        <v>381</v>
      </c>
      <c r="B23" s="3">
        <v>-432700</v>
      </c>
      <c r="C23" s="11">
        <v>0</v>
      </c>
      <c r="D23" s="11">
        <f t="shared" si="0"/>
        <v>1416</v>
      </c>
      <c r="E23" s="11">
        <f t="shared" si="1"/>
        <v>0</v>
      </c>
      <c r="F23" s="11">
        <f t="shared" si="2"/>
        <v>-612703200</v>
      </c>
      <c r="G23" s="11"/>
    </row>
    <row r="24" spans="1:12">
      <c r="A24" s="11" t="s">
        <v>381</v>
      </c>
      <c r="B24" s="3">
        <v>-432700</v>
      </c>
      <c r="C24" s="11">
        <v>0</v>
      </c>
      <c r="D24" s="11">
        <f t="shared" si="0"/>
        <v>1416</v>
      </c>
      <c r="E24" s="11">
        <f t="shared" si="1"/>
        <v>0</v>
      </c>
      <c r="F24" s="11">
        <f t="shared" si="2"/>
        <v>-612703200</v>
      </c>
      <c r="G24" s="11"/>
    </row>
    <row r="25" spans="1:12">
      <c r="A25" s="11" t="s">
        <v>381</v>
      </c>
      <c r="B25" s="3">
        <v>-200000</v>
      </c>
      <c r="C25" s="11">
        <v>1</v>
      </c>
      <c r="D25" s="11">
        <f t="shared" si="0"/>
        <v>1416</v>
      </c>
      <c r="E25" s="11">
        <f t="shared" si="1"/>
        <v>0</v>
      </c>
      <c r="F25" s="11">
        <f t="shared" si="2"/>
        <v>-283200000</v>
      </c>
      <c r="G25" s="11"/>
    </row>
    <row r="26" spans="1:12">
      <c r="A26" s="11" t="s">
        <v>380</v>
      </c>
      <c r="B26" s="3">
        <v>3000000</v>
      </c>
      <c r="C26" s="11">
        <v>2</v>
      </c>
      <c r="D26" s="11">
        <f t="shared" si="0"/>
        <v>1415</v>
      </c>
      <c r="E26" s="11">
        <f t="shared" si="1"/>
        <v>1</v>
      </c>
      <c r="F26" s="11">
        <f t="shared" si="2"/>
        <v>4242000000</v>
      </c>
      <c r="G26" s="11"/>
    </row>
    <row r="27" spans="1:12">
      <c r="A27" s="11" t="s">
        <v>379</v>
      </c>
      <c r="B27" s="3">
        <v>-200000</v>
      </c>
      <c r="C27" s="11">
        <v>1</v>
      </c>
      <c r="D27" s="11">
        <f t="shared" si="0"/>
        <v>1413</v>
      </c>
      <c r="E27" s="11">
        <f t="shared" si="1"/>
        <v>0</v>
      </c>
      <c r="F27" s="11">
        <f t="shared" si="2"/>
        <v>-282600000</v>
      </c>
      <c r="G27" s="11"/>
    </row>
    <row r="28" spans="1:12">
      <c r="A28" s="11" t="s">
        <v>378</v>
      </c>
      <c r="B28" s="3">
        <v>2000000</v>
      </c>
      <c r="C28" s="11">
        <v>1</v>
      </c>
      <c r="D28" s="11">
        <f t="shared" si="0"/>
        <v>1412</v>
      </c>
      <c r="E28" s="11">
        <f t="shared" si="1"/>
        <v>1</v>
      </c>
      <c r="F28" s="11">
        <f t="shared" si="2"/>
        <v>2822000000</v>
      </c>
      <c r="G28" s="11"/>
    </row>
    <row r="29" spans="1:12">
      <c r="A29" s="11" t="s">
        <v>377</v>
      </c>
      <c r="B29" s="3">
        <v>-7000800</v>
      </c>
      <c r="C29" s="11">
        <v>1</v>
      </c>
      <c r="D29" s="11">
        <f t="shared" si="0"/>
        <v>1411</v>
      </c>
      <c r="E29" s="11">
        <f t="shared" si="1"/>
        <v>0</v>
      </c>
      <c r="F29" s="11">
        <f t="shared" si="2"/>
        <v>-9878128800</v>
      </c>
      <c r="G29" s="11"/>
    </row>
    <row r="30" spans="1:12">
      <c r="A30" s="23" t="s">
        <v>54</v>
      </c>
      <c r="B30" s="3">
        <v>-3000900</v>
      </c>
      <c r="C30" s="11">
        <v>1</v>
      </c>
      <c r="D30" s="11">
        <f t="shared" si="0"/>
        <v>1410</v>
      </c>
      <c r="E30" s="11">
        <f t="shared" si="1"/>
        <v>0</v>
      </c>
      <c r="F30" s="11">
        <f t="shared" si="2"/>
        <v>-4231269000</v>
      </c>
      <c r="G30" s="11"/>
    </row>
    <row r="31" spans="1:12">
      <c r="A31" s="11" t="s">
        <v>55</v>
      </c>
      <c r="B31" s="3">
        <v>-1695900</v>
      </c>
      <c r="C31" s="11">
        <v>3</v>
      </c>
      <c r="D31" s="11">
        <f t="shared" si="0"/>
        <v>1409</v>
      </c>
      <c r="E31" s="11">
        <f t="shared" si="1"/>
        <v>0</v>
      </c>
      <c r="F31" s="11">
        <f t="shared" si="2"/>
        <v>-2389523100</v>
      </c>
      <c r="G31" s="11"/>
    </row>
    <row r="32" spans="1:12">
      <c r="A32" s="11" t="s">
        <v>376</v>
      </c>
      <c r="B32" s="3">
        <v>994300</v>
      </c>
      <c r="C32" s="11">
        <v>6</v>
      </c>
      <c r="D32" s="11">
        <f t="shared" si="0"/>
        <v>1406</v>
      </c>
      <c r="E32" s="11">
        <f t="shared" si="1"/>
        <v>1</v>
      </c>
      <c r="F32" s="11">
        <f t="shared" si="2"/>
        <v>1396991500</v>
      </c>
      <c r="G32" s="11"/>
    </row>
    <row r="33" spans="1:7">
      <c r="A33" s="11" t="s">
        <v>374</v>
      </c>
      <c r="B33" s="3">
        <v>35091</v>
      </c>
      <c r="C33" s="11">
        <v>1</v>
      </c>
      <c r="D33" s="11">
        <f t="shared" si="0"/>
        <v>1400</v>
      </c>
      <c r="E33" s="11">
        <f t="shared" si="1"/>
        <v>1</v>
      </c>
      <c r="F33" s="11">
        <f t="shared" si="2"/>
        <v>49092309</v>
      </c>
      <c r="G33" s="11" t="s">
        <v>375</v>
      </c>
    </row>
    <row r="34" spans="1:7">
      <c r="A34" s="11" t="s">
        <v>373</v>
      </c>
      <c r="B34" s="3">
        <v>-850000</v>
      </c>
      <c r="C34" s="11">
        <v>8</v>
      </c>
      <c r="D34" s="11">
        <f t="shared" si="0"/>
        <v>1399</v>
      </c>
      <c r="E34" s="11">
        <f t="shared" si="1"/>
        <v>0</v>
      </c>
      <c r="F34" s="11">
        <f t="shared" si="2"/>
        <v>-1189150000</v>
      </c>
      <c r="G34" s="11"/>
    </row>
    <row r="35" spans="1:7">
      <c r="A35" s="23" t="s">
        <v>372</v>
      </c>
      <c r="B35" s="3">
        <v>-190500</v>
      </c>
      <c r="C35" s="11">
        <v>1</v>
      </c>
      <c r="D35" s="11">
        <f t="shared" si="0"/>
        <v>1391</v>
      </c>
      <c r="E35" s="11">
        <f t="shared" si="1"/>
        <v>0</v>
      </c>
      <c r="F35" s="11">
        <f t="shared" si="2"/>
        <v>-264985500</v>
      </c>
      <c r="G35" s="11"/>
    </row>
    <row r="36" spans="1:7">
      <c r="A36" s="37" t="s">
        <v>80</v>
      </c>
      <c r="B36" s="3">
        <v>200000</v>
      </c>
      <c r="C36" s="11">
        <v>0</v>
      </c>
      <c r="D36" s="11">
        <f t="shared" si="0"/>
        <v>1390</v>
      </c>
      <c r="E36" s="11">
        <f t="shared" si="1"/>
        <v>1</v>
      </c>
      <c r="F36" s="11">
        <f t="shared" si="2"/>
        <v>277800000</v>
      </c>
      <c r="G36" s="11"/>
    </row>
    <row r="37" spans="1:7">
      <c r="A37" s="11" t="s">
        <v>80</v>
      </c>
      <c r="B37" s="3">
        <v>-200000</v>
      </c>
      <c r="C37" s="11">
        <v>22</v>
      </c>
      <c r="D37" s="11">
        <f t="shared" si="0"/>
        <v>1390</v>
      </c>
      <c r="E37" s="11">
        <f t="shared" si="1"/>
        <v>0</v>
      </c>
      <c r="F37" s="11">
        <f t="shared" si="2"/>
        <v>-278000000</v>
      </c>
      <c r="G37" s="11"/>
    </row>
    <row r="38" spans="1:7">
      <c r="A38" s="23" t="s">
        <v>371</v>
      </c>
      <c r="B38" s="3">
        <v>300806</v>
      </c>
      <c r="C38" s="11">
        <v>1</v>
      </c>
      <c r="D38" s="11">
        <f t="shared" si="0"/>
        <v>1368</v>
      </c>
      <c r="E38" s="11">
        <f t="shared" si="1"/>
        <v>1</v>
      </c>
      <c r="F38" s="11">
        <f t="shared" si="2"/>
        <v>411201802</v>
      </c>
      <c r="G38" s="11" t="s">
        <v>395</v>
      </c>
    </row>
    <row r="39" spans="1:7">
      <c r="A39" s="11" t="s">
        <v>370</v>
      </c>
      <c r="B39" s="3">
        <v>-95000</v>
      </c>
      <c r="C39" s="11">
        <v>0</v>
      </c>
      <c r="D39" s="11">
        <f t="shared" si="0"/>
        <v>1367</v>
      </c>
      <c r="E39" s="11">
        <f t="shared" si="1"/>
        <v>0</v>
      </c>
      <c r="F39" s="11">
        <f t="shared" si="2"/>
        <v>-129865000</v>
      </c>
      <c r="G39" s="11"/>
    </row>
    <row r="40" spans="1:7">
      <c r="A40" s="11" t="s">
        <v>370</v>
      </c>
      <c r="B40" s="3">
        <v>-88103</v>
      </c>
      <c r="C40" s="11">
        <v>5</v>
      </c>
      <c r="D40" s="11">
        <f t="shared" si="0"/>
        <v>1367</v>
      </c>
      <c r="E40" s="11">
        <f t="shared" si="1"/>
        <v>0</v>
      </c>
      <c r="F40" s="11">
        <f t="shared" si="2"/>
        <v>-120436801</v>
      </c>
      <c r="G40" s="11"/>
    </row>
    <row r="41" spans="1:7">
      <c r="A41" s="11" t="s">
        <v>369</v>
      </c>
      <c r="B41" s="3">
        <v>-120000</v>
      </c>
      <c r="C41" s="11">
        <v>22</v>
      </c>
      <c r="D41" s="11">
        <f t="shared" si="0"/>
        <v>1362</v>
      </c>
      <c r="E41" s="11">
        <f t="shared" si="1"/>
        <v>0</v>
      </c>
      <c r="F41" s="11">
        <f t="shared" si="2"/>
        <v>-163440000</v>
      </c>
      <c r="G41" s="11"/>
    </row>
    <row r="42" spans="1:7">
      <c r="A42" s="11" t="s">
        <v>368</v>
      </c>
      <c r="B42" s="3">
        <v>1000204</v>
      </c>
      <c r="C42" s="11">
        <v>4</v>
      </c>
      <c r="D42" s="11">
        <f t="shared" si="0"/>
        <v>1340</v>
      </c>
      <c r="E42" s="11">
        <f t="shared" si="1"/>
        <v>1</v>
      </c>
      <c r="F42" s="11">
        <f t="shared" si="2"/>
        <v>1339273156</v>
      </c>
      <c r="G42" s="11" t="s">
        <v>396</v>
      </c>
    </row>
    <row r="43" spans="1:7">
      <c r="A43" s="11" t="s">
        <v>367</v>
      </c>
      <c r="B43" s="3">
        <v>-80000</v>
      </c>
      <c r="C43" s="11">
        <v>4</v>
      </c>
      <c r="D43" s="11">
        <f t="shared" si="0"/>
        <v>1336</v>
      </c>
      <c r="E43" s="11">
        <f t="shared" si="1"/>
        <v>0</v>
      </c>
      <c r="F43" s="11">
        <f t="shared" si="2"/>
        <v>-106880000</v>
      </c>
      <c r="G43" s="11"/>
    </row>
    <row r="44" spans="1:7">
      <c r="A44" s="11" t="s">
        <v>366</v>
      </c>
      <c r="B44" s="3">
        <v>-211029</v>
      </c>
      <c r="C44" s="11">
        <v>1</v>
      </c>
      <c r="D44" s="11">
        <f t="shared" si="0"/>
        <v>1332</v>
      </c>
      <c r="E44" s="11">
        <f t="shared" si="1"/>
        <v>0</v>
      </c>
      <c r="F44" s="11">
        <f t="shared" si="2"/>
        <v>-281090628</v>
      </c>
      <c r="G44" s="11"/>
    </row>
    <row r="45" spans="1:7">
      <c r="A45" s="11" t="s">
        <v>365</v>
      </c>
      <c r="B45" s="3">
        <v>-200000</v>
      </c>
      <c r="C45" s="11">
        <v>1</v>
      </c>
      <c r="D45" s="11">
        <f t="shared" si="0"/>
        <v>1331</v>
      </c>
      <c r="E45" s="11">
        <f t="shared" si="1"/>
        <v>0</v>
      </c>
      <c r="F45" s="11">
        <f t="shared" si="2"/>
        <v>-266200000</v>
      </c>
      <c r="G45" s="11"/>
    </row>
    <row r="46" spans="1:7">
      <c r="A46" s="11" t="s">
        <v>364</v>
      </c>
      <c r="B46" s="3">
        <v>-95000</v>
      </c>
      <c r="C46" s="11">
        <v>2</v>
      </c>
      <c r="D46" s="11">
        <f t="shared" si="0"/>
        <v>1330</v>
      </c>
      <c r="E46" s="11">
        <f t="shared" si="1"/>
        <v>0</v>
      </c>
      <c r="F46" s="11">
        <f t="shared" si="2"/>
        <v>-126350000</v>
      </c>
      <c r="G46" s="11"/>
    </row>
    <row r="47" spans="1:7">
      <c r="A47" s="11" t="s">
        <v>363</v>
      </c>
      <c r="B47" s="3">
        <v>-45000</v>
      </c>
      <c r="C47" s="11">
        <v>0</v>
      </c>
      <c r="D47" s="11">
        <f t="shared" si="0"/>
        <v>1328</v>
      </c>
      <c r="E47" s="11">
        <f t="shared" si="1"/>
        <v>0</v>
      </c>
      <c r="F47" s="11">
        <f t="shared" si="2"/>
        <v>-59760000</v>
      </c>
      <c r="G47" s="11"/>
    </row>
    <row r="48" spans="1:7">
      <c r="A48" s="11" t="s">
        <v>363</v>
      </c>
      <c r="B48" s="3">
        <v>-64180</v>
      </c>
      <c r="C48" s="11">
        <v>3</v>
      </c>
      <c r="D48" s="11">
        <f t="shared" si="0"/>
        <v>1328</v>
      </c>
      <c r="E48" s="11">
        <f t="shared" si="1"/>
        <v>0</v>
      </c>
      <c r="F48" s="11">
        <f t="shared" si="2"/>
        <v>-85231040</v>
      </c>
      <c r="G48" s="11"/>
    </row>
    <row r="49" spans="1:7">
      <c r="A49" s="11" t="s">
        <v>362</v>
      </c>
      <c r="B49" s="3">
        <v>-27484</v>
      </c>
      <c r="C49" s="11">
        <v>1</v>
      </c>
      <c r="D49" s="11">
        <f t="shared" si="0"/>
        <v>1325</v>
      </c>
      <c r="E49" s="11">
        <f t="shared" si="1"/>
        <v>0</v>
      </c>
      <c r="F49" s="11">
        <f t="shared" si="2"/>
        <v>-36416300</v>
      </c>
      <c r="G49" s="11"/>
    </row>
    <row r="50" spans="1:7">
      <c r="A50" s="11" t="s">
        <v>361</v>
      </c>
      <c r="B50" s="3">
        <v>-141000</v>
      </c>
      <c r="C50" s="11">
        <v>0</v>
      </c>
      <c r="D50" s="11">
        <f t="shared" si="0"/>
        <v>1324</v>
      </c>
      <c r="E50" s="11">
        <f t="shared" si="1"/>
        <v>0</v>
      </c>
      <c r="F50" s="11">
        <f t="shared" si="2"/>
        <v>-186684000</v>
      </c>
      <c r="G50" s="11"/>
    </row>
    <row r="51" spans="1:7">
      <c r="A51" s="11" t="s">
        <v>361</v>
      </c>
      <c r="B51" s="3">
        <v>-26746</v>
      </c>
      <c r="C51" s="11">
        <v>1</v>
      </c>
      <c r="D51" s="11">
        <f t="shared" si="0"/>
        <v>1324</v>
      </c>
      <c r="E51" s="11">
        <f t="shared" si="1"/>
        <v>0</v>
      </c>
      <c r="F51" s="11">
        <f t="shared" si="2"/>
        <v>-35411704</v>
      </c>
      <c r="G51" s="11"/>
    </row>
    <row r="52" spans="1:7">
      <c r="A52" s="11" t="s">
        <v>360</v>
      </c>
      <c r="B52" s="3">
        <v>-53300</v>
      </c>
      <c r="C52" s="11">
        <v>1</v>
      </c>
      <c r="D52" s="11">
        <f t="shared" si="0"/>
        <v>1323</v>
      </c>
      <c r="E52" s="11">
        <f t="shared" si="1"/>
        <v>0</v>
      </c>
      <c r="F52" s="11">
        <f t="shared" si="2"/>
        <v>-70515900</v>
      </c>
      <c r="G52" s="11"/>
    </row>
    <row r="53" spans="1:7">
      <c r="A53" s="11" t="s">
        <v>126</v>
      </c>
      <c r="B53" s="3">
        <v>1000000</v>
      </c>
      <c r="C53" s="11">
        <v>6</v>
      </c>
      <c r="D53" s="11">
        <f t="shared" si="0"/>
        <v>1322</v>
      </c>
      <c r="E53" s="11">
        <f t="shared" si="1"/>
        <v>1</v>
      </c>
      <c r="F53" s="11">
        <f t="shared" si="2"/>
        <v>1321000000</v>
      </c>
      <c r="G53" s="11"/>
    </row>
    <row r="54" spans="1:7">
      <c r="A54" s="11" t="s">
        <v>359</v>
      </c>
      <c r="B54" s="3">
        <v>-21000</v>
      </c>
      <c r="C54" s="11">
        <v>1</v>
      </c>
      <c r="D54" s="11">
        <f t="shared" si="0"/>
        <v>1316</v>
      </c>
      <c r="E54" s="11">
        <f t="shared" si="1"/>
        <v>0</v>
      </c>
      <c r="F54" s="11">
        <f t="shared" si="2"/>
        <v>-27636000</v>
      </c>
      <c r="G54" s="11"/>
    </row>
    <row r="55" spans="1:7">
      <c r="A55" s="11" t="s">
        <v>131</v>
      </c>
      <c r="B55" s="3">
        <v>-980500</v>
      </c>
      <c r="C55" s="11">
        <v>0</v>
      </c>
      <c r="D55" s="11">
        <f t="shared" si="0"/>
        <v>1315</v>
      </c>
      <c r="E55" s="11">
        <f t="shared" si="1"/>
        <v>0</v>
      </c>
      <c r="F55" s="11">
        <f t="shared" si="2"/>
        <v>-1289357500</v>
      </c>
      <c r="G55" s="11"/>
    </row>
    <row r="56" spans="1:7">
      <c r="A56" s="11" t="s">
        <v>131</v>
      </c>
      <c r="B56" s="3">
        <v>-45000</v>
      </c>
      <c r="C56" s="11">
        <v>13</v>
      </c>
      <c r="D56" s="11">
        <f t="shared" si="0"/>
        <v>1315</v>
      </c>
      <c r="E56" s="11">
        <f t="shared" si="1"/>
        <v>0</v>
      </c>
      <c r="F56" s="11">
        <f t="shared" si="2"/>
        <v>-59175000</v>
      </c>
      <c r="G56" s="11"/>
    </row>
    <row r="57" spans="1:7">
      <c r="A57" s="11" t="s">
        <v>358</v>
      </c>
      <c r="B57" s="3">
        <v>3005189</v>
      </c>
      <c r="C57" s="11">
        <v>0</v>
      </c>
      <c r="D57" s="11">
        <f t="shared" si="0"/>
        <v>1302</v>
      </c>
      <c r="E57" s="11">
        <f t="shared" si="1"/>
        <v>1</v>
      </c>
      <c r="F57" s="11">
        <f t="shared" si="2"/>
        <v>3909750889</v>
      </c>
      <c r="G57" s="11" t="s">
        <v>397</v>
      </c>
    </row>
    <row r="58" spans="1:7">
      <c r="A58" s="11" t="s">
        <v>358</v>
      </c>
      <c r="B58" s="3">
        <v>2000000</v>
      </c>
      <c r="C58" s="11">
        <v>1</v>
      </c>
      <c r="D58" s="11">
        <f t="shared" si="0"/>
        <v>1302</v>
      </c>
      <c r="E58" s="11">
        <f t="shared" si="1"/>
        <v>1</v>
      </c>
      <c r="F58" s="11">
        <f t="shared" si="2"/>
        <v>2602000000</v>
      </c>
      <c r="G58" s="11"/>
    </row>
    <row r="59" spans="1:7">
      <c r="A59" s="11" t="s">
        <v>143</v>
      </c>
      <c r="B59" s="3">
        <v>2000000</v>
      </c>
      <c r="C59" s="11">
        <v>0</v>
      </c>
      <c r="D59" s="11">
        <f t="shared" si="0"/>
        <v>1301</v>
      </c>
      <c r="E59" s="11">
        <f t="shared" si="1"/>
        <v>1</v>
      </c>
      <c r="F59" s="11">
        <f t="shared" si="2"/>
        <v>2600000000</v>
      </c>
      <c r="G59" s="11"/>
    </row>
    <row r="60" spans="1:7">
      <c r="A60" s="11" t="s">
        <v>143</v>
      </c>
      <c r="B60" s="3">
        <v>-7001500</v>
      </c>
      <c r="C60" s="11">
        <v>24</v>
      </c>
      <c r="D60" s="11">
        <f t="shared" si="0"/>
        <v>1301</v>
      </c>
      <c r="E60" s="11">
        <f t="shared" si="1"/>
        <v>0</v>
      </c>
      <c r="F60" s="11">
        <f t="shared" si="2"/>
        <v>-9108951500</v>
      </c>
      <c r="G60" s="11"/>
    </row>
    <row r="61" spans="1:7">
      <c r="A61" s="11" t="s">
        <v>357</v>
      </c>
      <c r="B61" s="3">
        <v>3000000</v>
      </c>
      <c r="C61" s="11">
        <v>1</v>
      </c>
      <c r="D61" s="11">
        <f t="shared" si="0"/>
        <v>1277</v>
      </c>
      <c r="E61" s="11">
        <f t="shared" si="1"/>
        <v>1</v>
      </c>
      <c r="F61" s="11">
        <f t="shared" si="2"/>
        <v>3828000000</v>
      </c>
      <c r="G61" s="11"/>
    </row>
    <row r="62" spans="1:7">
      <c r="A62" s="11" t="s">
        <v>356</v>
      </c>
      <c r="B62" s="3">
        <v>-27109</v>
      </c>
      <c r="C62" s="11">
        <v>0</v>
      </c>
      <c r="D62" s="11">
        <f t="shared" si="0"/>
        <v>1276</v>
      </c>
      <c r="E62" s="11">
        <f t="shared" si="1"/>
        <v>0</v>
      </c>
      <c r="F62" s="11">
        <f t="shared" si="2"/>
        <v>-34591084</v>
      </c>
      <c r="G62" s="11"/>
    </row>
    <row r="63" spans="1:7">
      <c r="A63" s="11" t="s">
        <v>356</v>
      </c>
      <c r="B63" s="3">
        <v>-32989</v>
      </c>
      <c r="C63" s="11">
        <v>0</v>
      </c>
      <c r="D63" s="11">
        <f t="shared" si="0"/>
        <v>1276</v>
      </c>
      <c r="E63" s="11">
        <f t="shared" si="1"/>
        <v>0</v>
      </c>
      <c r="F63" s="11">
        <f t="shared" si="2"/>
        <v>-42093964</v>
      </c>
      <c r="G63" s="11"/>
    </row>
    <row r="64" spans="1:7">
      <c r="A64" s="11" t="s">
        <v>356</v>
      </c>
      <c r="B64" s="3">
        <v>3000000</v>
      </c>
      <c r="C64" s="11">
        <v>0</v>
      </c>
      <c r="D64" s="11">
        <f t="shared" si="0"/>
        <v>1276</v>
      </c>
      <c r="E64" s="11">
        <f t="shared" si="1"/>
        <v>1</v>
      </c>
      <c r="F64" s="11">
        <f t="shared" si="2"/>
        <v>3825000000</v>
      </c>
      <c r="G64" s="11"/>
    </row>
    <row r="65" spans="1:7">
      <c r="A65" s="11" t="s">
        <v>356</v>
      </c>
      <c r="B65" s="3">
        <v>2970000</v>
      </c>
      <c r="C65" s="11">
        <v>0</v>
      </c>
      <c r="D65" s="11">
        <f t="shared" si="0"/>
        <v>1276</v>
      </c>
      <c r="E65" s="11">
        <f t="shared" si="1"/>
        <v>1</v>
      </c>
      <c r="F65" s="11">
        <f t="shared" si="2"/>
        <v>3786750000</v>
      </c>
      <c r="G65" s="11"/>
    </row>
    <row r="66" spans="1:7">
      <c r="A66" s="11" t="s">
        <v>356</v>
      </c>
      <c r="B66" s="3">
        <v>1000000</v>
      </c>
      <c r="C66" s="11">
        <v>0</v>
      </c>
      <c r="D66" s="11">
        <f t="shared" ref="D66:D129" si="3">D67+C66</f>
        <v>1276</v>
      </c>
      <c r="E66" s="11">
        <f t="shared" si="1"/>
        <v>1</v>
      </c>
      <c r="F66" s="11">
        <f t="shared" si="2"/>
        <v>1275000000</v>
      </c>
      <c r="G66" s="11"/>
    </row>
    <row r="67" spans="1:7">
      <c r="A67" s="11" t="s">
        <v>356</v>
      </c>
      <c r="B67" s="3">
        <v>30000</v>
      </c>
      <c r="C67" s="11">
        <v>1</v>
      </c>
      <c r="D67" s="11">
        <f t="shared" si="3"/>
        <v>1276</v>
      </c>
      <c r="E67" s="11">
        <f t="shared" ref="E67:E130" si="4">IF(B67&gt;0,1,0)</f>
        <v>1</v>
      </c>
      <c r="F67" s="11">
        <f t="shared" ref="F67:F249" si="5">B67*(D67-E67)</f>
        <v>38250000</v>
      </c>
      <c r="G67" s="11"/>
    </row>
    <row r="68" spans="1:7">
      <c r="A68" s="11" t="s">
        <v>355</v>
      </c>
      <c r="B68" s="3">
        <v>30000000</v>
      </c>
      <c r="C68" s="11">
        <v>1</v>
      </c>
      <c r="D68" s="11">
        <f t="shared" si="3"/>
        <v>1275</v>
      </c>
      <c r="E68" s="11">
        <f t="shared" si="4"/>
        <v>1</v>
      </c>
      <c r="F68" s="11">
        <f t="shared" si="5"/>
        <v>38220000000</v>
      </c>
      <c r="G68" s="11"/>
    </row>
    <row r="69" spans="1:7">
      <c r="A69" s="11" t="s">
        <v>196</v>
      </c>
      <c r="B69" s="3">
        <v>-200000</v>
      </c>
      <c r="C69" s="11">
        <v>0</v>
      </c>
      <c r="D69" s="11">
        <f t="shared" si="3"/>
        <v>1274</v>
      </c>
      <c r="E69" s="11">
        <f t="shared" si="4"/>
        <v>0</v>
      </c>
      <c r="F69" s="11">
        <f t="shared" si="5"/>
        <v>-254800000</v>
      </c>
      <c r="G69" s="11"/>
    </row>
    <row r="70" spans="1:7">
      <c r="A70" s="11" t="s">
        <v>354</v>
      </c>
      <c r="B70" s="3">
        <v>1400000</v>
      </c>
      <c r="C70" s="11">
        <v>0</v>
      </c>
      <c r="D70" s="11">
        <f t="shared" si="3"/>
        <v>1274</v>
      </c>
      <c r="E70" s="11">
        <f t="shared" si="4"/>
        <v>1</v>
      </c>
      <c r="F70" s="11">
        <f t="shared" si="5"/>
        <v>1782200000</v>
      </c>
      <c r="G70" s="11"/>
    </row>
    <row r="71" spans="1:7">
      <c r="A71" s="11" t="s">
        <v>354</v>
      </c>
      <c r="B71" s="3">
        <v>2600000</v>
      </c>
      <c r="C71" s="11">
        <v>0</v>
      </c>
      <c r="D71" s="11">
        <f t="shared" si="3"/>
        <v>1274</v>
      </c>
      <c r="E71" s="11">
        <f t="shared" si="4"/>
        <v>1</v>
      </c>
      <c r="F71" s="11">
        <f t="shared" si="5"/>
        <v>3309800000</v>
      </c>
      <c r="G71" s="11"/>
    </row>
    <row r="72" spans="1:7">
      <c r="A72" s="11" t="s">
        <v>354</v>
      </c>
      <c r="B72" s="3">
        <v>-1000000</v>
      </c>
      <c r="C72" s="11">
        <v>2</v>
      </c>
      <c r="D72" s="11">
        <f t="shared" si="3"/>
        <v>1274</v>
      </c>
      <c r="E72" s="11">
        <f t="shared" si="4"/>
        <v>0</v>
      </c>
      <c r="F72" s="11">
        <f t="shared" si="5"/>
        <v>-1274000000</v>
      </c>
      <c r="G72" s="11"/>
    </row>
    <row r="73" spans="1:7">
      <c r="A73" s="11" t="s">
        <v>353</v>
      </c>
      <c r="B73" s="3">
        <v>15000000</v>
      </c>
      <c r="C73" s="11">
        <v>5</v>
      </c>
      <c r="D73" s="11">
        <f t="shared" si="3"/>
        <v>1272</v>
      </c>
      <c r="E73" s="11">
        <f t="shared" si="4"/>
        <v>1</v>
      </c>
      <c r="F73" s="11">
        <f t="shared" si="5"/>
        <v>19065000000</v>
      </c>
      <c r="G73" s="11"/>
    </row>
    <row r="74" spans="1:7">
      <c r="A74" s="23" t="s">
        <v>277</v>
      </c>
      <c r="B74" s="3">
        <v>-15004200</v>
      </c>
      <c r="C74" s="11">
        <v>2</v>
      </c>
      <c r="D74" s="11">
        <f t="shared" si="3"/>
        <v>1267</v>
      </c>
      <c r="E74" s="11">
        <f t="shared" si="4"/>
        <v>0</v>
      </c>
      <c r="F74" s="11">
        <f t="shared" si="5"/>
        <v>-19010321400</v>
      </c>
      <c r="G74" s="11"/>
    </row>
    <row r="75" spans="1:7">
      <c r="A75" s="11" t="s">
        <v>275</v>
      </c>
      <c r="B75" s="3">
        <v>-3000000</v>
      </c>
      <c r="C75" s="11">
        <v>0</v>
      </c>
      <c r="D75" s="11">
        <f t="shared" si="3"/>
        <v>1265</v>
      </c>
      <c r="E75" s="11">
        <f t="shared" si="4"/>
        <v>0</v>
      </c>
      <c r="F75" s="11">
        <f t="shared" si="5"/>
        <v>-3795000000</v>
      </c>
      <c r="G75" s="11"/>
    </row>
    <row r="76" spans="1:7">
      <c r="A76" s="11" t="s">
        <v>275</v>
      </c>
      <c r="B76" s="3">
        <v>-200000</v>
      </c>
      <c r="C76" s="11">
        <v>0</v>
      </c>
      <c r="D76" s="11">
        <f t="shared" si="3"/>
        <v>1265</v>
      </c>
      <c r="E76" s="11">
        <f t="shared" si="4"/>
        <v>0</v>
      </c>
      <c r="F76" s="11">
        <f t="shared" si="5"/>
        <v>-253000000</v>
      </c>
      <c r="G76" s="11"/>
    </row>
    <row r="77" spans="1:7">
      <c r="A77" s="23" t="s">
        <v>275</v>
      </c>
      <c r="B77" s="3">
        <v>-12003000</v>
      </c>
      <c r="C77" s="11">
        <v>4</v>
      </c>
      <c r="D77" s="11">
        <f t="shared" si="3"/>
        <v>1265</v>
      </c>
      <c r="E77" s="11">
        <f t="shared" si="4"/>
        <v>0</v>
      </c>
      <c r="F77" s="11">
        <f t="shared" si="5"/>
        <v>-15183795000</v>
      </c>
      <c r="G77" s="11"/>
    </row>
    <row r="78" spans="1:7">
      <c r="A78" s="23" t="s">
        <v>228</v>
      </c>
      <c r="B78" s="3">
        <v>-3000900</v>
      </c>
      <c r="C78" s="11">
        <v>5</v>
      </c>
      <c r="D78" s="11">
        <f t="shared" si="3"/>
        <v>1261</v>
      </c>
      <c r="E78" s="11">
        <f t="shared" si="4"/>
        <v>0</v>
      </c>
      <c r="F78" s="11">
        <f t="shared" si="5"/>
        <v>-3784134900</v>
      </c>
      <c r="G78" s="11"/>
    </row>
    <row r="79" spans="1:7">
      <c r="A79" s="11" t="s">
        <v>352</v>
      </c>
      <c r="B79" s="3">
        <v>23000000</v>
      </c>
      <c r="C79" s="11">
        <v>5</v>
      </c>
      <c r="D79" s="11">
        <f t="shared" si="3"/>
        <v>1256</v>
      </c>
      <c r="E79" s="11">
        <f t="shared" si="4"/>
        <v>1</v>
      </c>
      <c r="F79" s="11">
        <f t="shared" si="5"/>
        <v>28865000000</v>
      </c>
      <c r="G79" s="11"/>
    </row>
    <row r="80" spans="1:7">
      <c r="A80" s="23" t="s">
        <v>237</v>
      </c>
      <c r="B80" s="3">
        <v>-600500</v>
      </c>
      <c r="C80" s="11">
        <v>0</v>
      </c>
      <c r="D80" s="11">
        <f t="shared" si="3"/>
        <v>1251</v>
      </c>
      <c r="E80" s="11">
        <f t="shared" si="4"/>
        <v>0</v>
      </c>
      <c r="F80" s="11">
        <f t="shared" si="5"/>
        <v>-751225500</v>
      </c>
      <c r="G80" s="11"/>
    </row>
    <row r="81" spans="1:10">
      <c r="A81" s="20" t="s">
        <v>237</v>
      </c>
      <c r="B81" s="3">
        <v>-200000</v>
      </c>
      <c r="C81" s="11">
        <v>1</v>
      </c>
      <c r="D81" s="11">
        <f t="shared" si="3"/>
        <v>1251</v>
      </c>
      <c r="E81" s="11">
        <f t="shared" si="4"/>
        <v>0</v>
      </c>
      <c r="F81" s="11">
        <f t="shared" si="5"/>
        <v>-250200000</v>
      </c>
      <c r="G81" s="11"/>
    </row>
    <row r="82" spans="1:10">
      <c r="A82" s="11" t="s">
        <v>241</v>
      </c>
      <c r="B82" s="3">
        <v>283221</v>
      </c>
      <c r="C82" s="11">
        <v>0</v>
      </c>
      <c r="D82" s="11">
        <f t="shared" si="3"/>
        <v>1250</v>
      </c>
      <c r="E82" s="11">
        <f t="shared" si="4"/>
        <v>1</v>
      </c>
      <c r="F82" s="11">
        <f t="shared" si="5"/>
        <v>353743029</v>
      </c>
      <c r="G82" s="11" t="s">
        <v>242</v>
      </c>
    </row>
    <row r="83" spans="1:10">
      <c r="A83" s="11" t="s">
        <v>241</v>
      </c>
      <c r="B83" s="3">
        <v>-200000</v>
      </c>
      <c r="C83" s="11">
        <v>2</v>
      </c>
      <c r="D83" s="11">
        <f t="shared" si="3"/>
        <v>1250</v>
      </c>
      <c r="E83" s="11">
        <f t="shared" si="4"/>
        <v>0</v>
      </c>
      <c r="F83" s="11">
        <f t="shared" si="5"/>
        <v>-250000000</v>
      </c>
      <c r="G83" s="11"/>
    </row>
    <row r="84" spans="1:10">
      <c r="A84" s="11" t="s">
        <v>351</v>
      </c>
      <c r="B84" s="3">
        <v>2000000</v>
      </c>
      <c r="C84" s="11">
        <v>3</v>
      </c>
      <c r="D84" s="11">
        <f t="shared" si="3"/>
        <v>1248</v>
      </c>
      <c r="E84" s="11">
        <f t="shared" si="4"/>
        <v>1</v>
      </c>
      <c r="F84" s="11">
        <f t="shared" si="5"/>
        <v>2494000000</v>
      </c>
      <c r="G84" s="11"/>
    </row>
    <row r="85" spans="1:10">
      <c r="A85" s="11" t="s">
        <v>245</v>
      </c>
      <c r="B85" s="3">
        <v>-200000</v>
      </c>
      <c r="C85" s="11">
        <v>6</v>
      </c>
      <c r="D85" s="11">
        <f t="shared" si="3"/>
        <v>1245</v>
      </c>
      <c r="E85" s="11">
        <f t="shared" si="4"/>
        <v>0</v>
      </c>
      <c r="F85" s="11">
        <f t="shared" si="5"/>
        <v>-249000000</v>
      </c>
      <c r="G85" s="11"/>
    </row>
    <row r="86" spans="1:10">
      <c r="A86" s="11" t="s">
        <v>350</v>
      </c>
      <c r="B86" s="3">
        <v>-200000</v>
      </c>
      <c r="C86" s="11">
        <v>2</v>
      </c>
      <c r="D86" s="11">
        <f t="shared" si="3"/>
        <v>1239</v>
      </c>
      <c r="E86" s="11">
        <f t="shared" si="4"/>
        <v>0</v>
      </c>
      <c r="F86" s="11">
        <f t="shared" si="5"/>
        <v>-247800000</v>
      </c>
      <c r="G86" s="11"/>
    </row>
    <row r="87" spans="1:10">
      <c r="A87" s="11" t="s">
        <v>250</v>
      </c>
      <c r="B87" s="3">
        <v>-1325000</v>
      </c>
      <c r="C87" s="11">
        <v>15</v>
      </c>
      <c r="D87" s="11">
        <f t="shared" si="3"/>
        <v>1237</v>
      </c>
      <c r="E87" s="11">
        <f t="shared" si="4"/>
        <v>0</v>
      </c>
      <c r="F87" s="11">
        <f t="shared" si="5"/>
        <v>-1639025000</v>
      </c>
      <c r="G87" s="11"/>
    </row>
    <row r="88" spans="1:10">
      <c r="A88" s="11" t="s">
        <v>349</v>
      </c>
      <c r="B88" s="3">
        <v>-500000</v>
      </c>
      <c r="C88" s="11">
        <v>0</v>
      </c>
      <c r="D88" s="11">
        <f t="shared" si="3"/>
        <v>1222</v>
      </c>
      <c r="E88" s="11">
        <f t="shared" si="4"/>
        <v>0</v>
      </c>
      <c r="F88" s="11">
        <f t="shared" si="5"/>
        <v>-611000000</v>
      </c>
      <c r="G88" s="11"/>
    </row>
    <row r="89" spans="1:10">
      <c r="A89" s="11" t="s">
        <v>348</v>
      </c>
      <c r="B89" s="3">
        <v>-120000</v>
      </c>
      <c r="C89" s="11">
        <v>2</v>
      </c>
      <c r="D89" s="11">
        <f t="shared" si="3"/>
        <v>1222</v>
      </c>
      <c r="E89" s="11">
        <f t="shared" si="4"/>
        <v>0</v>
      </c>
      <c r="F89" s="11">
        <f t="shared" si="5"/>
        <v>-146640000</v>
      </c>
      <c r="G89" s="11"/>
    </row>
    <row r="90" spans="1:10">
      <c r="A90" s="11" t="s">
        <v>262</v>
      </c>
      <c r="B90" s="3">
        <v>428205</v>
      </c>
      <c r="C90" s="11">
        <v>3</v>
      </c>
      <c r="D90" s="11">
        <f t="shared" si="3"/>
        <v>1220</v>
      </c>
      <c r="E90" s="11">
        <f t="shared" si="4"/>
        <v>1</v>
      </c>
      <c r="F90" s="11">
        <f t="shared" si="5"/>
        <v>521981895</v>
      </c>
      <c r="G90" s="11" t="s">
        <v>264</v>
      </c>
    </row>
    <row r="91" spans="1:10">
      <c r="A91" s="23" t="s">
        <v>263</v>
      </c>
      <c r="B91" s="3">
        <v>-3002000</v>
      </c>
      <c r="C91" s="11">
        <v>2</v>
      </c>
      <c r="D91" s="11">
        <f t="shared" si="3"/>
        <v>1217</v>
      </c>
      <c r="E91" s="11">
        <f t="shared" si="4"/>
        <v>0</v>
      </c>
      <c r="F91" s="11">
        <f t="shared" si="5"/>
        <v>-3653434000</v>
      </c>
      <c r="G91" s="11" t="s">
        <v>337</v>
      </c>
    </row>
    <row r="92" spans="1:10">
      <c r="A92" s="23" t="s">
        <v>336</v>
      </c>
      <c r="B92" s="3">
        <v>-205000</v>
      </c>
      <c r="C92" s="11">
        <v>0</v>
      </c>
      <c r="D92" s="11">
        <f t="shared" si="3"/>
        <v>1215</v>
      </c>
      <c r="E92" s="11">
        <f t="shared" si="4"/>
        <v>0</v>
      </c>
      <c r="F92" s="11">
        <f t="shared" si="5"/>
        <v>-249075000</v>
      </c>
      <c r="G92" s="11" t="s">
        <v>338</v>
      </c>
    </row>
    <row r="93" spans="1:10">
      <c r="A93" s="11" t="s">
        <v>334</v>
      </c>
      <c r="B93" s="3">
        <v>-350500</v>
      </c>
      <c r="C93" s="11">
        <v>11</v>
      </c>
      <c r="D93" s="11">
        <f t="shared" si="3"/>
        <v>1215</v>
      </c>
      <c r="E93" s="11">
        <f t="shared" si="4"/>
        <v>0</v>
      </c>
      <c r="F93" s="11">
        <f t="shared" si="5"/>
        <v>-425857500</v>
      </c>
      <c r="G93" s="11" t="s">
        <v>335</v>
      </c>
    </row>
    <row r="94" spans="1:10">
      <c r="A94" s="11" t="s">
        <v>332</v>
      </c>
      <c r="B94" s="3">
        <v>1000000</v>
      </c>
      <c r="C94" s="11">
        <v>5</v>
      </c>
      <c r="D94" s="11">
        <f t="shared" si="3"/>
        <v>1204</v>
      </c>
      <c r="E94" s="11">
        <f t="shared" si="4"/>
        <v>1</v>
      </c>
      <c r="F94" s="11">
        <f t="shared" si="5"/>
        <v>1203000000</v>
      </c>
      <c r="G94" s="11" t="s">
        <v>333</v>
      </c>
    </row>
    <row r="95" spans="1:10">
      <c r="A95" s="11" t="s">
        <v>343</v>
      </c>
      <c r="B95" s="3">
        <v>9000000</v>
      </c>
      <c r="C95" s="11">
        <v>2</v>
      </c>
      <c r="D95" s="11">
        <f t="shared" si="3"/>
        <v>1199</v>
      </c>
      <c r="E95" s="11">
        <f t="shared" si="4"/>
        <v>1</v>
      </c>
      <c r="F95" s="11">
        <f t="shared" si="5"/>
        <v>10782000000</v>
      </c>
      <c r="G95" s="11" t="s">
        <v>345</v>
      </c>
      <c r="J95" s="26"/>
    </row>
    <row r="96" spans="1:10">
      <c r="A96" s="11" t="s">
        <v>346</v>
      </c>
      <c r="B96" s="3">
        <v>-26000000</v>
      </c>
      <c r="C96" s="11">
        <v>0</v>
      </c>
      <c r="D96" s="11">
        <f t="shared" si="3"/>
        <v>1197</v>
      </c>
      <c r="E96" s="11">
        <f t="shared" si="4"/>
        <v>0</v>
      </c>
      <c r="F96" s="11">
        <f t="shared" si="5"/>
        <v>-31122000000</v>
      </c>
      <c r="G96" s="11" t="s">
        <v>347</v>
      </c>
    </row>
    <row r="97" spans="1:9">
      <c r="A97" s="11" t="s">
        <v>346</v>
      </c>
      <c r="B97" s="3">
        <v>-26000000</v>
      </c>
      <c r="C97" s="11">
        <v>0</v>
      </c>
      <c r="D97" s="11">
        <f t="shared" si="3"/>
        <v>1197</v>
      </c>
      <c r="E97" s="11">
        <f t="shared" si="4"/>
        <v>0</v>
      </c>
      <c r="F97" s="11">
        <f t="shared" si="5"/>
        <v>-31122000000</v>
      </c>
      <c r="G97" s="11"/>
    </row>
    <row r="98" spans="1:9">
      <c r="A98" s="11" t="s">
        <v>346</v>
      </c>
      <c r="B98" s="3">
        <v>26000000</v>
      </c>
      <c r="C98" s="11">
        <v>0</v>
      </c>
      <c r="D98" s="11">
        <f t="shared" si="3"/>
        <v>1197</v>
      </c>
      <c r="E98" s="11">
        <f t="shared" si="4"/>
        <v>1</v>
      </c>
      <c r="F98" s="11">
        <f t="shared" si="5"/>
        <v>31096000000</v>
      </c>
      <c r="G98" s="11"/>
    </row>
    <row r="99" spans="1:9">
      <c r="A99" s="11" t="s">
        <v>346</v>
      </c>
      <c r="B99" s="3">
        <v>-200000</v>
      </c>
      <c r="C99" s="11">
        <v>2</v>
      </c>
      <c r="D99" s="11">
        <f t="shared" si="3"/>
        <v>1197</v>
      </c>
      <c r="E99" s="11">
        <f t="shared" si="4"/>
        <v>0</v>
      </c>
      <c r="F99" s="11">
        <f t="shared" si="5"/>
        <v>-239400000</v>
      </c>
      <c r="G99" s="11"/>
      <c r="I99" t="s">
        <v>25</v>
      </c>
    </row>
    <row r="100" spans="1:9">
      <c r="A100" s="11" t="s">
        <v>398</v>
      </c>
      <c r="B100" s="3">
        <v>29200000</v>
      </c>
      <c r="C100" s="11">
        <v>5</v>
      </c>
      <c r="D100" s="11">
        <f t="shared" si="3"/>
        <v>1195</v>
      </c>
      <c r="E100" s="11">
        <f t="shared" si="4"/>
        <v>1</v>
      </c>
      <c r="F100" s="11">
        <f t="shared" si="5"/>
        <v>34864800000</v>
      </c>
      <c r="G100" s="11"/>
    </row>
    <row r="101" spans="1:9">
      <c r="A101" s="11" t="s">
        <v>399</v>
      </c>
      <c r="B101" s="3">
        <v>399945</v>
      </c>
      <c r="C101" s="11">
        <v>1</v>
      </c>
      <c r="D101" s="11">
        <f t="shared" si="3"/>
        <v>1190</v>
      </c>
      <c r="E101" s="11">
        <f t="shared" si="4"/>
        <v>1</v>
      </c>
      <c r="F101" s="11">
        <f t="shared" si="5"/>
        <v>475534605</v>
      </c>
      <c r="G101" s="11" t="s">
        <v>400</v>
      </c>
    </row>
    <row r="102" spans="1:9">
      <c r="A102" s="11" t="s">
        <v>401</v>
      </c>
      <c r="B102" s="3">
        <v>2000000</v>
      </c>
      <c r="C102" s="11">
        <v>1</v>
      </c>
      <c r="D102" s="11">
        <f t="shared" si="3"/>
        <v>1189</v>
      </c>
      <c r="E102" s="11">
        <f t="shared" si="4"/>
        <v>1</v>
      </c>
      <c r="F102" s="11">
        <f t="shared" si="5"/>
        <v>2376000000</v>
      </c>
      <c r="G102" s="11" t="s">
        <v>402</v>
      </c>
    </row>
    <row r="103" spans="1:9">
      <c r="A103" s="11" t="s">
        <v>409</v>
      </c>
      <c r="B103" s="3">
        <v>7500000</v>
      </c>
      <c r="C103" s="11">
        <v>0</v>
      </c>
      <c r="D103" s="11">
        <f t="shared" si="3"/>
        <v>1188</v>
      </c>
      <c r="E103" s="11">
        <f t="shared" si="4"/>
        <v>1</v>
      </c>
      <c r="F103" s="11">
        <f t="shared" si="5"/>
        <v>8902500000</v>
      </c>
      <c r="G103" s="11" t="s">
        <v>410</v>
      </c>
    </row>
    <row r="104" spans="1:9">
      <c r="A104" s="11" t="s">
        <v>409</v>
      </c>
      <c r="B104" s="3">
        <v>-66000000</v>
      </c>
      <c r="C104" s="11">
        <v>0</v>
      </c>
      <c r="D104" s="11">
        <f t="shared" si="3"/>
        <v>1188</v>
      </c>
      <c r="E104" s="11">
        <f t="shared" si="4"/>
        <v>0</v>
      </c>
      <c r="F104" s="11">
        <f t="shared" si="5"/>
        <v>-78408000000</v>
      </c>
      <c r="G104" s="11" t="s">
        <v>424</v>
      </c>
    </row>
    <row r="105" spans="1:9">
      <c r="A105" s="11" t="s">
        <v>409</v>
      </c>
      <c r="B105" s="3">
        <v>-145000</v>
      </c>
      <c r="C105" s="11">
        <v>2</v>
      </c>
      <c r="D105" s="11">
        <f t="shared" si="3"/>
        <v>1188</v>
      </c>
      <c r="E105" s="11">
        <f t="shared" si="4"/>
        <v>0</v>
      </c>
      <c r="F105" s="11">
        <f t="shared" si="5"/>
        <v>-172260000</v>
      </c>
      <c r="G105" s="11" t="s">
        <v>425</v>
      </c>
    </row>
    <row r="106" spans="1:9">
      <c r="A106" s="11" t="s">
        <v>421</v>
      </c>
      <c r="B106" s="3">
        <v>6000000</v>
      </c>
      <c r="C106" s="11">
        <v>2</v>
      </c>
      <c r="D106" s="11">
        <f t="shared" si="3"/>
        <v>1186</v>
      </c>
      <c r="E106" s="11">
        <f t="shared" si="4"/>
        <v>1</v>
      </c>
      <c r="F106" s="11">
        <f t="shared" si="5"/>
        <v>7110000000</v>
      </c>
      <c r="G106" s="11" t="s">
        <v>426</v>
      </c>
    </row>
    <row r="107" spans="1:9">
      <c r="A107" s="11" t="s">
        <v>434</v>
      </c>
      <c r="B107" s="3">
        <v>-6005900</v>
      </c>
      <c r="C107" s="11">
        <v>3</v>
      </c>
      <c r="D107" s="11">
        <f t="shared" si="3"/>
        <v>1184</v>
      </c>
      <c r="E107" s="11">
        <f t="shared" si="4"/>
        <v>0</v>
      </c>
      <c r="F107" s="11">
        <f t="shared" si="5"/>
        <v>-7110985600</v>
      </c>
      <c r="G107" s="11" t="s">
        <v>436</v>
      </c>
    </row>
    <row r="108" spans="1:9">
      <c r="A108" s="11" t="s">
        <v>439</v>
      </c>
      <c r="B108" s="3">
        <v>6000000</v>
      </c>
      <c r="C108" s="11">
        <v>12</v>
      </c>
      <c r="D108" s="11">
        <f t="shared" si="3"/>
        <v>1181</v>
      </c>
      <c r="E108" s="11">
        <f t="shared" si="4"/>
        <v>1</v>
      </c>
      <c r="F108" s="11">
        <f t="shared" si="5"/>
        <v>7080000000</v>
      </c>
      <c r="G108" s="11" t="s">
        <v>444</v>
      </c>
    </row>
    <row r="109" spans="1:9">
      <c r="A109" s="11" t="s">
        <v>458</v>
      </c>
      <c r="B109" s="3">
        <v>-120000</v>
      </c>
      <c r="C109" s="11">
        <v>1</v>
      </c>
      <c r="D109" s="11">
        <f t="shared" si="3"/>
        <v>1169</v>
      </c>
      <c r="E109" s="11">
        <f t="shared" si="4"/>
        <v>0</v>
      </c>
      <c r="F109" s="11">
        <f t="shared" si="5"/>
        <v>-140280000</v>
      </c>
      <c r="G109" s="11" t="s">
        <v>459</v>
      </c>
    </row>
    <row r="110" spans="1:9">
      <c r="A110" s="11" t="s">
        <v>460</v>
      </c>
      <c r="B110" s="3">
        <v>4000000</v>
      </c>
      <c r="C110" s="11">
        <v>1</v>
      </c>
      <c r="D110" s="11">
        <f t="shared" si="3"/>
        <v>1168</v>
      </c>
      <c r="E110" s="11">
        <f t="shared" si="4"/>
        <v>1</v>
      </c>
      <c r="F110" s="11">
        <f t="shared" si="5"/>
        <v>4668000000</v>
      </c>
      <c r="G110" s="11" t="s">
        <v>461</v>
      </c>
    </row>
    <row r="111" spans="1:9">
      <c r="A111" s="11" t="s">
        <v>465</v>
      </c>
      <c r="B111" s="3">
        <v>2800000</v>
      </c>
      <c r="C111" s="11">
        <v>4</v>
      </c>
      <c r="D111" s="11">
        <f t="shared" si="3"/>
        <v>1167</v>
      </c>
      <c r="E111" s="11">
        <f t="shared" si="4"/>
        <v>1</v>
      </c>
      <c r="F111" s="11">
        <f t="shared" si="5"/>
        <v>3264800000</v>
      </c>
      <c r="G111" s="11" t="s">
        <v>466</v>
      </c>
    </row>
    <row r="112" spans="1:9">
      <c r="A112" s="11" t="s">
        <v>470</v>
      </c>
      <c r="B112" s="3">
        <v>-200000</v>
      </c>
      <c r="C112" s="11">
        <v>1</v>
      </c>
      <c r="D112" s="11">
        <f t="shared" si="3"/>
        <v>1163</v>
      </c>
      <c r="E112" s="11">
        <f t="shared" si="4"/>
        <v>0</v>
      </c>
      <c r="F112" s="11">
        <f t="shared" si="5"/>
        <v>-232600000</v>
      </c>
      <c r="G112" s="11" t="s">
        <v>472</v>
      </c>
    </row>
    <row r="113" spans="1:10">
      <c r="A113" s="11" t="s">
        <v>471</v>
      </c>
      <c r="B113" s="3">
        <v>72310</v>
      </c>
      <c r="C113" s="11">
        <v>17</v>
      </c>
      <c r="D113" s="11">
        <f t="shared" si="3"/>
        <v>1162</v>
      </c>
      <c r="E113" s="11">
        <f t="shared" si="4"/>
        <v>1</v>
      </c>
      <c r="F113" s="11">
        <f t="shared" si="5"/>
        <v>83951910</v>
      </c>
      <c r="G113" s="11" t="s">
        <v>498</v>
      </c>
    </row>
    <row r="114" spans="1:10">
      <c r="A114" s="11" t="s">
        <v>494</v>
      </c>
      <c r="B114" s="3">
        <v>-200000</v>
      </c>
      <c r="C114" s="11">
        <v>1</v>
      </c>
      <c r="D114" s="11">
        <f t="shared" si="3"/>
        <v>1145</v>
      </c>
      <c r="E114" s="11">
        <f t="shared" si="4"/>
        <v>0</v>
      </c>
      <c r="F114" s="11">
        <f t="shared" si="5"/>
        <v>-229000000</v>
      </c>
      <c r="G114" s="11" t="s">
        <v>459</v>
      </c>
      <c r="J114" t="s">
        <v>25</v>
      </c>
    </row>
    <row r="115" spans="1:10">
      <c r="A115" s="23" t="s">
        <v>495</v>
      </c>
      <c r="B115" s="35">
        <v>-11000000</v>
      </c>
      <c r="C115" s="23">
        <v>0</v>
      </c>
      <c r="D115" s="11">
        <f t="shared" si="3"/>
        <v>1144</v>
      </c>
      <c r="E115" s="11">
        <f t="shared" si="4"/>
        <v>0</v>
      </c>
      <c r="F115" s="23">
        <f t="shared" si="5"/>
        <v>-12584000000</v>
      </c>
      <c r="G115" s="23" t="s">
        <v>499</v>
      </c>
    </row>
    <row r="116" spans="1:10">
      <c r="A116" s="11" t="s">
        <v>495</v>
      </c>
      <c r="B116" s="3">
        <v>-200000</v>
      </c>
      <c r="C116" s="11">
        <v>2</v>
      </c>
      <c r="D116" s="11">
        <f t="shared" si="3"/>
        <v>1144</v>
      </c>
      <c r="E116" s="11">
        <f t="shared" si="4"/>
        <v>0</v>
      </c>
      <c r="F116" s="11">
        <f t="shared" si="5"/>
        <v>-228800000</v>
      </c>
      <c r="G116" s="11" t="s">
        <v>459</v>
      </c>
      <c r="I116" t="s">
        <v>25</v>
      </c>
    </row>
    <row r="117" spans="1:10">
      <c r="A117" s="11" t="s">
        <v>500</v>
      </c>
      <c r="B117" s="3">
        <v>-450500</v>
      </c>
      <c r="C117" s="11">
        <v>0</v>
      </c>
      <c r="D117" s="11">
        <f t="shared" si="3"/>
        <v>1142</v>
      </c>
      <c r="E117" s="11">
        <f t="shared" si="4"/>
        <v>0</v>
      </c>
      <c r="F117" s="11">
        <f t="shared" si="5"/>
        <v>-514471000</v>
      </c>
      <c r="G117" s="11" t="s">
        <v>501</v>
      </c>
    </row>
    <row r="118" spans="1:10">
      <c r="A118" s="11" t="s">
        <v>500</v>
      </c>
      <c r="B118" s="3">
        <v>-200000</v>
      </c>
      <c r="C118" s="11">
        <v>6</v>
      </c>
      <c r="D118" s="11">
        <f t="shared" si="3"/>
        <v>1142</v>
      </c>
      <c r="E118" s="11">
        <f t="shared" si="4"/>
        <v>0</v>
      </c>
      <c r="F118" s="11">
        <f t="shared" si="5"/>
        <v>-228400000</v>
      </c>
      <c r="G118" s="11" t="s">
        <v>502</v>
      </c>
      <c r="J118" t="s">
        <v>25</v>
      </c>
    </row>
    <row r="119" spans="1:10">
      <c r="A119" s="11" t="s">
        <v>504</v>
      </c>
      <c r="B119" s="3">
        <v>-154550</v>
      </c>
      <c r="C119" s="11">
        <v>0</v>
      </c>
      <c r="D119" s="11">
        <f t="shared" si="3"/>
        <v>1136</v>
      </c>
      <c r="E119" s="11">
        <f t="shared" si="4"/>
        <v>0</v>
      </c>
      <c r="F119" s="11">
        <f t="shared" si="5"/>
        <v>-175568800</v>
      </c>
      <c r="G119" s="11" t="s">
        <v>505</v>
      </c>
    </row>
    <row r="120" spans="1:10">
      <c r="A120" s="11" t="s">
        <v>504</v>
      </c>
      <c r="B120" s="3">
        <v>-320</v>
      </c>
      <c r="C120" s="11">
        <v>1</v>
      </c>
      <c r="D120" s="11">
        <f t="shared" si="3"/>
        <v>1136</v>
      </c>
      <c r="E120" s="11">
        <f t="shared" si="4"/>
        <v>0</v>
      </c>
      <c r="F120" s="11">
        <f t="shared" si="5"/>
        <v>-363520</v>
      </c>
      <c r="G120" s="11" t="s">
        <v>506</v>
      </c>
    </row>
    <row r="121" spans="1:10">
      <c r="A121" s="11" t="s">
        <v>507</v>
      </c>
      <c r="B121" s="3">
        <v>-432000</v>
      </c>
      <c r="C121" s="11">
        <v>6</v>
      </c>
      <c r="D121" s="11">
        <f t="shared" si="3"/>
        <v>1135</v>
      </c>
      <c r="E121" s="11">
        <f t="shared" si="4"/>
        <v>0</v>
      </c>
      <c r="F121" s="11">
        <f t="shared" si="5"/>
        <v>-490320000</v>
      </c>
      <c r="G121" s="11" t="s">
        <v>508</v>
      </c>
    </row>
    <row r="122" spans="1:10">
      <c r="A122" s="11" t="s">
        <v>509</v>
      </c>
      <c r="B122" s="3">
        <v>74043</v>
      </c>
      <c r="C122" s="11">
        <v>21</v>
      </c>
      <c r="D122" s="11">
        <f t="shared" si="3"/>
        <v>1129</v>
      </c>
      <c r="E122" s="11">
        <f t="shared" si="4"/>
        <v>1</v>
      </c>
      <c r="F122" s="11">
        <f t="shared" si="5"/>
        <v>83520504</v>
      </c>
      <c r="G122" s="11" t="s">
        <v>510</v>
      </c>
    </row>
    <row r="123" spans="1:10">
      <c r="A123" s="11" t="s">
        <v>532</v>
      </c>
      <c r="B123" s="3">
        <v>-52000</v>
      </c>
      <c r="C123" s="11">
        <v>41</v>
      </c>
      <c r="D123" s="11">
        <f t="shared" si="3"/>
        <v>1108</v>
      </c>
      <c r="E123" s="11">
        <f t="shared" si="4"/>
        <v>0</v>
      </c>
      <c r="F123" s="11">
        <f t="shared" si="5"/>
        <v>-57616000</v>
      </c>
      <c r="G123" s="11" t="s">
        <v>534</v>
      </c>
    </row>
    <row r="124" spans="1:10">
      <c r="A124" s="11" t="s">
        <v>584</v>
      </c>
      <c r="B124" s="3">
        <v>1187</v>
      </c>
      <c r="C124" s="11">
        <v>1</v>
      </c>
      <c r="D124" s="11">
        <f t="shared" si="3"/>
        <v>1067</v>
      </c>
      <c r="E124" s="11">
        <f t="shared" si="4"/>
        <v>1</v>
      </c>
      <c r="F124" s="11">
        <f t="shared" si="5"/>
        <v>1265342</v>
      </c>
      <c r="G124" s="11" t="s">
        <v>585</v>
      </c>
    </row>
    <row r="125" spans="1:10">
      <c r="A125" s="11" t="s">
        <v>582</v>
      </c>
      <c r="B125" s="3">
        <v>2400000</v>
      </c>
      <c r="C125" s="11">
        <v>2</v>
      </c>
      <c r="D125" s="11">
        <f t="shared" si="3"/>
        <v>1066</v>
      </c>
      <c r="E125" s="11">
        <f t="shared" si="4"/>
        <v>1</v>
      </c>
      <c r="F125" s="11">
        <f t="shared" si="5"/>
        <v>2556000000</v>
      </c>
      <c r="G125" s="11" t="s">
        <v>583</v>
      </c>
    </row>
    <row r="126" spans="1:10">
      <c r="A126" s="11" t="s">
        <v>591</v>
      </c>
      <c r="B126" s="3">
        <v>1342800</v>
      </c>
      <c r="C126" s="11">
        <v>0</v>
      </c>
      <c r="D126" s="11">
        <f t="shared" si="3"/>
        <v>1064</v>
      </c>
      <c r="E126" s="11">
        <f t="shared" si="4"/>
        <v>1</v>
      </c>
      <c r="F126" s="11">
        <f t="shared" si="5"/>
        <v>1427396400</v>
      </c>
      <c r="G126" s="11" t="s">
        <v>592</v>
      </c>
    </row>
    <row r="127" spans="1:10">
      <c r="A127" s="11" t="s">
        <v>591</v>
      </c>
      <c r="B127" s="3">
        <v>1342800</v>
      </c>
      <c r="C127" s="11">
        <v>12</v>
      </c>
      <c r="D127" s="11">
        <f t="shared" si="3"/>
        <v>1064</v>
      </c>
      <c r="E127" s="11">
        <f t="shared" si="4"/>
        <v>1</v>
      </c>
      <c r="F127" s="11">
        <f t="shared" si="5"/>
        <v>1427396400</v>
      </c>
      <c r="G127" s="11" t="s">
        <v>593</v>
      </c>
    </row>
    <row r="128" spans="1:10">
      <c r="A128" s="11" t="s">
        <v>600</v>
      </c>
      <c r="B128" s="3">
        <v>-200000</v>
      </c>
      <c r="C128" s="11">
        <v>2</v>
      </c>
      <c r="D128" s="11">
        <f t="shared" si="3"/>
        <v>1052</v>
      </c>
      <c r="E128" s="11">
        <f t="shared" si="4"/>
        <v>0</v>
      </c>
      <c r="F128" s="11">
        <f t="shared" si="5"/>
        <v>-210400000</v>
      </c>
      <c r="G128" s="11" t="s">
        <v>158</v>
      </c>
    </row>
    <row r="129" spans="1:11">
      <c r="A129" s="11" t="s">
        <v>601</v>
      </c>
      <c r="B129" s="3">
        <v>-15618</v>
      </c>
      <c r="C129" s="11">
        <v>1</v>
      </c>
      <c r="D129" s="11">
        <f t="shared" si="3"/>
        <v>1050</v>
      </c>
      <c r="E129" s="11">
        <f t="shared" si="4"/>
        <v>0</v>
      </c>
      <c r="F129" s="11">
        <f>B129*(D129-E129)</f>
        <v>-16398900</v>
      </c>
      <c r="G129" s="11" t="s">
        <v>602</v>
      </c>
      <c r="K129" t="s">
        <v>25</v>
      </c>
    </row>
    <row r="130" spans="1:11">
      <c r="A130" s="11" t="s">
        <v>603</v>
      </c>
      <c r="B130" s="3">
        <v>-200000</v>
      </c>
      <c r="C130" s="11">
        <v>1</v>
      </c>
      <c r="D130" s="11">
        <f t="shared" ref="D130:D185" si="6">D131+C130</f>
        <v>1049</v>
      </c>
      <c r="E130" s="11">
        <f t="shared" si="4"/>
        <v>0</v>
      </c>
      <c r="F130" s="11">
        <f t="shared" si="5"/>
        <v>-209800000</v>
      </c>
      <c r="G130" s="11" t="s">
        <v>502</v>
      </c>
    </row>
    <row r="131" spans="1:11">
      <c r="A131" s="11" t="s">
        <v>605</v>
      </c>
      <c r="B131" s="3">
        <v>-200000</v>
      </c>
      <c r="C131" s="11">
        <v>1</v>
      </c>
      <c r="D131" s="11">
        <f t="shared" si="6"/>
        <v>1048</v>
      </c>
      <c r="E131" s="11">
        <f t="shared" ref="E131:E248" si="7">IF(B131&gt;0,1,0)</f>
        <v>0</v>
      </c>
      <c r="F131" s="11">
        <f t="shared" si="5"/>
        <v>-209600000</v>
      </c>
      <c r="G131" s="11" t="s">
        <v>606</v>
      </c>
    </row>
    <row r="132" spans="1:11">
      <c r="A132" s="11" t="s">
        <v>607</v>
      </c>
      <c r="B132" s="3">
        <v>-390000</v>
      </c>
      <c r="C132" s="11">
        <v>0</v>
      </c>
      <c r="D132" s="11">
        <f t="shared" si="6"/>
        <v>1047</v>
      </c>
      <c r="E132" s="11">
        <f t="shared" si="7"/>
        <v>0</v>
      </c>
      <c r="F132" s="11">
        <f t="shared" si="5"/>
        <v>-408330000</v>
      </c>
      <c r="G132" s="11" t="s">
        <v>608</v>
      </c>
    </row>
    <row r="133" spans="1:11">
      <c r="A133" s="11" t="s">
        <v>607</v>
      </c>
      <c r="B133" s="3">
        <v>-24500</v>
      </c>
      <c r="C133" s="11">
        <v>1</v>
      </c>
      <c r="D133" s="11">
        <f t="shared" si="6"/>
        <v>1047</v>
      </c>
      <c r="E133" s="11">
        <f t="shared" si="7"/>
        <v>0</v>
      </c>
      <c r="F133" s="11">
        <f t="shared" si="5"/>
        <v>-25651500</v>
      </c>
      <c r="G133" s="11" t="s">
        <v>609</v>
      </c>
    </row>
    <row r="134" spans="1:11">
      <c r="A134" s="11" t="s">
        <v>610</v>
      </c>
      <c r="B134" s="3">
        <v>-95000</v>
      </c>
      <c r="C134" s="11">
        <v>4</v>
      </c>
      <c r="D134" s="11">
        <f t="shared" si="6"/>
        <v>1046</v>
      </c>
      <c r="E134" s="11">
        <f t="shared" si="7"/>
        <v>0</v>
      </c>
      <c r="F134" s="11">
        <f t="shared" si="5"/>
        <v>-99370000</v>
      </c>
      <c r="G134" s="11" t="s">
        <v>459</v>
      </c>
    </row>
    <row r="135" spans="1:11">
      <c r="A135" s="11" t="s">
        <v>612</v>
      </c>
      <c r="B135" s="3">
        <v>-200000</v>
      </c>
      <c r="C135" s="11">
        <v>2</v>
      </c>
      <c r="D135" s="11">
        <f t="shared" si="6"/>
        <v>1042</v>
      </c>
      <c r="E135" s="11">
        <f t="shared" si="7"/>
        <v>0</v>
      </c>
      <c r="F135" s="11">
        <f t="shared" si="5"/>
        <v>-208400000</v>
      </c>
      <c r="G135" s="11" t="s">
        <v>613</v>
      </c>
    </row>
    <row r="136" spans="1:11">
      <c r="A136" s="11" t="s">
        <v>615</v>
      </c>
      <c r="B136" s="3">
        <v>50000000</v>
      </c>
      <c r="C136" s="11">
        <v>1</v>
      </c>
      <c r="D136" s="11">
        <f t="shared" si="6"/>
        <v>1040</v>
      </c>
      <c r="E136" s="11">
        <f t="shared" si="7"/>
        <v>1</v>
      </c>
      <c r="F136" s="11">
        <f t="shared" si="5"/>
        <v>51950000000</v>
      </c>
      <c r="G136" s="11" t="s">
        <v>616</v>
      </c>
    </row>
    <row r="137" spans="1:11">
      <c r="A137" s="11" t="s">
        <v>621</v>
      </c>
      <c r="B137" s="3">
        <v>12000000</v>
      </c>
      <c r="C137" s="11">
        <v>2</v>
      </c>
      <c r="D137" s="11">
        <f t="shared" si="6"/>
        <v>1039</v>
      </c>
      <c r="E137" s="11">
        <f t="shared" si="7"/>
        <v>1</v>
      </c>
      <c r="F137" s="11">
        <f t="shared" si="5"/>
        <v>12456000000</v>
      </c>
      <c r="G137" s="11" t="s">
        <v>616</v>
      </c>
    </row>
    <row r="138" spans="1:11">
      <c r="A138" s="11" t="s">
        <v>623</v>
      </c>
      <c r="B138" s="3">
        <v>2000000</v>
      </c>
      <c r="C138" s="11">
        <v>1</v>
      </c>
      <c r="D138" s="11">
        <f t="shared" si="6"/>
        <v>1037</v>
      </c>
      <c r="E138" s="11">
        <f t="shared" si="7"/>
        <v>1</v>
      </c>
      <c r="F138" s="11">
        <f t="shared" si="5"/>
        <v>2072000000</v>
      </c>
      <c r="G138" s="11" t="s">
        <v>625</v>
      </c>
    </row>
    <row r="139" spans="1:11">
      <c r="A139" s="11" t="s">
        <v>627</v>
      </c>
      <c r="B139" s="3">
        <v>87538</v>
      </c>
      <c r="C139" s="11">
        <v>13</v>
      </c>
      <c r="D139" s="11">
        <f t="shared" si="6"/>
        <v>1036</v>
      </c>
      <c r="E139" s="11">
        <f t="shared" si="7"/>
        <v>1</v>
      </c>
      <c r="F139" s="11">
        <f t="shared" si="5"/>
        <v>90601830</v>
      </c>
      <c r="G139" s="11" t="s">
        <v>375</v>
      </c>
    </row>
    <row r="140" spans="1:11">
      <c r="A140" s="11" t="s">
        <v>648</v>
      </c>
      <c r="B140" s="3">
        <v>-3000900</v>
      </c>
      <c r="C140" s="11">
        <v>1</v>
      </c>
      <c r="D140" s="11">
        <f t="shared" si="6"/>
        <v>1023</v>
      </c>
      <c r="E140" s="11">
        <f t="shared" si="7"/>
        <v>0</v>
      </c>
      <c r="F140" s="11">
        <f t="shared" si="5"/>
        <v>-3069920700</v>
      </c>
      <c r="G140" s="11" t="s">
        <v>649</v>
      </c>
    </row>
    <row r="141" spans="1:11">
      <c r="A141" s="11" t="s">
        <v>665</v>
      </c>
      <c r="B141" s="3">
        <v>-3000900</v>
      </c>
      <c r="C141" s="11">
        <v>17</v>
      </c>
      <c r="D141" s="11">
        <f t="shared" si="6"/>
        <v>1022</v>
      </c>
      <c r="E141" s="11">
        <f t="shared" si="7"/>
        <v>0</v>
      </c>
      <c r="F141" s="11">
        <f t="shared" si="5"/>
        <v>-3066919800</v>
      </c>
      <c r="G141" s="11" t="s">
        <v>649</v>
      </c>
      <c r="K141" t="s">
        <v>25</v>
      </c>
    </row>
    <row r="142" spans="1:11">
      <c r="A142" s="11" t="s">
        <v>630</v>
      </c>
      <c r="B142" s="3">
        <v>602025</v>
      </c>
      <c r="C142" s="11">
        <v>0</v>
      </c>
      <c r="D142" s="11">
        <f t="shared" si="6"/>
        <v>1005</v>
      </c>
      <c r="E142" s="11">
        <f t="shared" si="7"/>
        <v>1</v>
      </c>
      <c r="F142" s="11">
        <f t="shared" si="5"/>
        <v>604433100</v>
      </c>
      <c r="G142" s="11" t="s">
        <v>667</v>
      </c>
    </row>
    <row r="143" spans="1:11">
      <c r="A143" s="11" t="s">
        <v>630</v>
      </c>
      <c r="B143" s="3">
        <v>-46000000</v>
      </c>
      <c r="C143" s="11">
        <v>31</v>
      </c>
      <c r="D143" s="11">
        <f t="shared" si="6"/>
        <v>1005</v>
      </c>
      <c r="E143" s="11">
        <f t="shared" si="7"/>
        <v>0</v>
      </c>
      <c r="F143" s="11">
        <f t="shared" si="5"/>
        <v>-46230000000</v>
      </c>
      <c r="G143" s="11" t="s">
        <v>670</v>
      </c>
    </row>
    <row r="144" spans="1:11">
      <c r="A144" s="11" t="s">
        <v>631</v>
      </c>
      <c r="B144" s="3">
        <v>154107</v>
      </c>
      <c r="C144" s="11">
        <v>1</v>
      </c>
      <c r="D144" s="11">
        <f t="shared" si="6"/>
        <v>974</v>
      </c>
      <c r="E144" s="11">
        <f t="shared" si="7"/>
        <v>1</v>
      </c>
      <c r="F144" s="11">
        <f t="shared" si="5"/>
        <v>149946111</v>
      </c>
      <c r="G144" s="11" t="s">
        <v>693</v>
      </c>
    </row>
    <row r="145" spans="1:11">
      <c r="A145" s="11" t="s">
        <v>699</v>
      </c>
      <c r="B145" s="3">
        <v>3000000</v>
      </c>
      <c r="C145" s="11">
        <v>3</v>
      </c>
      <c r="D145" s="11">
        <f t="shared" si="6"/>
        <v>973</v>
      </c>
      <c r="E145" s="11">
        <f t="shared" si="7"/>
        <v>1</v>
      </c>
      <c r="F145" s="11">
        <f t="shared" si="5"/>
        <v>2916000000</v>
      </c>
      <c r="G145" s="11" t="s">
        <v>700</v>
      </c>
    </row>
    <row r="146" spans="1:11">
      <c r="A146" s="11" t="s">
        <v>701</v>
      </c>
      <c r="B146" s="3">
        <v>-200000</v>
      </c>
      <c r="C146" s="11">
        <v>5</v>
      </c>
      <c r="D146" s="11">
        <f t="shared" si="6"/>
        <v>970</v>
      </c>
      <c r="E146" s="11">
        <f t="shared" si="7"/>
        <v>0</v>
      </c>
      <c r="F146" s="11">
        <f t="shared" si="5"/>
        <v>-194000000</v>
      </c>
      <c r="G146" s="11" t="s">
        <v>158</v>
      </c>
    </row>
    <row r="147" spans="1:11">
      <c r="A147" s="11" t="s">
        <v>702</v>
      </c>
      <c r="B147" s="3">
        <v>-200000</v>
      </c>
      <c r="C147" s="11">
        <v>1</v>
      </c>
      <c r="D147" s="11">
        <f t="shared" si="6"/>
        <v>965</v>
      </c>
      <c r="E147" s="11">
        <f t="shared" si="7"/>
        <v>0</v>
      </c>
      <c r="F147" s="11">
        <f t="shared" si="5"/>
        <v>-193000000</v>
      </c>
      <c r="G147" s="11" t="s">
        <v>158</v>
      </c>
      <c r="K147" t="s">
        <v>25</v>
      </c>
    </row>
    <row r="148" spans="1:11">
      <c r="A148" s="11" t="s">
        <v>703</v>
      </c>
      <c r="B148" s="3">
        <v>-200000</v>
      </c>
      <c r="C148" s="11">
        <v>4</v>
      </c>
      <c r="D148" s="11">
        <f t="shared" si="6"/>
        <v>964</v>
      </c>
      <c r="E148" s="11">
        <f t="shared" si="7"/>
        <v>0</v>
      </c>
      <c r="F148" s="11">
        <f t="shared" si="5"/>
        <v>-192800000</v>
      </c>
      <c r="G148" s="11" t="s">
        <v>158</v>
      </c>
    </row>
    <row r="149" spans="1:11">
      <c r="A149" s="11" t="s">
        <v>634</v>
      </c>
      <c r="B149" s="3">
        <v>-200000</v>
      </c>
      <c r="C149" s="11">
        <v>1</v>
      </c>
      <c r="D149" s="11">
        <f t="shared" si="6"/>
        <v>960</v>
      </c>
      <c r="E149" s="11">
        <f t="shared" si="7"/>
        <v>0</v>
      </c>
      <c r="F149" s="11">
        <f t="shared" si="5"/>
        <v>-192000000</v>
      </c>
      <c r="G149" s="11" t="s">
        <v>158</v>
      </c>
    </row>
    <row r="150" spans="1:11">
      <c r="A150" s="11" t="s">
        <v>709</v>
      </c>
      <c r="B150" s="3">
        <v>24073400</v>
      </c>
      <c r="C150" s="11">
        <v>2</v>
      </c>
      <c r="D150" s="11">
        <f t="shared" si="6"/>
        <v>959</v>
      </c>
      <c r="E150" s="11">
        <f t="shared" si="7"/>
        <v>1</v>
      </c>
      <c r="F150" s="11">
        <f t="shared" si="5"/>
        <v>23062317200</v>
      </c>
      <c r="G150" s="11" t="s">
        <v>710</v>
      </c>
    </row>
    <row r="151" spans="1:11">
      <c r="A151" s="11" t="s">
        <v>718</v>
      </c>
      <c r="B151" s="3">
        <v>-200000</v>
      </c>
      <c r="C151" s="11">
        <v>6</v>
      </c>
      <c r="D151" s="11">
        <f t="shared" si="6"/>
        <v>957</v>
      </c>
      <c r="E151" s="11">
        <f t="shared" si="7"/>
        <v>0</v>
      </c>
      <c r="F151" s="11">
        <f t="shared" si="5"/>
        <v>-191400000</v>
      </c>
      <c r="G151" s="11" t="s">
        <v>158</v>
      </c>
    </row>
    <row r="152" spans="1:11">
      <c r="A152" s="11" t="s">
        <v>719</v>
      </c>
      <c r="B152" s="3">
        <v>-30000000</v>
      </c>
      <c r="C152" s="11">
        <v>1</v>
      </c>
      <c r="D152" s="11">
        <f t="shared" si="6"/>
        <v>951</v>
      </c>
      <c r="E152" s="11">
        <f t="shared" si="7"/>
        <v>0</v>
      </c>
      <c r="F152" s="11">
        <f t="shared" si="5"/>
        <v>-28530000000</v>
      </c>
      <c r="G152" s="11" t="s">
        <v>720</v>
      </c>
    </row>
    <row r="153" spans="1:11">
      <c r="A153" s="11" t="s">
        <v>727</v>
      </c>
      <c r="B153" s="3">
        <v>-52000</v>
      </c>
      <c r="C153" s="11">
        <v>0</v>
      </c>
      <c r="D153" s="11">
        <f t="shared" si="6"/>
        <v>950</v>
      </c>
      <c r="E153" s="11">
        <f t="shared" si="7"/>
        <v>0</v>
      </c>
      <c r="F153" s="11">
        <f t="shared" si="5"/>
        <v>-49400000</v>
      </c>
      <c r="G153" s="11" t="s">
        <v>728</v>
      </c>
    </row>
    <row r="154" spans="1:11">
      <c r="A154" s="11" t="s">
        <v>727</v>
      </c>
      <c r="B154" s="3">
        <v>-136000</v>
      </c>
      <c r="C154" s="11">
        <v>5</v>
      </c>
      <c r="D154" s="11">
        <f t="shared" si="6"/>
        <v>950</v>
      </c>
      <c r="E154" s="11">
        <f t="shared" si="7"/>
        <v>0</v>
      </c>
      <c r="F154" s="11">
        <f t="shared" si="5"/>
        <v>-129200000</v>
      </c>
      <c r="G154" s="11" t="s">
        <v>729</v>
      </c>
    </row>
    <row r="155" spans="1:11">
      <c r="A155" s="11" t="s">
        <v>731</v>
      </c>
      <c r="B155" s="3">
        <v>3000000</v>
      </c>
      <c r="C155" s="11">
        <v>1</v>
      </c>
      <c r="D155" s="11">
        <f t="shared" si="6"/>
        <v>945</v>
      </c>
      <c r="E155" s="11">
        <f t="shared" si="7"/>
        <v>1</v>
      </c>
      <c r="F155" s="11">
        <f t="shared" si="5"/>
        <v>2832000000</v>
      </c>
      <c r="G155" s="11" t="s">
        <v>732</v>
      </c>
    </row>
    <row r="156" spans="1:11">
      <c r="A156" s="11" t="s">
        <v>632</v>
      </c>
      <c r="B156" s="3">
        <v>189103</v>
      </c>
      <c r="C156" s="11">
        <v>0</v>
      </c>
      <c r="D156" s="11">
        <f t="shared" si="6"/>
        <v>944</v>
      </c>
      <c r="E156" s="11">
        <f t="shared" si="7"/>
        <v>1</v>
      </c>
      <c r="F156" s="11">
        <f t="shared" si="5"/>
        <v>178324129</v>
      </c>
      <c r="G156" s="11" t="s">
        <v>733</v>
      </c>
    </row>
    <row r="157" spans="1:11">
      <c r="A157" s="11" t="s">
        <v>632</v>
      </c>
      <c r="B157" s="3">
        <v>24227700</v>
      </c>
      <c r="C157" s="11">
        <v>8</v>
      </c>
      <c r="D157" s="11">
        <f t="shared" si="6"/>
        <v>944</v>
      </c>
      <c r="E157" s="11">
        <f t="shared" si="7"/>
        <v>1</v>
      </c>
      <c r="F157" s="11">
        <f t="shared" si="5"/>
        <v>22846721100</v>
      </c>
      <c r="G157" s="11" t="s">
        <v>734</v>
      </c>
    </row>
    <row r="158" spans="1:11">
      <c r="A158" s="11" t="s">
        <v>752</v>
      </c>
      <c r="B158" s="3">
        <v>24295200</v>
      </c>
      <c r="C158" s="11">
        <v>0</v>
      </c>
      <c r="D158" s="11">
        <f t="shared" si="6"/>
        <v>936</v>
      </c>
      <c r="E158" s="11">
        <f t="shared" si="7"/>
        <v>1</v>
      </c>
      <c r="F158" s="11">
        <f t="shared" si="5"/>
        <v>22716012000</v>
      </c>
      <c r="G158" s="11" t="s">
        <v>748</v>
      </c>
    </row>
    <row r="159" spans="1:11">
      <c r="A159" s="11" t="s">
        <v>752</v>
      </c>
      <c r="B159" s="3">
        <v>-201000</v>
      </c>
      <c r="C159" s="11">
        <v>5</v>
      </c>
      <c r="D159" s="11">
        <f t="shared" si="6"/>
        <v>936</v>
      </c>
      <c r="E159" s="11">
        <f t="shared" si="7"/>
        <v>0</v>
      </c>
      <c r="F159" s="11">
        <f t="shared" si="5"/>
        <v>-188136000</v>
      </c>
      <c r="G159" s="11" t="s">
        <v>755</v>
      </c>
    </row>
    <row r="160" spans="1:11">
      <c r="A160" s="11" t="s">
        <v>756</v>
      </c>
      <c r="B160" s="3">
        <v>-200000</v>
      </c>
      <c r="C160" s="11">
        <v>3</v>
      </c>
      <c r="D160" s="11">
        <f t="shared" si="6"/>
        <v>931</v>
      </c>
      <c r="E160" s="11">
        <f t="shared" si="7"/>
        <v>0</v>
      </c>
      <c r="F160" s="11">
        <f t="shared" si="5"/>
        <v>-186200000</v>
      </c>
      <c r="G160" s="11" t="s">
        <v>757</v>
      </c>
    </row>
    <row r="161" spans="1:7">
      <c r="A161" s="11" t="s">
        <v>763</v>
      </c>
      <c r="B161" s="3">
        <v>-200000</v>
      </c>
      <c r="C161" s="11">
        <v>4</v>
      </c>
      <c r="D161" s="11">
        <f t="shared" si="6"/>
        <v>928</v>
      </c>
      <c r="E161" s="11">
        <f t="shared" si="7"/>
        <v>0</v>
      </c>
      <c r="F161" s="11">
        <f t="shared" si="5"/>
        <v>-185600000</v>
      </c>
      <c r="G161" s="11" t="s">
        <v>757</v>
      </c>
    </row>
    <row r="162" spans="1:7">
      <c r="A162" s="11" t="s">
        <v>765</v>
      </c>
      <c r="B162" s="3">
        <v>-200000</v>
      </c>
      <c r="C162" s="11">
        <v>3</v>
      </c>
      <c r="D162" s="11">
        <f t="shared" si="6"/>
        <v>924</v>
      </c>
      <c r="E162" s="11">
        <f t="shared" si="7"/>
        <v>0</v>
      </c>
      <c r="F162" s="11">
        <f t="shared" si="5"/>
        <v>-184800000</v>
      </c>
      <c r="G162" s="11" t="s">
        <v>757</v>
      </c>
    </row>
    <row r="163" spans="1:7">
      <c r="A163" s="11" t="s">
        <v>766</v>
      </c>
      <c r="B163" s="3">
        <v>-200000</v>
      </c>
      <c r="C163" s="11">
        <v>7</v>
      </c>
      <c r="D163" s="11">
        <f t="shared" si="6"/>
        <v>921</v>
      </c>
      <c r="E163" s="11">
        <f t="shared" si="7"/>
        <v>0</v>
      </c>
      <c r="F163" s="11">
        <f t="shared" si="5"/>
        <v>-184200000</v>
      </c>
      <c r="G163" s="11" t="s">
        <v>757</v>
      </c>
    </row>
    <row r="164" spans="1:7">
      <c r="A164" s="11" t="s">
        <v>633</v>
      </c>
      <c r="B164" s="3">
        <v>457674</v>
      </c>
      <c r="C164" s="11">
        <v>3</v>
      </c>
      <c r="D164" s="11">
        <f t="shared" si="6"/>
        <v>914</v>
      </c>
      <c r="E164" s="11">
        <f t="shared" si="7"/>
        <v>1</v>
      </c>
      <c r="F164" s="11">
        <f t="shared" si="5"/>
        <v>417856362</v>
      </c>
      <c r="G164" s="11" t="s">
        <v>770</v>
      </c>
    </row>
    <row r="165" spans="1:7">
      <c r="A165" s="11" t="s">
        <v>775</v>
      </c>
      <c r="B165" s="3">
        <v>2700000</v>
      </c>
      <c r="C165" s="11">
        <v>0</v>
      </c>
      <c r="D165" s="11">
        <f t="shared" si="6"/>
        <v>911</v>
      </c>
      <c r="E165" s="11">
        <f t="shared" si="7"/>
        <v>1</v>
      </c>
      <c r="F165" s="11">
        <f t="shared" si="5"/>
        <v>2457000000</v>
      </c>
      <c r="G165" s="11" t="s">
        <v>776</v>
      </c>
    </row>
    <row r="166" spans="1:7">
      <c r="A166" s="11" t="s">
        <v>775</v>
      </c>
      <c r="B166" s="3">
        <v>2500000</v>
      </c>
      <c r="C166" s="11">
        <v>7</v>
      </c>
      <c r="D166" s="11">
        <f t="shared" si="6"/>
        <v>911</v>
      </c>
      <c r="E166" s="11">
        <f t="shared" si="7"/>
        <v>1</v>
      </c>
      <c r="F166" s="11">
        <f t="shared" si="5"/>
        <v>2275000000</v>
      </c>
      <c r="G166" s="11" t="s">
        <v>777</v>
      </c>
    </row>
    <row r="167" spans="1:7">
      <c r="A167" s="11" t="s">
        <v>789</v>
      </c>
      <c r="B167" s="3">
        <v>-200000</v>
      </c>
      <c r="C167" s="11">
        <v>2</v>
      </c>
      <c r="D167" s="11">
        <f t="shared" si="6"/>
        <v>904</v>
      </c>
      <c r="E167" s="11">
        <f t="shared" si="7"/>
        <v>0</v>
      </c>
      <c r="F167" s="11">
        <f t="shared" si="5"/>
        <v>-180800000</v>
      </c>
      <c r="G167" s="11" t="s">
        <v>502</v>
      </c>
    </row>
    <row r="168" spans="1:7">
      <c r="A168" s="11" t="s">
        <v>791</v>
      </c>
      <c r="B168" s="3">
        <v>-200000</v>
      </c>
      <c r="C168" s="11">
        <v>6</v>
      </c>
      <c r="D168" s="11">
        <f t="shared" si="6"/>
        <v>902</v>
      </c>
      <c r="E168" s="11">
        <f t="shared" si="7"/>
        <v>0</v>
      </c>
      <c r="F168" s="11">
        <f t="shared" si="5"/>
        <v>-180400000</v>
      </c>
      <c r="G168" s="11" t="s">
        <v>502</v>
      </c>
    </row>
    <row r="169" spans="1:7">
      <c r="A169" s="11" t="s">
        <v>793</v>
      </c>
      <c r="B169" s="3">
        <v>-200000</v>
      </c>
      <c r="C169" s="11">
        <v>3</v>
      </c>
      <c r="D169" s="11">
        <f t="shared" si="6"/>
        <v>896</v>
      </c>
      <c r="E169" s="11">
        <f t="shared" si="7"/>
        <v>0</v>
      </c>
      <c r="F169" s="11">
        <f t="shared" si="5"/>
        <v>-179200000</v>
      </c>
      <c r="G169" s="11" t="s">
        <v>502</v>
      </c>
    </row>
    <row r="170" spans="1:7">
      <c r="A170" s="11" t="s">
        <v>798</v>
      </c>
      <c r="B170" s="3">
        <v>-200000</v>
      </c>
      <c r="C170" s="11">
        <v>0</v>
      </c>
      <c r="D170" s="11">
        <f t="shared" si="6"/>
        <v>893</v>
      </c>
      <c r="E170" s="11">
        <f t="shared" si="7"/>
        <v>0</v>
      </c>
      <c r="F170" s="11">
        <f t="shared" si="5"/>
        <v>-178600000</v>
      </c>
      <c r="G170" s="11" t="s">
        <v>502</v>
      </c>
    </row>
    <row r="171" spans="1:7">
      <c r="A171" s="11" t="s">
        <v>798</v>
      </c>
      <c r="B171" s="3">
        <v>3000000</v>
      </c>
      <c r="C171" s="11">
        <v>3</v>
      </c>
      <c r="D171" s="11">
        <f t="shared" si="6"/>
        <v>893</v>
      </c>
      <c r="E171" s="11">
        <f t="shared" si="7"/>
        <v>1</v>
      </c>
      <c r="F171" s="11">
        <f t="shared" si="5"/>
        <v>2676000000</v>
      </c>
      <c r="G171" s="11" t="s">
        <v>799</v>
      </c>
    </row>
    <row r="172" spans="1:7">
      <c r="A172" s="11" t="s">
        <v>800</v>
      </c>
      <c r="B172" s="3">
        <v>-200000</v>
      </c>
      <c r="C172" s="11">
        <v>1</v>
      </c>
      <c r="D172" s="11">
        <f t="shared" si="6"/>
        <v>890</v>
      </c>
      <c r="E172" s="11">
        <f t="shared" si="7"/>
        <v>0</v>
      </c>
      <c r="F172" s="11">
        <f t="shared" si="5"/>
        <v>-178000000</v>
      </c>
      <c r="G172" s="11" t="s">
        <v>158</v>
      </c>
    </row>
    <row r="173" spans="1:7">
      <c r="A173" s="11" t="s">
        <v>800</v>
      </c>
      <c r="B173" s="3">
        <v>3000000</v>
      </c>
      <c r="C173" s="11">
        <v>1</v>
      </c>
      <c r="D173" s="11">
        <f t="shared" si="6"/>
        <v>889</v>
      </c>
      <c r="E173" s="11">
        <f t="shared" si="7"/>
        <v>1</v>
      </c>
      <c r="F173" s="11">
        <f t="shared" si="5"/>
        <v>2664000000</v>
      </c>
      <c r="G173" s="11" t="s">
        <v>802</v>
      </c>
    </row>
    <row r="174" spans="1:7">
      <c r="A174" s="11" t="s">
        <v>801</v>
      </c>
      <c r="B174" s="3">
        <v>2000000</v>
      </c>
      <c r="C174" s="11">
        <v>1</v>
      </c>
      <c r="D174" s="11">
        <f t="shared" si="6"/>
        <v>888</v>
      </c>
      <c r="E174" s="11">
        <f t="shared" si="7"/>
        <v>1</v>
      </c>
      <c r="F174" s="11">
        <f t="shared" si="5"/>
        <v>1774000000</v>
      </c>
      <c r="G174" s="11" t="s">
        <v>803</v>
      </c>
    </row>
    <row r="175" spans="1:7">
      <c r="A175" s="11" t="s">
        <v>801</v>
      </c>
      <c r="B175" s="3">
        <v>1300000</v>
      </c>
      <c r="C175" s="11">
        <v>2</v>
      </c>
      <c r="D175" s="11">
        <f t="shared" si="6"/>
        <v>887</v>
      </c>
      <c r="E175" s="11">
        <f t="shared" si="7"/>
        <v>1</v>
      </c>
      <c r="F175" s="11">
        <f t="shared" si="5"/>
        <v>1151800000</v>
      </c>
      <c r="G175" s="11" t="s">
        <v>804</v>
      </c>
    </row>
    <row r="176" spans="1:7">
      <c r="A176" s="11" t="s">
        <v>805</v>
      </c>
      <c r="B176" s="3">
        <v>-200000</v>
      </c>
      <c r="C176" s="11">
        <v>0</v>
      </c>
      <c r="D176" s="11">
        <f t="shared" si="6"/>
        <v>885</v>
      </c>
      <c r="E176" s="11">
        <f t="shared" si="7"/>
        <v>0</v>
      </c>
      <c r="F176" s="11">
        <f t="shared" si="5"/>
        <v>-177000000</v>
      </c>
      <c r="G176" s="11" t="s">
        <v>757</v>
      </c>
    </row>
    <row r="177" spans="1:7">
      <c r="A177" s="11" t="s">
        <v>805</v>
      </c>
      <c r="B177" s="3">
        <v>1700000</v>
      </c>
      <c r="C177" s="11">
        <v>1</v>
      </c>
      <c r="D177" s="11">
        <f t="shared" si="6"/>
        <v>885</v>
      </c>
      <c r="E177" s="11">
        <f t="shared" si="7"/>
        <v>1</v>
      </c>
      <c r="F177" s="11">
        <f t="shared" si="5"/>
        <v>1502800000</v>
      </c>
      <c r="G177" s="11" t="s">
        <v>806</v>
      </c>
    </row>
    <row r="178" spans="1:7">
      <c r="A178" s="11" t="s">
        <v>807</v>
      </c>
      <c r="B178" s="3">
        <v>-200000</v>
      </c>
      <c r="C178" s="11">
        <v>1</v>
      </c>
      <c r="D178" s="11">
        <f t="shared" si="6"/>
        <v>884</v>
      </c>
      <c r="E178" s="11">
        <f t="shared" si="7"/>
        <v>0</v>
      </c>
      <c r="F178" s="11">
        <f t="shared" si="5"/>
        <v>-176800000</v>
      </c>
      <c r="G178" s="11" t="s">
        <v>502</v>
      </c>
    </row>
    <row r="179" spans="1:7">
      <c r="A179" s="11" t="s">
        <v>809</v>
      </c>
      <c r="B179" s="3">
        <v>571492</v>
      </c>
      <c r="C179" s="11">
        <v>3</v>
      </c>
      <c r="D179" s="11">
        <f t="shared" si="6"/>
        <v>883</v>
      </c>
      <c r="E179" s="11">
        <f t="shared" si="7"/>
        <v>1</v>
      </c>
      <c r="F179" s="11">
        <f t="shared" si="5"/>
        <v>504055944</v>
      </c>
      <c r="G179" s="11" t="s">
        <v>242</v>
      </c>
    </row>
    <row r="180" spans="1:7">
      <c r="A180" s="11" t="s">
        <v>814</v>
      </c>
      <c r="B180" s="3">
        <v>3000000</v>
      </c>
      <c r="C180" s="11">
        <v>7</v>
      </c>
      <c r="D180" s="11">
        <f t="shared" si="6"/>
        <v>880</v>
      </c>
      <c r="E180" s="11">
        <f t="shared" si="7"/>
        <v>1</v>
      </c>
      <c r="F180" s="11">
        <f t="shared" si="5"/>
        <v>2637000000</v>
      </c>
      <c r="G180" s="11" t="s">
        <v>817</v>
      </c>
    </row>
    <row r="181" spans="1:7">
      <c r="A181" s="11" t="s">
        <v>826</v>
      </c>
      <c r="B181" s="3">
        <v>2000000</v>
      </c>
      <c r="C181" s="11">
        <v>8</v>
      </c>
      <c r="D181" s="11">
        <f t="shared" si="6"/>
        <v>873</v>
      </c>
      <c r="E181" s="11">
        <f t="shared" si="7"/>
        <v>1</v>
      </c>
      <c r="F181" s="11">
        <f t="shared" si="5"/>
        <v>1744000000</v>
      </c>
      <c r="G181" s="11" t="s">
        <v>827</v>
      </c>
    </row>
    <row r="182" spans="1:7">
      <c r="A182" s="11" t="s">
        <v>838</v>
      </c>
      <c r="B182" s="3">
        <v>-2200700</v>
      </c>
      <c r="C182" s="11">
        <v>12</v>
      </c>
      <c r="D182" s="11">
        <f t="shared" si="6"/>
        <v>865</v>
      </c>
      <c r="E182" s="11">
        <f t="shared" si="7"/>
        <v>0</v>
      </c>
      <c r="F182" s="11">
        <f t="shared" si="5"/>
        <v>-1903605500</v>
      </c>
      <c r="G182" s="11" t="s">
        <v>840</v>
      </c>
    </row>
    <row r="183" spans="1:7">
      <c r="A183" s="11" t="s">
        <v>848</v>
      </c>
      <c r="B183" s="3">
        <v>675087</v>
      </c>
      <c r="C183" s="11">
        <v>30</v>
      </c>
      <c r="D183" s="11">
        <f t="shared" si="6"/>
        <v>853</v>
      </c>
      <c r="E183" s="11">
        <f t="shared" si="7"/>
        <v>1</v>
      </c>
      <c r="F183" s="11">
        <f t="shared" si="5"/>
        <v>575174124</v>
      </c>
      <c r="G183" s="11" t="s">
        <v>264</v>
      </c>
    </row>
    <row r="184" spans="1:7">
      <c r="A184" s="11" t="s">
        <v>884</v>
      </c>
      <c r="B184" s="3">
        <v>677000</v>
      </c>
      <c r="C184" s="11">
        <v>15</v>
      </c>
      <c r="D184" s="11">
        <f>D185+C184</f>
        <v>823</v>
      </c>
      <c r="E184" s="11">
        <f t="shared" si="7"/>
        <v>1</v>
      </c>
      <c r="F184" s="11">
        <f t="shared" si="5"/>
        <v>556494000</v>
      </c>
      <c r="G184" s="11" t="s">
        <v>400</v>
      </c>
    </row>
    <row r="185" spans="1:7">
      <c r="A185" s="11" t="s">
        <v>909</v>
      </c>
      <c r="B185" s="3">
        <v>-10000</v>
      </c>
      <c r="C185" s="11">
        <v>5</v>
      </c>
      <c r="D185" s="11">
        <f t="shared" si="6"/>
        <v>808</v>
      </c>
      <c r="E185" s="11">
        <f t="shared" si="7"/>
        <v>0</v>
      </c>
      <c r="F185" s="11">
        <f t="shared" si="5"/>
        <v>-8080000</v>
      </c>
      <c r="G185" s="11" t="s">
        <v>915</v>
      </c>
    </row>
    <row r="186" spans="1:7">
      <c r="A186" s="11" t="s">
        <v>926</v>
      </c>
      <c r="B186" s="3">
        <v>-80500000</v>
      </c>
      <c r="C186" s="11">
        <v>5</v>
      </c>
      <c r="D186" s="11">
        <f t="shared" ref="D186:D275" si="8">D187+C186</f>
        <v>803</v>
      </c>
      <c r="E186" s="11">
        <f t="shared" si="7"/>
        <v>0</v>
      </c>
      <c r="F186" s="11">
        <f t="shared" si="5"/>
        <v>-64641500000</v>
      </c>
      <c r="G186" s="11" t="s">
        <v>1015</v>
      </c>
    </row>
    <row r="187" spans="1:7">
      <c r="A187" s="11" t="s">
        <v>1014</v>
      </c>
      <c r="B187" s="3">
        <v>-1100000</v>
      </c>
      <c r="C187" s="11">
        <v>0</v>
      </c>
      <c r="D187" s="11">
        <f t="shared" si="8"/>
        <v>798</v>
      </c>
      <c r="E187" s="11">
        <f t="shared" si="7"/>
        <v>0</v>
      </c>
      <c r="F187" s="11">
        <f t="shared" si="5"/>
        <v>-877800000</v>
      </c>
      <c r="G187" s="11" t="s">
        <v>1015</v>
      </c>
    </row>
    <row r="188" spans="1:7">
      <c r="A188" s="11" t="s">
        <v>1014</v>
      </c>
      <c r="B188" s="3">
        <v>3000000</v>
      </c>
      <c r="C188" s="11">
        <v>1</v>
      </c>
      <c r="D188" s="11">
        <f t="shared" si="8"/>
        <v>798</v>
      </c>
      <c r="E188" s="11">
        <f t="shared" si="7"/>
        <v>1</v>
      </c>
      <c r="F188" s="11">
        <f t="shared" si="5"/>
        <v>2391000000</v>
      </c>
      <c r="G188" s="11" t="s">
        <v>1026</v>
      </c>
    </row>
    <row r="189" spans="1:7">
      <c r="A189" s="11" t="s">
        <v>1025</v>
      </c>
      <c r="B189" s="3">
        <v>2000000</v>
      </c>
      <c r="C189" s="11">
        <v>0</v>
      </c>
      <c r="D189" s="11">
        <f t="shared" si="8"/>
        <v>797</v>
      </c>
      <c r="E189" s="11">
        <f t="shared" si="7"/>
        <v>1</v>
      </c>
      <c r="F189" s="11">
        <f t="shared" si="5"/>
        <v>1592000000</v>
      </c>
      <c r="G189" s="11" t="s">
        <v>1026</v>
      </c>
    </row>
    <row r="190" spans="1:7">
      <c r="A190" s="11" t="s">
        <v>1025</v>
      </c>
      <c r="B190" s="3">
        <v>-5000000</v>
      </c>
      <c r="C190" s="11">
        <v>1</v>
      </c>
      <c r="D190" s="11">
        <f t="shared" si="8"/>
        <v>797</v>
      </c>
      <c r="E190" s="11">
        <f t="shared" si="7"/>
        <v>0</v>
      </c>
      <c r="F190" s="11">
        <f t="shared" si="5"/>
        <v>-3985000000</v>
      </c>
      <c r="G190" s="11" t="s">
        <v>1015</v>
      </c>
    </row>
    <row r="191" spans="1:7">
      <c r="A191" s="11" t="s">
        <v>1031</v>
      </c>
      <c r="B191" s="3">
        <v>483248</v>
      </c>
      <c r="C191" s="11">
        <v>4</v>
      </c>
      <c r="D191" s="11">
        <f t="shared" si="8"/>
        <v>796</v>
      </c>
      <c r="E191" s="11">
        <f t="shared" si="7"/>
        <v>1</v>
      </c>
      <c r="F191" s="11">
        <f t="shared" si="5"/>
        <v>384182160</v>
      </c>
      <c r="G191" s="11" t="s">
        <v>1033</v>
      </c>
    </row>
    <row r="192" spans="1:7">
      <c r="A192" s="11" t="s">
        <v>1059</v>
      </c>
      <c r="B192" s="3">
        <v>-115300</v>
      </c>
      <c r="C192" s="11">
        <v>4</v>
      </c>
      <c r="D192" s="11">
        <f t="shared" si="8"/>
        <v>792</v>
      </c>
      <c r="E192" s="11">
        <f t="shared" si="7"/>
        <v>0</v>
      </c>
      <c r="F192" s="11">
        <f t="shared" si="5"/>
        <v>-91317600</v>
      </c>
      <c r="G192" s="11" t="s">
        <v>1060</v>
      </c>
    </row>
    <row r="193" spans="1:7">
      <c r="A193" s="11" t="s">
        <v>1070</v>
      </c>
      <c r="B193" s="3">
        <v>90000000</v>
      </c>
      <c r="C193" s="11">
        <v>7</v>
      </c>
      <c r="D193" s="11">
        <f t="shared" si="8"/>
        <v>788</v>
      </c>
      <c r="E193" s="11">
        <f t="shared" si="7"/>
        <v>1</v>
      </c>
      <c r="F193" s="11">
        <f t="shared" si="5"/>
        <v>70830000000</v>
      </c>
      <c r="G193" s="11" t="s">
        <v>1071</v>
      </c>
    </row>
    <row r="194" spans="1:7">
      <c r="A194" s="11" t="s">
        <v>1074</v>
      </c>
      <c r="B194" s="3">
        <v>52000000</v>
      </c>
      <c r="C194" s="11">
        <v>0</v>
      </c>
      <c r="D194" s="11">
        <f t="shared" si="8"/>
        <v>781</v>
      </c>
      <c r="E194" s="11">
        <f t="shared" si="7"/>
        <v>1</v>
      </c>
      <c r="F194" s="11">
        <f t="shared" si="5"/>
        <v>40560000000</v>
      </c>
      <c r="G194" s="11" t="s">
        <v>1079</v>
      </c>
    </row>
    <row r="195" spans="1:7">
      <c r="A195" s="11" t="s">
        <v>1074</v>
      </c>
      <c r="B195" s="3">
        <v>25000000</v>
      </c>
      <c r="C195" s="11">
        <v>0</v>
      </c>
      <c r="D195" s="11">
        <f t="shared" si="8"/>
        <v>781</v>
      </c>
      <c r="E195" s="11">
        <f t="shared" si="7"/>
        <v>1</v>
      </c>
      <c r="F195" s="99">
        <f t="shared" si="5"/>
        <v>19500000000</v>
      </c>
      <c r="G195" s="11" t="s">
        <v>1080</v>
      </c>
    </row>
    <row r="196" spans="1:7">
      <c r="A196" s="11" t="s">
        <v>1074</v>
      </c>
      <c r="B196" s="3">
        <v>-168000000</v>
      </c>
      <c r="C196" s="11">
        <v>7</v>
      </c>
      <c r="D196" s="99">
        <f t="shared" si="8"/>
        <v>781</v>
      </c>
      <c r="E196" s="99">
        <f t="shared" si="7"/>
        <v>0</v>
      </c>
      <c r="F196" s="99">
        <f t="shared" si="5"/>
        <v>-131208000000</v>
      </c>
      <c r="G196" s="11" t="s">
        <v>1081</v>
      </c>
    </row>
    <row r="197" spans="1:7">
      <c r="A197" s="11" t="s">
        <v>1127</v>
      </c>
      <c r="B197" s="3">
        <v>-165500</v>
      </c>
      <c r="C197" s="11">
        <v>4</v>
      </c>
      <c r="D197" s="99">
        <f t="shared" si="8"/>
        <v>774</v>
      </c>
      <c r="E197" s="99">
        <f t="shared" si="7"/>
        <v>0</v>
      </c>
      <c r="F197" s="99">
        <f t="shared" si="5"/>
        <v>-128097000</v>
      </c>
      <c r="G197" s="11" t="s">
        <v>1128</v>
      </c>
    </row>
    <row r="198" spans="1:7">
      <c r="A198" s="99" t="s">
        <v>1129</v>
      </c>
      <c r="B198" s="113">
        <v>-200000</v>
      </c>
      <c r="C198" s="99">
        <v>0</v>
      </c>
      <c r="D198" s="99">
        <f t="shared" si="8"/>
        <v>770</v>
      </c>
      <c r="E198" s="99">
        <f t="shared" si="7"/>
        <v>0</v>
      </c>
      <c r="F198" s="99">
        <f t="shared" si="5"/>
        <v>-154000000</v>
      </c>
      <c r="G198" s="99" t="s">
        <v>1130</v>
      </c>
    </row>
    <row r="199" spans="1:7">
      <c r="A199" s="99" t="s">
        <v>1129</v>
      </c>
      <c r="B199" s="113">
        <v>-46981</v>
      </c>
      <c r="C199" s="99">
        <v>3</v>
      </c>
      <c r="D199" s="99">
        <f t="shared" si="8"/>
        <v>770</v>
      </c>
      <c r="E199" s="99">
        <f t="shared" si="7"/>
        <v>0</v>
      </c>
      <c r="F199" s="99">
        <f t="shared" si="5"/>
        <v>-36175370</v>
      </c>
      <c r="G199" s="99" t="s">
        <v>869</v>
      </c>
    </row>
    <row r="200" spans="1:7">
      <c r="A200" s="99" t="s">
        <v>1139</v>
      </c>
      <c r="B200" s="113">
        <v>-4650</v>
      </c>
      <c r="C200" s="99">
        <v>2</v>
      </c>
      <c r="D200" s="99">
        <f t="shared" si="8"/>
        <v>767</v>
      </c>
      <c r="E200" s="99">
        <f t="shared" si="7"/>
        <v>0</v>
      </c>
      <c r="F200" s="99">
        <f t="shared" si="5"/>
        <v>-3566550</v>
      </c>
      <c r="G200" s="99" t="s">
        <v>869</v>
      </c>
    </row>
    <row r="201" spans="1:7">
      <c r="A201" s="99" t="s">
        <v>1141</v>
      </c>
      <c r="B201" s="113">
        <v>159828</v>
      </c>
      <c r="C201" s="99">
        <v>3</v>
      </c>
      <c r="D201" s="99">
        <f t="shared" si="8"/>
        <v>765</v>
      </c>
      <c r="E201" s="99">
        <f t="shared" si="7"/>
        <v>1</v>
      </c>
      <c r="F201" s="99">
        <f t="shared" si="5"/>
        <v>122108592</v>
      </c>
      <c r="G201" s="99" t="s">
        <v>510</v>
      </c>
    </row>
    <row r="202" spans="1:7">
      <c r="A202" s="99" t="s">
        <v>1152</v>
      </c>
      <c r="B202" s="113">
        <v>-300500</v>
      </c>
      <c r="C202" s="99">
        <v>0</v>
      </c>
      <c r="D202" s="99">
        <f t="shared" si="8"/>
        <v>762</v>
      </c>
      <c r="E202" s="99">
        <f t="shared" si="7"/>
        <v>0</v>
      </c>
      <c r="F202" s="99">
        <f t="shared" si="5"/>
        <v>-228981000</v>
      </c>
      <c r="G202" s="99" t="s">
        <v>1156</v>
      </c>
    </row>
    <row r="203" spans="1:7">
      <c r="A203" s="99" t="s">
        <v>1152</v>
      </c>
      <c r="B203" s="113">
        <v>6000000</v>
      </c>
      <c r="C203" s="99">
        <v>2</v>
      </c>
      <c r="D203" s="99">
        <f t="shared" si="8"/>
        <v>762</v>
      </c>
      <c r="E203" s="99">
        <f t="shared" si="7"/>
        <v>1</v>
      </c>
      <c r="F203" s="99">
        <f t="shared" si="5"/>
        <v>4566000000</v>
      </c>
      <c r="G203" s="99" t="s">
        <v>1157</v>
      </c>
    </row>
    <row r="204" spans="1:7">
      <c r="A204" s="99" t="s">
        <v>1161</v>
      </c>
      <c r="B204" s="113">
        <v>-685000</v>
      </c>
      <c r="C204" s="99">
        <v>1</v>
      </c>
      <c r="D204" s="99">
        <f t="shared" si="8"/>
        <v>760</v>
      </c>
      <c r="E204" s="99">
        <f t="shared" si="7"/>
        <v>0</v>
      </c>
      <c r="F204" s="99">
        <f t="shared" si="5"/>
        <v>-520600000</v>
      </c>
      <c r="G204" s="99" t="s">
        <v>1162</v>
      </c>
    </row>
    <row r="205" spans="1:7">
      <c r="A205" s="99" t="s">
        <v>1163</v>
      </c>
      <c r="B205" s="113">
        <v>-3000000</v>
      </c>
      <c r="C205" s="99">
        <v>1</v>
      </c>
      <c r="D205" s="99">
        <f t="shared" si="8"/>
        <v>759</v>
      </c>
      <c r="E205" s="99">
        <f t="shared" si="7"/>
        <v>0</v>
      </c>
      <c r="F205" s="99">
        <f t="shared" si="5"/>
        <v>-2277000000</v>
      </c>
      <c r="G205" s="99" t="s">
        <v>722</v>
      </c>
    </row>
    <row r="206" spans="1:7">
      <c r="A206" s="99" t="s">
        <v>1168</v>
      </c>
      <c r="B206" s="113">
        <v>-156000</v>
      </c>
      <c r="C206" s="99">
        <v>1</v>
      </c>
      <c r="D206" s="99">
        <f t="shared" si="8"/>
        <v>758</v>
      </c>
      <c r="E206" s="99">
        <f t="shared" si="7"/>
        <v>0</v>
      </c>
      <c r="F206" s="99">
        <f t="shared" si="5"/>
        <v>-118248000</v>
      </c>
      <c r="G206" s="99" t="s">
        <v>1169</v>
      </c>
    </row>
    <row r="207" spans="1:7">
      <c r="A207" s="99" t="s">
        <v>1171</v>
      </c>
      <c r="B207" s="113">
        <v>-66000</v>
      </c>
      <c r="C207" s="99">
        <v>1</v>
      </c>
      <c r="D207" s="99">
        <f t="shared" si="8"/>
        <v>757</v>
      </c>
      <c r="E207" s="99">
        <f t="shared" si="7"/>
        <v>0</v>
      </c>
      <c r="F207" s="99">
        <f t="shared" si="5"/>
        <v>-49962000</v>
      </c>
      <c r="G207" s="99" t="s">
        <v>1176</v>
      </c>
    </row>
    <row r="208" spans="1:7">
      <c r="A208" s="99" t="s">
        <v>1177</v>
      </c>
      <c r="B208" s="113">
        <v>-2500900</v>
      </c>
      <c r="C208" s="99">
        <v>2</v>
      </c>
      <c r="D208" s="99">
        <f t="shared" si="8"/>
        <v>756</v>
      </c>
      <c r="E208" s="99">
        <f t="shared" si="7"/>
        <v>0</v>
      </c>
      <c r="F208" s="99">
        <f t="shared" si="5"/>
        <v>-1890680400</v>
      </c>
      <c r="G208" s="99" t="s">
        <v>1184</v>
      </c>
    </row>
    <row r="209" spans="1:7">
      <c r="A209" s="99" t="s">
        <v>1193</v>
      </c>
      <c r="B209" s="113">
        <v>3000000</v>
      </c>
      <c r="C209" s="99">
        <v>0</v>
      </c>
      <c r="D209" s="99">
        <f t="shared" si="8"/>
        <v>754</v>
      </c>
      <c r="E209" s="99">
        <f t="shared" si="7"/>
        <v>1</v>
      </c>
      <c r="F209" s="99">
        <f t="shared" si="5"/>
        <v>2259000000</v>
      </c>
      <c r="G209" s="99" t="s">
        <v>1199</v>
      </c>
    </row>
    <row r="210" spans="1:7">
      <c r="A210" s="99" t="s">
        <v>1193</v>
      </c>
      <c r="B210" s="113">
        <v>-2601400</v>
      </c>
      <c r="C210" s="99">
        <v>2</v>
      </c>
      <c r="D210" s="99">
        <f t="shared" si="8"/>
        <v>754</v>
      </c>
      <c r="E210" s="99">
        <f t="shared" si="7"/>
        <v>0</v>
      </c>
      <c r="F210" s="99">
        <f t="shared" si="5"/>
        <v>-1961455600</v>
      </c>
      <c r="G210" s="99" t="s">
        <v>1200</v>
      </c>
    </row>
    <row r="211" spans="1:7">
      <c r="A211" s="99" t="s">
        <v>1202</v>
      </c>
      <c r="B211" s="113">
        <v>1000000</v>
      </c>
      <c r="C211" s="99">
        <v>2</v>
      </c>
      <c r="D211" s="99">
        <f t="shared" si="8"/>
        <v>752</v>
      </c>
      <c r="E211" s="99">
        <f t="shared" si="7"/>
        <v>1</v>
      </c>
      <c r="F211" s="99">
        <f t="shared" si="5"/>
        <v>751000000</v>
      </c>
      <c r="G211" s="99" t="s">
        <v>1199</v>
      </c>
    </row>
    <row r="212" spans="1:7">
      <c r="A212" s="99" t="s">
        <v>1205</v>
      </c>
      <c r="B212" s="113">
        <v>1350000</v>
      </c>
      <c r="C212" s="99">
        <v>1</v>
      </c>
      <c r="D212" s="99">
        <f t="shared" si="8"/>
        <v>750</v>
      </c>
      <c r="E212" s="99">
        <f t="shared" si="7"/>
        <v>1</v>
      </c>
      <c r="F212" s="99">
        <f t="shared" si="5"/>
        <v>1011150000</v>
      </c>
      <c r="G212" s="99" t="s">
        <v>1208</v>
      </c>
    </row>
    <row r="213" spans="1:7">
      <c r="A213" s="99" t="s">
        <v>1211</v>
      </c>
      <c r="B213" s="113">
        <v>-2200000</v>
      </c>
      <c r="C213" s="99">
        <v>0</v>
      </c>
      <c r="D213" s="99">
        <f t="shared" si="8"/>
        <v>749</v>
      </c>
      <c r="E213" s="99">
        <f t="shared" si="7"/>
        <v>0</v>
      </c>
      <c r="F213" s="99">
        <f t="shared" si="5"/>
        <v>-1647800000</v>
      </c>
      <c r="G213" s="99" t="s">
        <v>1212</v>
      </c>
    </row>
    <row r="214" spans="1:7">
      <c r="A214" s="99" t="s">
        <v>1209</v>
      </c>
      <c r="B214" s="113">
        <v>-500500</v>
      </c>
      <c r="C214" s="99">
        <v>3</v>
      </c>
      <c r="D214" s="99">
        <f t="shared" si="8"/>
        <v>749</v>
      </c>
      <c r="E214" s="99">
        <f t="shared" si="7"/>
        <v>0</v>
      </c>
      <c r="F214" s="99">
        <f t="shared" si="5"/>
        <v>-374874500</v>
      </c>
      <c r="G214" s="99" t="s">
        <v>1216</v>
      </c>
    </row>
    <row r="215" spans="1:7">
      <c r="A215" s="99" t="s">
        <v>1219</v>
      </c>
      <c r="B215" s="113">
        <v>-45000</v>
      </c>
      <c r="C215" s="99">
        <v>0</v>
      </c>
      <c r="D215" s="99">
        <f t="shared" si="8"/>
        <v>746</v>
      </c>
      <c r="E215" s="99">
        <f t="shared" si="7"/>
        <v>0</v>
      </c>
      <c r="F215" s="99">
        <f t="shared" si="5"/>
        <v>-33570000</v>
      </c>
      <c r="G215" s="99" t="s">
        <v>1222</v>
      </c>
    </row>
    <row r="216" spans="1:7">
      <c r="A216" s="99" t="s">
        <v>1219</v>
      </c>
      <c r="B216" s="113">
        <v>1000000</v>
      </c>
      <c r="C216" s="99">
        <v>0</v>
      </c>
      <c r="D216" s="99">
        <f t="shared" si="8"/>
        <v>746</v>
      </c>
      <c r="E216" s="99">
        <f t="shared" si="7"/>
        <v>1</v>
      </c>
      <c r="F216" s="99">
        <f t="shared" si="5"/>
        <v>745000000</v>
      </c>
      <c r="G216" s="99" t="s">
        <v>1223</v>
      </c>
    </row>
    <row r="217" spans="1:7">
      <c r="A217" s="99" t="s">
        <v>1219</v>
      </c>
      <c r="B217" s="113">
        <v>-100000</v>
      </c>
      <c r="C217" s="99">
        <v>1</v>
      </c>
      <c r="D217" s="99">
        <f t="shared" si="8"/>
        <v>746</v>
      </c>
      <c r="E217" s="99">
        <f t="shared" si="7"/>
        <v>0</v>
      </c>
      <c r="F217" s="99">
        <f t="shared" si="5"/>
        <v>-74600000</v>
      </c>
      <c r="G217" s="99" t="s">
        <v>502</v>
      </c>
    </row>
    <row r="218" spans="1:7">
      <c r="A218" s="99" t="s">
        <v>1225</v>
      </c>
      <c r="B218" s="113">
        <v>-300000</v>
      </c>
      <c r="C218" s="99">
        <v>3</v>
      </c>
      <c r="D218" s="99">
        <f t="shared" si="8"/>
        <v>745</v>
      </c>
      <c r="E218" s="99">
        <f t="shared" si="7"/>
        <v>0</v>
      </c>
      <c r="F218" s="99">
        <f t="shared" si="5"/>
        <v>-223500000</v>
      </c>
      <c r="G218" s="99" t="s">
        <v>1226</v>
      </c>
    </row>
    <row r="219" spans="1:7">
      <c r="A219" s="99" t="s">
        <v>1238</v>
      </c>
      <c r="B219" s="113">
        <v>-50910</v>
      </c>
      <c r="C219" s="99">
        <v>0</v>
      </c>
      <c r="D219" s="99">
        <f t="shared" si="8"/>
        <v>742</v>
      </c>
      <c r="E219" s="99">
        <f t="shared" si="7"/>
        <v>0</v>
      </c>
      <c r="F219" s="99">
        <f t="shared" si="5"/>
        <v>-37775220</v>
      </c>
      <c r="G219" s="99" t="s">
        <v>1239</v>
      </c>
    </row>
    <row r="220" spans="1:7">
      <c r="A220" s="99" t="s">
        <v>1238</v>
      </c>
      <c r="B220" s="113">
        <v>-550500</v>
      </c>
      <c r="C220" s="99">
        <v>2</v>
      </c>
      <c r="D220" s="99">
        <f t="shared" si="8"/>
        <v>742</v>
      </c>
      <c r="E220" s="99">
        <f t="shared" si="7"/>
        <v>0</v>
      </c>
      <c r="F220" s="99">
        <f t="shared" si="5"/>
        <v>-408471000</v>
      </c>
      <c r="G220" s="99" t="s">
        <v>1240</v>
      </c>
    </row>
    <row r="221" spans="1:7">
      <c r="A221" s="99" t="s">
        <v>3656</v>
      </c>
      <c r="B221" s="113">
        <v>1600000</v>
      </c>
      <c r="C221" s="99">
        <v>1</v>
      </c>
      <c r="D221" s="99">
        <f t="shared" si="8"/>
        <v>740</v>
      </c>
      <c r="E221" s="99">
        <f t="shared" si="7"/>
        <v>1</v>
      </c>
      <c r="F221" s="99">
        <f t="shared" si="5"/>
        <v>1182400000</v>
      </c>
      <c r="G221" s="99" t="s">
        <v>3657</v>
      </c>
    </row>
    <row r="222" spans="1:7">
      <c r="A222" s="99" t="s">
        <v>3658</v>
      </c>
      <c r="B222" s="113">
        <v>-1500700</v>
      </c>
      <c r="C222" s="99">
        <v>5</v>
      </c>
      <c r="D222" s="99">
        <f t="shared" si="8"/>
        <v>739</v>
      </c>
      <c r="E222" s="99">
        <f t="shared" si="7"/>
        <v>0</v>
      </c>
      <c r="F222" s="99">
        <f t="shared" si="5"/>
        <v>-1109017300</v>
      </c>
      <c r="G222" s="99" t="s">
        <v>3660</v>
      </c>
    </row>
    <row r="223" spans="1:7">
      <c r="A223" s="99" t="s">
        <v>3668</v>
      </c>
      <c r="B223" s="113">
        <v>8619</v>
      </c>
      <c r="C223" s="99">
        <v>3</v>
      </c>
      <c r="D223" s="99">
        <f t="shared" si="8"/>
        <v>734</v>
      </c>
      <c r="E223" s="99">
        <f t="shared" si="7"/>
        <v>1</v>
      </c>
      <c r="F223" s="99">
        <f t="shared" si="5"/>
        <v>6317727</v>
      </c>
      <c r="G223" s="99" t="s">
        <v>3671</v>
      </c>
    </row>
    <row r="224" spans="1:7">
      <c r="A224" s="11" t="s">
        <v>3675</v>
      </c>
      <c r="B224" s="3">
        <v>3000000</v>
      </c>
      <c r="C224" s="11">
        <v>2</v>
      </c>
      <c r="D224" s="99">
        <f t="shared" si="8"/>
        <v>731</v>
      </c>
      <c r="E224" s="99">
        <f t="shared" si="7"/>
        <v>1</v>
      </c>
      <c r="F224" s="99">
        <f t="shared" si="5"/>
        <v>2190000000</v>
      </c>
      <c r="G224" s="11" t="s">
        <v>1199</v>
      </c>
    </row>
    <row r="225" spans="1:7">
      <c r="A225" s="11" t="s">
        <v>3691</v>
      </c>
      <c r="B225" s="3">
        <v>-3000900</v>
      </c>
      <c r="C225" s="11">
        <v>1</v>
      </c>
      <c r="D225" s="99">
        <f t="shared" si="8"/>
        <v>729</v>
      </c>
      <c r="E225" s="99">
        <f t="shared" si="7"/>
        <v>0</v>
      </c>
      <c r="F225" s="99">
        <f t="shared" si="5"/>
        <v>-2187656100</v>
      </c>
      <c r="G225" s="11" t="s">
        <v>3692</v>
      </c>
    </row>
    <row r="226" spans="1:7">
      <c r="A226" s="99" t="s">
        <v>3697</v>
      </c>
      <c r="B226" s="113">
        <v>3000000</v>
      </c>
      <c r="C226" s="99">
        <v>0</v>
      </c>
      <c r="D226" s="99">
        <f t="shared" si="8"/>
        <v>728</v>
      </c>
      <c r="E226" s="99">
        <f t="shared" si="7"/>
        <v>1</v>
      </c>
      <c r="F226" s="99">
        <f t="shared" si="5"/>
        <v>2181000000</v>
      </c>
      <c r="G226" s="99" t="s">
        <v>616</v>
      </c>
    </row>
    <row r="227" spans="1:7">
      <c r="A227" s="99" t="s">
        <v>3697</v>
      </c>
      <c r="B227" s="113">
        <v>-175400</v>
      </c>
      <c r="C227" s="99">
        <v>1</v>
      </c>
      <c r="D227" s="99">
        <f t="shared" si="8"/>
        <v>728</v>
      </c>
      <c r="E227" s="99">
        <f t="shared" si="7"/>
        <v>0</v>
      </c>
      <c r="F227" s="99">
        <f t="shared" si="5"/>
        <v>-127691200</v>
      </c>
      <c r="G227" s="99" t="s">
        <v>3698</v>
      </c>
    </row>
    <row r="228" spans="1:7">
      <c r="A228" s="99" t="s">
        <v>3701</v>
      </c>
      <c r="B228" s="113">
        <v>-1200500</v>
      </c>
      <c r="C228" s="99">
        <v>0</v>
      </c>
      <c r="D228" s="99">
        <f t="shared" si="8"/>
        <v>727</v>
      </c>
      <c r="E228" s="99">
        <f t="shared" si="7"/>
        <v>0</v>
      </c>
      <c r="F228" s="99">
        <f t="shared" si="5"/>
        <v>-872763500</v>
      </c>
      <c r="G228" s="99" t="s">
        <v>3702</v>
      </c>
    </row>
    <row r="229" spans="1:7">
      <c r="A229" s="99" t="s">
        <v>3701</v>
      </c>
      <c r="B229" s="113">
        <v>-20555</v>
      </c>
      <c r="C229" s="99">
        <v>1</v>
      </c>
      <c r="D229" s="99">
        <f t="shared" si="8"/>
        <v>727</v>
      </c>
      <c r="E229" s="99">
        <f t="shared" si="7"/>
        <v>0</v>
      </c>
      <c r="F229" s="99">
        <f t="shared" si="5"/>
        <v>-14943485</v>
      </c>
      <c r="G229" s="99" t="s">
        <v>653</v>
      </c>
    </row>
    <row r="230" spans="1:7">
      <c r="A230" s="99" t="s">
        <v>3704</v>
      </c>
      <c r="B230" s="113">
        <v>-1014466</v>
      </c>
      <c r="C230" s="99">
        <v>1</v>
      </c>
      <c r="D230" s="99">
        <f t="shared" si="8"/>
        <v>726</v>
      </c>
      <c r="E230" s="99">
        <f t="shared" si="7"/>
        <v>0</v>
      </c>
      <c r="F230" s="99">
        <f t="shared" si="5"/>
        <v>-736502316</v>
      </c>
      <c r="G230" s="99" t="s">
        <v>3705</v>
      </c>
    </row>
    <row r="231" spans="1:7">
      <c r="A231" s="99" t="s">
        <v>3712</v>
      </c>
      <c r="B231" s="113">
        <v>-24225</v>
      </c>
      <c r="C231" s="99">
        <v>1</v>
      </c>
      <c r="D231" s="99">
        <f t="shared" si="8"/>
        <v>725</v>
      </c>
      <c r="E231" s="99">
        <f t="shared" si="7"/>
        <v>0</v>
      </c>
      <c r="F231" s="99">
        <f t="shared" si="5"/>
        <v>-17563125</v>
      </c>
      <c r="G231" s="99" t="s">
        <v>653</v>
      </c>
    </row>
    <row r="232" spans="1:7">
      <c r="A232" s="99" t="s">
        <v>3713</v>
      </c>
      <c r="B232" s="113">
        <v>1100000</v>
      </c>
      <c r="C232" s="99">
        <v>0</v>
      </c>
      <c r="D232" s="99">
        <f t="shared" si="8"/>
        <v>724</v>
      </c>
      <c r="E232" s="99">
        <f t="shared" si="7"/>
        <v>1</v>
      </c>
      <c r="F232" s="99">
        <f t="shared" si="5"/>
        <v>795300000</v>
      </c>
      <c r="G232" s="99" t="s">
        <v>3714</v>
      </c>
    </row>
    <row r="233" spans="1:7">
      <c r="A233" s="99" t="s">
        <v>3713</v>
      </c>
      <c r="B233" s="113">
        <v>-147900</v>
      </c>
      <c r="C233" s="99">
        <v>4</v>
      </c>
      <c r="D233" s="99">
        <f t="shared" si="8"/>
        <v>724</v>
      </c>
      <c r="E233" s="99">
        <f t="shared" si="7"/>
        <v>0</v>
      </c>
      <c r="F233" s="99">
        <f t="shared" si="5"/>
        <v>-107079600</v>
      </c>
      <c r="G233" s="99" t="s">
        <v>3720</v>
      </c>
    </row>
    <row r="234" spans="1:7">
      <c r="A234" s="99" t="s">
        <v>3727</v>
      </c>
      <c r="B234" s="113">
        <v>-67965</v>
      </c>
      <c r="C234" s="99">
        <v>5</v>
      </c>
      <c r="D234" s="99">
        <f t="shared" si="8"/>
        <v>720</v>
      </c>
      <c r="E234" s="99">
        <f t="shared" si="7"/>
        <v>0</v>
      </c>
      <c r="F234" s="99">
        <f t="shared" si="5"/>
        <v>-48934800</v>
      </c>
      <c r="G234" s="99" t="s">
        <v>653</v>
      </c>
    </row>
    <row r="235" spans="1:7">
      <c r="A235" s="99" t="s">
        <v>3753</v>
      </c>
      <c r="B235" s="113">
        <v>-114734</v>
      </c>
      <c r="C235" s="99">
        <v>1</v>
      </c>
      <c r="D235" s="99">
        <f t="shared" si="8"/>
        <v>715</v>
      </c>
      <c r="E235" s="99">
        <f t="shared" si="7"/>
        <v>0</v>
      </c>
      <c r="F235" s="99">
        <f t="shared" si="5"/>
        <v>-82034810</v>
      </c>
      <c r="G235" s="99" t="s">
        <v>3754</v>
      </c>
    </row>
    <row r="236" spans="1:7">
      <c r="A236" s="99" t="s">
        <v>1140</v>
      </c>
      <c r="B236" s="113">
        <v>-360000</v>
      </c>
      <c r="C236" s="99">
        <v>0</v>
      </c>
      <c r="D236" s="99">
        <f t="shared" si="8"/>
        <v>714</v>
      </c>
      <c r="E236" s="99">
        <f t="shared" si="7"/>
        <v>0</v>
      </c>
      <c r="F236" s="99">
        <f t="shared" si="5"/>
        <v>-257040000</v>
      </c>
      <c r="G236" s="99" t="s">
        <v>3755</v>
      </c>
    </row>
    <row r="237" spans="1:7">
      <c r="A237" s="99" t="s">
        <v>1140</v>
      </c>
      <c r="B237" s="113">
        <v>-211000</v>
      </c>
      <c r="C237" s="99">
        <v>0</v>
      </c>
      <c r="D237" s="99">
        <f t="shared" si="8"/>
        <v>714</v>
      </c>
      <c r="E237" s="99">
        <f t="shared" si="7"/>
        <v>0</v>
      </c>
      <c r="F237" s="99">
        <f t="shared" si="5"/>
        <v>-150654000</v>
      </c>
      <c r="G237" s="99" t="s">
        <v>3757</v>
      </c>
    </row>
    <row r="238" spans="1:7">
      <c r="A238" s="99" t="s">
        <v>1140</v>
      </c>
      <c r="B238" s="113">
        <v>-189700</v>
      </c>
      <c r="C238" s="99">
        <v>1</v>
      </c>
      <c r="D238" s="99">
        <f t="shared" si="8"/>
        <v>714</v>
      </c>
      <c r="E238" s="99">
        <f t="shared" si="7"/>
        <v>0</v>
      </c>
      <c r="F238" s="99">
        <f t="shared" si="5"/>
        <v>-135445800</v>
      </c>
      <c r="G238" s="99" t="s">
        <v>3760</v>
      </c>
    </row>
    <row r="239" spans="1:7">
      <c r="A239" s="99" t="s">
        <v>3761</v>
      </c>
      <c r="B239" s="113">
        <v>-400500</v>
      </c>
      <c r="C239" s="99">
        <v>0</v>
      </c>
      <c r="D239" s="99">
        <f t="shared" si="8"/>
        <v>713</v>
      </c>
      <c r="E239" s="99">
        <f t="shared" si="7"/>
        <v>0</v>
      </c>
      <c r="F239" s="99">
        <f t="shared" si="5"/>
        <v>-285556500</v>
      </c>
      <c r="G239" s="99" t="s">
        <v>3762</v>
      </c>
    </row>
    <row r="240" spans="1:7">
      <c r="A240" s="99" t="s">
        <v>3761</v>
      </c>
      <c r="B240" s="113">
        <v>400000</v>
      </c>
      <c r="C240" s="99">
        <v>3</v>
      </c>
      <c r="D240" s="99">
        <f t="shared" si="8"/>
        <v>713</v>
      </c>
      <c r="E240" s="99">
        <f t="shared" si="7"/>
        <v>1</v>
      </c>
      <c r="F240" s="99">
        <f t="shared" si="5"/>
        <v>284800000</v>
      </c>
      <c r="G240" s="99" t="s">
        <v>3763</v>
      </c>
    </row>
    <row r="241" spans="1:7">
      <c r="A241" s="99" t="s">
        <v>3778</v>
      </c>
      <c r="B241" s="113">
        <v>-320875</v>
      </c>
      <c r="C241" s="99">
        <v>7</v>
      </c>
      <c r="D241" s="99">
        <f t="shared" si="8"/>
        <v>710</v>
      </c>
      <c r="E241" s="99">
        <f t="shared" si="7"/>
        <v>0</v>
      </c>
      <c r="F241" s="99">
        <f t="shared" si="5"/>
        <v>-227821250</v>
      </c>
      <c r="G241" s="99" t="s">
        <v>3779</v>
      </c>
    </row>
    <row r="242" spans="1:7">
      <c r="A242" s="99" t="s">
        <v>3788</v>
      </c>
      <c r="B242" s="113">
        <v>6074</v>
      </c>
      <c r="C242" s="99">
        <v>2</v>
      </c>
      <c r="D242" s="99">
        <f t="shared" si="8"/>
        <v>703</v>
      </c>
      <c r="E242" s="99">
        <f t="shared" si="7"/>
        <v>1</v>
      </c>
      <c r="F242" s="99">
        <f t="shared" si="5"/>
        <v>4263948</v>
      </c>
      <c r="G242" s="99" t="s">
        <v>585</v>
      </c>
    </row>
    <row r="243" spans="1:7">
      <c r="A243" s="99" t="s">
        <v>3790</v>
      </c>
      <c r="B243" s="113">
        <v>-370500</v>
      </c>
      <c r="C243" s="99">
        <v>15</v>
      </c>
      <c r="D243" s="99">
        <f t="shared" si="8"/>
        <v>701</v>
      </c>
      <c r="E243" s="99">
        <f t="shared" si="7"/>
        <v>0</v>
      </c>
      <c r="F243" s="99">
        <f t="shared" si="5"/>
        <v>-259720500</v>
      </c>
      <c r="G243" s="99" t="s">
        <v>3791</v>
      </c>
    </row>
    <row r="244" spans="1:7">
      <c r="A244" s="99" t="s">
        <v>3899</v>
      </c>
      <c r="B244" s="113">
        <v>3000000</v>
      </c>
      <c r="C244" s="99">
        <v>2</v>
      </c>
      <c r="D244" s="99">
        <f t="shared" si="8"/>
        <v>686</v>
      </c>
      <c r="E244" s="99">
        <f t="shared" si="7"/>
        <v>1</v>
      </c>
      <c r="F244" s="99">
        <f t="shared" si="5"/>
        <v>2055000000</v>
      </c>
      <c r="G244" s="99" t="s">
        <v>3900</v>
      </c>
    </row>
    <row r="245" spans="1:7">
      <c r="A245" s="99" t="s">
        <v>3907</v>
      </c>
      <c r="B245" s="113">
        <v>-80000</v>
      </c>
      <c r="C245" s="99">
        <v>1</v>
      </c>
      <c r="D245" s="99">
        <f t="shared" si="8"/>
        <v>684</v>
      </c>
      <c r="E245" s="99">
        <f t="shared" si="7"/>
        <v>0</v>
      </c>
      <c r="F245" s="99">
        <f t="shared" si="5"/>
        <v>-54720000</v>
      </c>
      <c r="G245" s="99" t="s">
        <v>502</v>
      </c>
    </row>
    <row r="246" spans="1:7">
      <c r="A246" s="99" t="s">
        <v>3908</v>
      </c>
      <c r="B246" s="113">
        <v>-2700000</v>
      </c>
      <c r="C246" s="99">
        <v>0</v>
      </c>
      <c r="D246" s="99">
        <f t="shared" si="8"/>
        <v>683</v>
      </c>
      <c r="E246" s="99">
        <f t="shared" si="7"/>
        <v>0</v>
      </c>
      <c r="F246" s="99">
        <f t="shared" si="5"/>
        <v>-1844100000</v>
      </c>
      <c r="G246" s="99" t="s">
        <v>3910</v>
      </c>
    </row>
    <row r="247" spans="1:7">
      <c r="A247" s="99" t="s">
        <v>3908</v>
      </c>
      <c r="B247" s="113">
        <v>-30000</v>
      </c>
      <c r="C247" s="99">
        <v>2</v>
      </c>
      <c r="D247" s="99">
        <f t="shared" si="8"/>
        <v>683</v>
      </c>
      <c r="E247" s="99">
        <f t="shared" si="7"/>
        <v>0</v>
      </c>
      <c r="F247" s="99">
        <f t="shared" si="5"/>
        <v>-20490000</v>
      </c>
      <c r="G247" s="99" t="s">
        <v>3910</v>
      </c>
    </row>
    <row r="248" spans="1:7">
      <c r="A248" s="99" t="s">
        <v>3914</v>
      </c>
      <c r="B248" s="113">
        <v>-120000</v>
      </c>
      <c r="C248" s="99">
        <v>1</v>
      </c>
      <c r="D248" s="99">
        <f t="shared" si="8"/>
        <v>681</v>
      </c>
      <c r="E248" s="99">
        <f t="shared" si="7"/>
        <v>0</v>
      </c>
      <c r="F248" s="99">
        <f t="shared" si="5"/>
        <v>-81720000</v>
      </c>
      <c r="G248" s="99" t="s">
        <v>3915</v>
      </c>
    </row>
    <row r="249" spans="1:7">
      <c r="A249" s="74" t="s">
        <v>3932</v>
      </c>
      <c r="B249" s="163">
        <v>-56425</v>
      </c>
      <c r="C249" s="99">
        <v>1</v>
      </c>
      <c r="D249" s="99">
        <f t="shared" si="8"/>
        <v>680</v>
      </c>
      <c r="E249" s="99">
        <f>IF(B250&gt;0,1,0)</f>
        <v>1</v>
      </c>
      <c r="F249" s="99">
        <f t="shared" si="5"/>
        <v>-38312575</v>
      </c>
      <c r="G249" s="74" t="s">
        <v>653</v>
      </c>
    </row>
    <row r="250" spans="1:7">
      <c r="A250" s="99" t="s">
        <v>3922</v>
      </c>
      <c r="B250" s="113">
        <v>800000</v>
      </c>
      <c r="C250" s="99">
        <v>1</v>
      </c>
      <c r="D250" s="99">
        <f t="shared" si="8"/>
        <v>679</v>
      </c>
      <c r="E250" s="99">
        <f>IF(B251&gt;0,1,0)</f>
        <v>0</v>
      </c>
      <c r="F250" s="99">
        <f t="shared" ref="F250:F313" si="9">B250*(D250-E250)</f>
        <v>543200000</v>
      </c>
      <c r="G250" s="99" t="s">
        <v>3887</v>
      </c>
    </row>
    <row r="251" spans="1:7">
      <c r="A251" s="99" t="s">
        <v>3927</v>
      </c>
      <c r="B251" s="113">
        <v>-19450</v>
      </c>
      <c r="C251" s="99">
        <v>0</v>
      </c>
      <c r="D251" s="99">
        <f t="shared" si="8"/>
        <v>678</v>
      </c>
      <c r="E251" s="99">
        <f>IF(B252&gt;0,1,0)</f>
        <v>0</v>
      </c>
      <c r="F251" s="99">
        <f t="shared" si="9"/>
        <v>-13187100</v>
      </c>
      <c r="G251" s="99" t="s">
        <v>3930</v>
      </c>
    </row>
    <row r="252" spans="1:7">
      <c r="A252" s="99" t="s">
        <v>3927</v>
      </c>
      <c r="B252" s="113">
        <v>-500000</v>
      </c>
      <c r="C252" s="99">
        <v>0</v>
      </c>
      <c r="D252" s="99">
        <f t="shared" si="8"/>
        <v>678</v>
      </c>
      <c r="E252" s="99">
        <f>IF(B253&gt;0,1,0)</f>
        <v>1</v>
      </c>
      <c r="F252" s="99">
        <f t="shared" si="9"/>
        <v>-338500000</v>
      </c>
      <c r="G252" s="99" t="s">
        <v>3931</v>
      </c>
    </row>
    <row r="253" spans="1:7">
      <c r="A253" s="99" t="s">
        <v>3927</v>
      </c>
      <c r="B253" s="113">
        <v>500000</v>
      </c>
      <c r="C253" s="99">
        <v>0</v>
      </c>
      <c r="D253" s="99">
        <f t="shared" si="8"/>
        <v>678</v>
      </c>
      <c r="E253" s="99">
        <f t="shared" ref="E253:E275" si="10">IF(B254&gt;0,1,0)</f>
        <v>0</v>
      </c>
      <c r="F253" s="99">
        <f t="shared" si="9"/>
        <v>339000000</v>
      </c>
      <c r="G253" s="99" t="s">
        <v>3931</v>
      </c>
    </row>
    <row r="254" spans="1:7">
      <c r="A254" s="99" t="s">
        <v>3927</v>
      </c>
      <c r="B254" s="113">
        <v>-454613</v>
      </c>
      <c r="C254" s="99">
        <v>1</v>
      </c>
      <c r="D254" s="99">
        <f t="shared" si="8"/>
        <v>678</v>
      </c>
      <c r="E254" s="99">
        <f t="shared" si="10"/>
        <v>0</v>
      </c>
      <c r="F254" s="99">
        <f t="shared" si="9"/>
        <v>-308227614</v>
      </c>
      <c r="G254" s="99" t="s">
        <v>3933</v>
      </c>
    </row>
    <row r="255" spans="1:7">
      <c r="A255" s="99" t="s">
        <v>3935</v>
      </c>
      <c r="B255" s="113">
        <v>-19600</v>
      </c>
      <c r="C255" s="99">
        <v>0</v>
      </c>
      <c r="D255" s="99">
        <f t="shared" si="8"/>
        <v>677</v>
      </c>
      <c r="E255" s="99">
        <f t="shared" si="10"/>
        <v>0</v>
      </c>
      <c r="F255" s="99">
        <f t="shared" si="9"/>
        <v>-13269200</v>
      </c>
      <c r="G255" s="99" t="s">
        <v>3937</v>
      </c>
    </row>
    <row r="256" spans="1:7">
      <c r="A256" s="99" t="s">
        <v>3935</v>
      </c>
      <c r="B256" s="113">
        <v>-25220</v>
      </c>
      <c r="C256" s="99">
        <v>1</v>
      </c>
      <c r="D256" s="99">
        <f t="shared" si="8"/>
        <v>677</v>
      </c>
      <c r="E256" s="99">
        <f t="shared" si="10"/>
        <v>0</v>
      </c>
      <c r="F256" s="99">
        <f t="shared" si="9"/>
        <v>-17073940</v>
      </c>
      <c r="G256" s="99" t="s">
        <v>3754</v>
      </c>
    </row>
    <row r="257" spans="1:11">
      <c r="A257" s="99" t="s">
        <v>3939</v>
      </c>
      <c r="B257" s="113">
        <v>-149500</v>
      </c>
      <c r="C257" s="99">
        <v>0</v>
      </c>
      <c r="D257" s="99">
        <f t="shared" si="8"/>
        <v>676</v>
      </c>
      <c r="E257" s="99">
        <f t="shared" si="10"/>
        <v>0</v>
      </c>
      <c r="F257" s="99">
        <f t="shared" si="9"/>
        <v>-101062000</v>
      </c>
      <c r="G257" s="99" t="s">
        <v>3940</v>
      </c>
    </row>
    <row r="258" spans="1:11">
      <c r="A258" s="99" t="s">
        <v>3939</v>
      </c>
      <c r="B258" s="113">
        <v>-155000</v>
      </c>
      <c r="C258" s="99">
        <v>82</v>
      </c>
      <c r="D258" s="99">
        <f t="shared" si="8"/>
        <v>676</v>
      </c>
      <c r="E258" s="99">
        <f t="shared" si="10"/>
        <v>0</v>
      </c>
      <c r="F258" s="99">
        <f t="shared" si="9"/>
        <v>-104780000</v>
      </c>
      <c r="G258" s="99" t="s">
        <v>3941</v>
      </c>
    </row>
    <row r="259" spans="1:11">
      <c r="A259" s="99" t="s">
        <v>4231</v>
      </c>
      <c r="B259" s="113">
        <v>-5000</v>
      </c>
      <c r="C259" s="99">
        <v>82</v>
      </c>
      <c r="D259" s="99">
        <f t="shared" si="8"/>
        <v>594</v>
      </c>
      <c r="E259" s="99">
        <f t="shared" si="10"/>
        <v>1</v>
      </c>
      <c r="F259" s="99">
        <f t="shared" si="9"/>
        <v>-2965000</v>
      </c>
      <c r="G259" s="99" t="s">
        <v>4238</v>
      </c>
    </row>
    <row r="260" spans="1:11">
      <c r="A260" s="99" t="s">
        <v>4550</v>
      </c>
      <c r="B260" s="113">
        <v>100000</v>
      </c>
      <c r="C260" s="99">
        <v>1</v>
      </c>
      <c r="D260" s="99">
        <f t="shared" si="8"/>
        <v>512</v>
      </c>
      <c r="E260" s="99">
        <f t="shared" si="10"/>
        <v>1</v>
      </c>
      <c r="F260" s="99">
        <f t="shared" si="9"/>
        <v>51100000</v>
      </c>
      <c r="G260" s="99" t="s">
        <v>3887</v>
      </c>
    </row>
    <row r="261" spans="1:11">
      <c r="A261" s="99" t="s">
        <v>991</v>
      </c>
      <c r="B261" s="113">
        <v>3000000</v>
      </c>
      <c r="C261" s="99">
        <v>3</v>
      </c>
      <c r="D261" s="99">
        <f t="shared" si="8"/>
        <v>511</v>
      </c>
      <c r="E261" s="99">
        <f t="shared" si="10"/>
        <v>0</v>
      </c>
      <c r="F261" s="99">
        <f t="shared" si="9"/>
        <v>1533000000</v>
      </c>
      <c r="G261" s="99" t="s">
        <v>3887</v>
      </c>
    </row>
    <row r="262" spans="1:11">
      <c r="A262" s="99" t="s">
        <v>4560</v>
      </c>
      <c r="B262" s="113">
        <v>-66500</v>
      </c>
      <c r="C262" s="99">
        <v>2</v>
      </c>
      <c r="D262" s="99">
        <f t="shared" si="8"/>
        <v>508</v>
      </c>
      <c r="E262" s="99">
        <f t="shared" si="10"/>
        <v>0</v>
      </c>
      <c r="F262" s="99">
        <f t="shared" si="9"/>
        <v>-33782000</v>
      </c>
      <c r="G262" s="99" t="s">
        <v>3960</v>
      </c>
      <c r="K262" t="s">
        <v>25</v>
      </c>
    </row>
    <row r="263" spans="1:11">
      <c r="A263" s="99" t="s">
        <v>4561</v>
      </c>
      <c r="B263" s="113">
        <v>-37878</v>
      </c>
      <c r="C263" s="99">
        <v>2</v>
      </c>
      <c r="D263" s="99">
        <f t="shared" si="8"/>
        <v>506</v>
      </c>
      <c r="E263" s="99">
        <f t="shared" si="10"/>
        <v>0</v>
      </c>
      <c r="F263" s="99">
        <f t="shared" si="9"/>
        <v>-19166268</v>
      </c>
      <c r="G263" s="99" t="s">
        <v>4562</v>
      </c>
      <c r="J263" t="s">
        <v>25</v>
      </c>
      <c r="K263" t="s">
        <v>25</v>
      </c>
    </row>
    <row r="264" spans="1:11">
      <c r="A264" s="99" t="s">
        <v>4557</v>
      </c>
      <c r="B264" s="113">
        <v>-41500</v>
      </c>
      <c r="C264" s="99">
        <v>3</v>
      </c>
      <c r="D264" s="99">
        <f t="shared" si="8"/>
        <v>504</v>
      </c>
      <c r="E264" s="99">
        <f t="shared" si="10"/>
        <v>0</v>
      </c>
      <c r="F264" s="99">
        <f t="shared" si="9"/>
        <v>-20916000</v>
      </c>
      <c r="G264" s="99" t="s">
        <v>1036</v>
      </c>
      <c r="J264" t="s">
        <v>25</v>
      </c>
    </row>
    <row r="265" spans="1:11">
      <c r="A265" s="99" t="s">
        <v>4587</v>
      </c>
      <c r="B265" s="113">
        <v>-190000</v>
      </c>
      <c r="C265" s="99">
        <v>1</v>
      </c>
      <c r="D265" s="99">
        <f t="shared" si="8"/>
        <v>501</v>
      </c>
      <c r="E265" s="99">
        <f t="shared" si="10"/>
        <v>0</v>
      </c>
      <c r="F265" s="99">
        <f t="shared" si="9"/>
        <v>-95190000</v>
      </c>
      <c r="G265" s="99"/>
    </row>
    <row r="266" spans="1:11">
      <c r="A266" s="99" t="s">
        <v>4586</v>
      </c>
      <c r="B266" s="113">
        <v>-55000</v>
      </c>
      <c r="C266" s="99">
        <v>1</v>
      </c>
      <c r="D266" s="99">
        <f t="shared" si="8"/>
        <v>500</v>
      </c>
      <c r="E266" s="99">
        <f t="shared" si="10"/>
        <v>0</v>
      </c>
      <c r="F266" s="99">
        <f t="shared" si="9"/>
        <v>-27500000</v>
      </c>
      <c r="G266" s="99"/>
    </row>
    <row r="267" spans="1:11">
      <c r="A267" s="99" t="s">
        <v>4576</v>
      </c>
      <c r="B267" s="113">
        <v>-29395</v>
      </c>
      <c r="C267" s="99">
        <v>2</v>
      </c>
      <c r="D267" s="99">
        <f t="shared" si="8"/>
        <v>499</v>
      </c>
      <c r="E267" s="99">
        <f t="shared" si="10"/>
        <v>0</v>
      </c>
      <c r="F267" s="99">
        <f t="shared" si="9"/>
        <v>-14668105</v>
      </c>
      <c r="G267" s="99"/>
    </row>
    <row r="268" spans="1:11">
      <c r="A268" s="99" t="s">
        <v>4224</v>
      </c>
      <c r="B268" s="113">
        <v>-50000</v>
      </c>
      <c r="C268" s="99">
        <v>1</v>
      </c>
      <c r="D268" s="99">
        <f t="shared" si="8"/>
        <v>497</v>
      </c>
      <c r="E268" s="99">
        <f t="shared" si="10"/>
        <v>0</v>
      </c>
      <c r="F268" s="99">
        <f t="shared" si="9"/>
        <v>-24850000</v>
      </c>
      <c r="G268" s="99"/>
    </row>
    <row r="269" spans="1:11">
      <c r="A269" s="99" t="s">
        <v>4589</v>
      </c>
      <c r="B269" s="113">
        <v>-80000</v>
      </c>
      <c r="C269" s="99">
        <v>1</v>
      </c>
      <c r="D269" s="99">
        <f t="shared" si="8"/>
        <v>496</v>
      </c>
      <c r="E269" s="99">
        <f t="shared" si="10"/>
        <v>0</v>
      </c>
      <c r="F269" s="99">
        <f t="shared" si="9"/>
        <v>-39680000</v>
      </c>
      <c r="G269" s="99"/>
    </row>
    <row r="270" spans="1:11">
      <c r="A270" s="99" t="s">
        <v>3687</v>
      </c>
      <c r="B270" s="113">
        <v>-98909</v>
      </c>
      <c r="C270" s="99">
        <v>3</v>
      </c>
      <c r="D270" s="99">
        <f t="shared" si="8"/>
        <v>495</v>
      </c>
      <c r="E270" s="99">
        <f t="shared" si="10"/>
        <v>0</v>
      </c>
      <c r="F270" s="99">
        <f t="shared" si="9"/>
        <v>-48959955</v>
      </c>
      <c r="G270" s="99"/>
    </row>
    <row r="271" spans="1:11">
      <c r="A271" s="99" t="s">
        <v>4594</v>
      </c>
      <c r="B271" s="113">
        <v>-9380</v>
      </c>
      <c r="C271" s="99">
        <v>0</v>
      </c>
      <c r="D271" s="99">
        <f t="shared" si="8"/>
        <v>492</v>
      </c>
      <c r="E271" s="99">
        <f t="shared" si="10"/>
        <v>0</v>
      </c>
      <c r="F271" s="99">
        <f t="shared" si="9"/>
        <v>-4614960</v>
      </c>
      <c r="G271" s="99"/>
    </row>
    <row r="272" spans="1:11">
      <c r="A272" s="99" t="s">
        <v>4594</v>
      </c>
      <c r="B272" s="113">
        <v>-2400000</v>
      </c>
      <c r="C272" s="99">
        <v>3</v>
      </c>
      <c r="D272" s="99">
        <f t="shared" si="8"/>
        <v>492</v>
      </c>
      <c r="E272" s="99">
        <f t="shared" si="10"/>
        <v>1</v>
      </c>
      <c r="F272" s="99">
        <f t="shared" si="9"/>
        <v>-1178400000</v>
      </c>
      <c r="G272" s="99"/>
    </row>
    <row r="273" spans="1:11">
      <c r="A273" s="99" t="s">
        <v>4604</v>
      </c>
      <c r="B273" s="113">
        <v>15000</v>
      </c>
      <c r="C273" s="99">
        <v>93</v>
      </c>
      <c r="D273" s="99">
        <f t="shared" si="8"/>
        <v>489</v>
      </c>
      <c r="E273" s="99">
        <f t="shared" si="10"/>
        <v>1</v>
      </c>
      <c r="F273" s="99">
        <f t="shared" si="9"/>
        <v>7320000</v>
      </c>
      <c r="G273" s="99"/>
    </row>
    <row r="274" spans="1:11">
      <c r="A274" s="99" t="s">
        <v>4882</v>
      </c>
      <c r="B274" s="113">
        <v>3500000</v>
      </c>
      <c r="C274" s="99">
        <v>0</v>
      </c>
      <c r="D274" s="99">
        <f t="shared" si="8"/>
        <v>396</v>
      </c>
      <c r="E274" s="99">
        <f t="shared" si="10"/>
        <v>0</v>
      </c>
      <c r="F274" s="99">
        <f t="shared" si="9"/>
        <v>1386000000</v>
      </c>
      <c r="G274" s="99"/>
    </row>
    <row r="275" spans="1:11">
      <c r="A275" s="99" t="s">
        <v>4882</v>
      </c>
      <c r="B275" s="113">
        <v>-224012</v>
      </c>
      <c r="C275" s="99">
        <v>2</v>
      </c>
      <c r="D275" s="99">
        <f t="shared" si="8"/>
        <v>396</v>
      </c>
      <c r="E275" s="99">
        <f t="shared" si="10"/>
        <v>0</v>
      </c>
      <c r="F275" s="99">
        <f t="shared" si="9"/>
        <v>-88708752</v>
      </c>
      <c r="G275" s="99"/>
    </row>
    <row r="276" spans="1:11">
      <c r="A276" s="99" t="s">
        <v>4902</v>
      </c>
      <c r="B276" s="113">
        <v>-104671</v>
      </c>
      <c r="C276" s="99">
        <v>1</v>
      </c>
      <c r="D276" s="99">
        <f>D277+C276</f>
        <v>394</v>
      </c>
      <c r="E276" s="99">
        <f>IF(B277&gt;0,1,0)</f>
        <v>0</v>
      </c>
      <c r="F276" s="99">
        <f t="shared" si="9"/>
        <v>-41240374</v>
      </c>
      <c r="G276" s="99"/>
    </row>
    <row r="277" spans="1:11">
      <c r="A277" s="99" t="s">
        <v>4904</v>
      </c>
      <c r="B277" s="113">
        <v>-272000</v>
      </c>
      <c r="C277" s="99">
        <v>1</v>
      </c>
      <c r="D277" s="99">
        <f>D278+C277</f>
        <v>393</v>
      </c>
      <c r="E277" s="99">
        <f>IF(B278&gt;0,1,0)</f>
        <v>0</v>
      </c>
      <c r="F277" s="99">
        <f t="shared" si="9"/>
        <v>-106896000</v>
      </c>
      <c r="G277" s="99"/>
    </row>
    <row r="278" spans="1:11">
      <c r="A278" s="99" t="s">
        <v>4906</v>
      </c>
      <c r="B278" s="113">
        <v>-2565078</v>
      </c>
      <c r="C278" s="99">
        <v>2</v>
      </c>
      <c r="D278" s="99">
        <f>D279+C278</f>
        <v>392</v>
      </c>
      <c r="E278" s="99">
        <f>IF(B279&gt;0,1,0)</f>
        <v>0</v>
      </c>
      <c r="F278" s="99">
        <f t="shared" si="9"/>
        <v>-1005510576</v>
      </c>
      <c r="G278" s="99"/>
    </row>
    <row r="279" spans="1:11">
      <c r="A279" s="99" t="s">
        <v>4854</v>
      </c>
      <c r="B279" s="113">
        <v>-213500</v>
      </c>
      <c r="C279" s="99">
        <v>1</v>
      </c>
      <c r="D279" s="99">
        <f>D280+C279</f>
        <v>390</v>
      </c>
      <c r="E279" s="99">
        <f>IF(B280&gt;0,1,0)</f>
        <v>0</v>
      </c>
      <c r="F279" s="99">
        <f t="shared" si="9"/>
        <v>-83265000</v>
      </c>
      <c r="G279" s="99"/>
    </row>
    <row r="280" spans="1:11">
      <c r="A280" s="99" t="s">
        <v>4923</v>
      </c>
      <c r="B280" s="113">
        <v>-3810</v>
      </c>
      <c r="C280" s="99">
        <v>1</v>
      </c>
      <c r="D280" s="99">
        <f>D281+C280</f>
        <v>389</v>
      </c>
      <c r="E280" s="99">
        <f>IF(B281&gt;0,1,0)</f>
        <v>0</v>
      </c>
      <c r="F280" s="99">
        <f t="shared" si="9"/>
        <v>-1482090</v>
      </c>
      <c r="G280" s="99"/>
      <c r="J280" t="s">
        <v>25</v>
      </c>
    </row>
    <row r="281" spans="1:11">
      <c r="A281" s="99" t="s">
        <v>4924</v>
      </c>
      <c r="B281" s="113">
        <v>-120632</v>
      </c>
      <c r="C281" s="99">
        <v>1</v>
      </c>
      <c r="D281" s="99">
        <f t="shared" ref="D281:D288" si="11">D282+C281</f>
        <v>388</v>
      </c>
      <c r="E281" s="99">
        <f t="shared" ref="E281:E288" si="12">IF(B282&gt;0,1,0)</f>
        <v>1</v>
      </c>
      <c r="F281" s="99">
        <f t="shared" si="9"/>
        <v>-46684584</v>
      </c>
      <c r="G281" s="99"/>
      <c r="J281" t="s">
        <v>25</v>
      </c>
    </row>
    <row r="282" spans="1:11">
      <c r="A282" s="99" t="s">
        <v>4912</v>
      </c>
      <c r="B282" s="113">
        <v>80000</v>
      </c>
      <c r="C282" s="99">
        <v>0</v>
      </c>
      <c r="D282" s="99">
        <f t="shared" si="11"/>
        <v>387</v>
      </c>
      <c r="E282" s="99">
        <f t="shared" si="12"/>
        <v>0</v>
      </c>
      <c r="F282" s="99">
        <f t="shared" si="9"/>
        <v>30960000</v>
      </c>
      <c r="G282" s="99"/>
    </row>
    <row r="283" spans="1:11">
      <c r="A283" s="99" t="s">
        <v>4912</v>
      </c>
      <c r="B283" s="113">
        <v>-2500</v>
      </c>
      <c r="C283" s="99">
        <v>1</v>
      </c>
      <c r="D283" s="99">
        <f t="shared" si="11"/>
        <v>387</v>
      </c>
      <c r="E283" s="99">
        <f t="shared" si="12"/>
        <v>0</v>
      </c>
      <c r="F283" s="99">
        <f t="shared" si="9"/>
        <v>-967500</v>
      </c>
      <c r="G283" s="99"/>
      <c r="J283" s="114">
        <f>B422-498804</f>
        <v>-398578</v>
      </c>
    </row>
    <row r="284" spans="1:11">
      <c r="A284" s="99" t="s">
        <v>4917</v>
      </c>
      <c r="B284" s="113">
        <v>-30000</v>
      </c>
      <c r="C284" s="99">
        <v>1</v>
      </c>
      <c r="D284" s="99">
        <f t="shared" si="11"/>
        <v>386</v>
      </c>
      <c r="E284" s="99">
        <f t="shared" si="12"/>
        <v>0</v>
      </c>
      <c r="F284" s="99">
        <f t="shared" si="9"/>
        <v>-11580000</v>
      </c>
      <c r="G284" s="99"/>
    </row>
    <row r="285" spans="1:11">
      <c r="A285" s="99" t="s">
        <v>4925</v>
      </c>
      <c r="B285" s="113">
        <v>-19800</v>
      </c>
      <c r="C285" s="99">
        <v>1</v>
      </c>
      <c r="D285" s="99">
        <f t="shared" si="11"/>
        <v>385</v>
      </c>
      <c r="E285" s="99">
        <f t="shared" si="12"/>
        <v>1</v>
      </c>
      <c r="F285" s="99">
        <f t="shared" si="9"/>
        <v>-7603200</v>
      </c>
      <c r="G285" s="99"/>
      <c r="K285" t="s">
        <v>25</v>
      </c>
    </row>
    <row r="286" spans="1:11">
      <c r="A286" s="99" t="s">
        <v>4916</v>
      </c>
      <c r="B286" s="113">
        <v>940000</v>
      </c>
      <c r="C286" s="99">
        <v>0</v>
      </c>
      <c r="D286" s="99">
        <f t="shared" si="11"/>
        <v>384</v>
      </c>
      <c r="E286" s="99">
        <f t="shared" si="12"/>
        <v>0</v>
      </c>
      <c r="F286" s="99">
        <f t="shared" si="9"/>
        <v>360960000</v>
      </c>
      <c r="G286" s="99"/>
    </row>
    <row r="287" spans="1:11">
      <c r="A287" s="99" t="s">
        <v>4916</v>
      </c>
      <c r="B287" s="113">
        <v>-201000</v>
      </c>
      <c r="C287" s="99">
        <v>1</v>
      </c>
      <c r="D287" s="99">
        <f t="shared" si="11"/>
        <v>384</v>
      </c>
      <c r="E287" s="99">
        <f t="shared" si="12"/>
        <v>0</v>
      </c>
      <c r="F287" s="99">
        <f t="shared" si="9"/>
        <v>-77184000</v>
      </c>
      <c r="G287" s="99"/>
    </row>
    <row r="288" spans="1:11">
      <c r="A288" s="99" t="s">
        <v>4921</v>
      </c>
      <c r="B288" s="113">
        <v>-320930</v>
      </c>
      <c r="C288" s="99">
        <v>3</v>
      </c>
      <c r="D288" s="99">
        <f t="shared" si="11"/>
        <v>383</v>
      </c>
      <c r="E288" s="99">
        <f t="shared" si="12"/>
        <v>0</v>
      </c>
      <c r="F288" s="99">
        <f t="shared" si="9"/>
        <v>-122916190</v>
      </c>
      <c r="G288" s="99"/>
    </row>
    <row r="289" spans="1:10">
      <c r="A289" s="99" t="s">
        <v>4922</v>
      </c>
      <c r="B289" s="113">
        <v>-400000</v>
      </c>
      <c r="C289" s="99">
        <v>1</v>
      </c>
      <c r="D289" s="99">
        <f t="shared" ref="D289:D306" si="13">D290+C289</f>
        <v>380</v>
      </c>
      <c r="E289" s="99">
        <f t="shared" ref="E289:E306" si="14">IF(B290&gt;0,1,0)</f>
        <v>0</v>
      </c>
      <c r="F289" s="99">
        <f t="shared" si="9"/>
        <v>-152000000</v>
      </c>
      <c r="G289" s="99"/>
    </row>
    <row r="290" spans="1:10">
      <c r="A290" s="99" t="s">
        <v>4929</v>
      </c>
      <c r="B290" s="113">
        <v>-16500</v>
      </c>
      <c r="C290" s="99">
        <v>11</v>
      </c>
      <c r="D290" s="99">
        <f t="shared" si="13"/>
        <v>379</v>
      </c>
      <c r="E290" s="99">
        <f t="shared" si="14"/>
        <v>1</v>
      </c>
      <c r="F290" s="99">
        <f t="shared" si="9"/>
        <v>-6237000</v>
      </c>
      <c r="G290" s="99"/>
    </row>
    <row r="291" spans="1:10">
      <c r="A291" s="99" t="s">
        <v>4948</v>
      </c>
      <c r="B291" s="113">
        <v>2600000</v>
      </c>
      <c r="C291" s="99">
        <v>2</v>
      </c>
      <c r="D291" s="99">
        <f t="shared" si="13"/>
        <v>368</v>
      </c>
      <c r="E291" s="99">
        <f t="shared" si="14"/>
        <v>0</v>
      </c>
      <c r="F291" s="99">
        <f t="shared" si="9"/>
        <v>956800000</v>
      </c>
      <c r="G291" s="99"/>
      <c r="I291" t="s">
        <v>25</v>
      </c>
    </row>
    <row r="292" spans="1:10">
      <c r="A292" s="99" t="s">
        <v>4949</v>
      </c>
      <c r="B292" s="113">
        <v>-1170000</v>
      </c>
      <c r="C292" s="99">
        <v>0</v>
      </c>
      <c r="D292" s="99">
        <f t="shared" si="13"/>
        <v>366</v>
      </c>
      <c r="E292" s="99">
        <f t="shared" si="14"/>
        <v>0</v>
      </c>
      <c r="F292" s="99">
        <f t="shared" si="9"/>
        <v>-428220000</v>
      </c>
      <c r="G292" s="99" t="s">
        <v>4950</v>
      </c>
      <c r="J292" t="s">
        <v>25</v>
      </c>
    </row>
    <row r="293" spans="1:10">
      <c r="A293" s="99" t="s">
        <v>4949</v>
      </c>
      <c r="B293" s="113">
        <v>-9000</v>
      </c>
      <c r="C293" s="99">
        <v>1</v>
      </c>
      <c r="D293" s="99">
        <f t="shared" si="13"/>
        <v>366</v>
      </c>
      <c r="E293" s="99">
        <f t="shared" si="14"/>
        <v>0</v>
      </c>
      <c r="F293" s="99">
        <f t="shared" si="9"/>
        <v>-3294000</v>
      </c>
      <c r="G293" s="99"/>
    </row>
    <row r="294" spans="1:10">
      <c r="A294" s="99" t="s">
        <v>4951</v>
      </c>
      <c r="B294" s="113">
        <v>-1145000</v>
      </c>
      <c r="C294" s="99">
        <v>0</v>
      </c>
      <c r="D294" s="99">
        <f t="shared" si="13"/>
        <v>365</v>
      </c>
      <c r="E294" s="99">
        <f t="shared" si="14"/>
        <v>0</v>
      </c>
      <c r="F294" s="99">
        <f t="shared" si="9"/>
        <v>-417925000</v>
      </c>
      <c r="G294" s="99" t="s">
        <v>4952</v>
      </c>
    </row>
    <row r="295" spans="1:10">
      <c r="A295" s="99" t="s">
        <v>4951</v>
      </c>
      <c r="B295" s="113">
        <v>-94549</v>
      </c>
      <c r="C295" s="99">
        <v>2</v>
      </c>
      <c r="D295" s="99">
        <f t="shared" si="13"/>
        <v>365</v>
      </c>
      <c r="E295" s="99">
        <f t="shared" si="14"/>
        <v>0</v>
      </c>
      <c r="F295" s="99">
        <f t="shared" si="9"/>
        <v>-34510385</v>
      </c>
      <c r="G295" s="99" t="s">
        <v>506</v>
      </c>
      <c r="J295" t="s">
        <v>25</v>
      </c>
    </row>
    <row r="296" spans="1:10">
      <c r="A296" s="99" t="s">
        <v>5107</v>
      </c>
      <c r="B296" s="113">
        <v>-3500</v>
      </c>
      <c r="C296" s="99">
        <v>1</v>
      </c>
      <c r="D296" s="99">
        <f t="shared" si="13"/>
        <v>363</v>
      </c>
      <c r="E296" s="99">
        <f t="shared" si="14"/>
        <v>0</v>
      </c>
      <c r="F296" s="99">
        <f t="shared" si="9"/>
        <v>-1270500</v>
      </c>
      <c r="G296" s="99"/>
      <c r="I296" s="114">
        <f>B422-735892</f>
        <v>-635666</v>
      </c>
    </row>
    <row r="297" spans="1:10">
      <c r="A297" s="99" t="s">
        <v>4959</v>
      </c>
      <c r="B297" s="113">
        <v>-44900</v>
      </c>
      <c r="C297" s="99">
        <v>0</v>
      </c>
      <c r="D297" s="99">
        <f t="shared" si="13"/>
        <v>362</v>
      </c>
      <c r="E297" s="99">
        <f t="shared" si="14"/>
        <v>0</v>
      </c>
      <c r="F297" s="99">
        <f t="shared" si="9"/>
        <v>-16253800</v>
      </c>
      <c r="G297" s="99"/>
    </row>
    <row r="298" spans="1:10">
      <c r="A298" s="99" t="s">
        <v>4959</v>
      </c>
      <c r="B298" s="113">
        <v>-50000</v>
      </c>
      <c r="C298" s="99">
        <v>10</v>
      </c>
      <c r="D298" s="99">
        <f t="shared" si="13"/>
        <v>362</v>
      </c>
      <c r="E298" s="99">
        <f t="shared" si="14"/>
        <v>0</v>
      </c>
      <c r="F298" s="99">
        <f t="shared" si="9"/>
        <v>-18100000</v>
      </c>
      <c r="G298" s="99" t="s">
        <v>506</v>
      </c>
    </row>
    <row r="299" spans="1:10">
      <c r="A299" s="99" t="s">
        <v>4976</v>
      </c>
      <c r="B299" s="113">
        <v>-19850</v>
      </c>
      <c r="C299" s="99">
        <v>1</v>
      </c>
      <c r="D299" s="99">
        <f t="shared" si="13"/>
        <v>352</v>
      </c>
      <c r="E299" s="99">
        <f t="shared" si="14"/>
        <v>0</v>
      </c>
      <c r="F299" s="99">
        <f t="shared" si="9"/>
        <v>-6987200</v>
      </c>
      <c r="G299" s="99"/>
    </row>
    <row r="300" spans="1:10">
      <c r="A300" s="99" t="s">
        <v>4977</v>
      </c>
      <c r="B300" s="113">
        <v>-39770</v>
      </c>
      <c r="C300" s="99">
        <v>6</v>
      </c>
      <c r="D300" s="99">
        <f t="shared" si="13"/>
        <v>351</v>
      </c>
      <c r="E300" s="99">
        <f t="shared" si="14"/>
        <v>0</v>
      </c>
      <c r="F300" s="99">
        <f t="shared" si="9"/>
        <v>-13959270</v>
      </c>
      <c r="G300" s="99"/>
    </row>
    <row r="301" spans="1:10">
      <c r="A301" s="99" t="s">
        <v>4994</v>
      </c>
      <c r="B301" s="113">
        <v>-40000</v>
      </c>
      <c r="C301" s="99">
        <v>71</v>
      </c>
      <c r="D301" s="99">
        <f t="shared" si="13"/>
        <v>345</v>
      </c>
      <c r="E301" s="99">
        <f t="shared" si="14"/>
        <v>1</v>
      </c>
      <c r="F301" s="99">
        <f t="shared" si="9"/>
        <v>-13760000</v>
      </c>
      <c r="G301" s="99"/>
    </row>
    <row r="302" spans="1:10">
      <c r="A302" s="99" t="s">
        <v>5096</v>
      </c>
      <c r="B302" s="113">
        <v>4000000</v>
      </c>
      <c r="C302" s="99">
        <v>1</v>
      </c>
      <c r="D302" s="99">
        <f t="shared" si="13"/>
        <v>274</v>
      </c>
      <c r="E302" s="99">
        <f t="shared" si="14"/>
        <v>0</v>
      </c>
      <c r="F302" s="99">
        <f t="shared" si="9"/>
        <v>1096000000</v>
      </c>
      <c r="G302" s="99"/>
    </row>
    <row r="303" spans="1:10">
      <c r="A303" s="99" t="s">
        <v>5100</v>
      </c>
      <c r="B303" s="113">
        <v>-123860</v>
      </c>
      <c r="C303" s="99">
        <v>1</v>
      </c>
      <c r="D303" s="99">
        <f t="shared" si="13"/>
        <v>273</v>
      </c>
      <c r="E303" s="99">
        <f t="shared" si="14"/>
        <v>0</v>
      </c>
      <c r="F303" s="99">
        <f t="shared" si="9"/>
        <v>-33813780</v>
      </c>
      <c r="G303" s="99"/>
    </row>
    <row r="304" spans="1:10">
      <c r="A304" s="99" t="s">
        <v>5063</v>
      </c>
      <c r="B304" s="113">
        <v>-1660000</v>
      </c>
      <c r="C304" s="99">
        <v>1</v>
      </c>
      <c r="D304" s="99">
        <f t="shared" si="13"/>
        <v>272</v>
      </c>
      <c r="E304" s="99">
        <f t="shared" si="14"/>
        <v>0</v>
      </c>
      <c r="F304" s="99">
        <f t="shared" si="9"/>
        <v>-451520000</v>
      </c>
      <c r="G304" s="99"/>
    </row>
    <row r="305" spans="1:11">
      <c r="A305" s="99" t="s">
        <v>5106</v>
      </c>
      <c r="B305" s="113">
        <v>-63857</v>
      </c>
      <c r="C305" s="99">
        <v>0</v>
      </c>
      <c r="D305" s="99">
        <f t="shared" si="13"/>
        <v>271</v>
      </c>
      <c r="E305" s="99">
        <f t="shared" si="14"/>
        <v>0</v>
      </c>
      <c r="F305" s="99">
        <f t="shared" si="9"/>
        <v>-17305247</v>
      </c>
      <c r="G305" s="99"/>
    </row>
    <row r="306" spans="1:11">
      <c r="A306" s="99" t="s">
        <v>5108</v>
      </c>
      <c r="B306" s="113">
        <v>-631</v>
      </c>
      <c r="C306" s="99">
        <v>2</v>
      </c>
      <c r="D306" s="99">
        <f t="shared" si="13"/>
        <v>271</v>
      </c>
      <c r="E306" s="99">
        <f t="shared" si="14"/>
        <v>0</v>
      </c>
      <c r="F306" s="99">
        <f t="shared" si="9"/>
        <v>-171001</v>
      </c>
      <c r="G306" s="99" t="s">
        <v>506</v>
      </c>
      <c r="J306" t="s">
        <v>25</v>
      </c>
    </row>
    <row r="307" spans="1:11">
      <c r="A307" s="99" t="s">
        <v>5112</v>
      </c>
      <c r="B307" s="113">
        <v>-248905</v>
      </c>
      <c r="C307" s="99">
        <v>2</v>
      </c>
      <c r="D307" s="99">
        <f t="shared" ref="D307:D318" si="15">D308+C307</f>
        <v>269</v>
      </c>
      <c r="E307" s="99">
        <f t="shared" ref="E307:E318" si="16">IF(B308&gt;0,1,0)</f>
        <v>0</v>
      </c>
      <c r="F307" s="99">
        <f t="shared" si="9"/>
        <v>-66955445</v>
      </c>
      <c r="G307" s="99"/>
    </row>
    <row r="308" spans="1:11">
      <c r="A308" s="99" t="s">
        <v>5110</v>
      </c>
      <c r="B308" s="113">
        <v>-200000</v>
      </c>
      <c r="C308" s="99">
        <v>0</v>
      </c>
      <c r="D308" s="99">
        <f t="shared" si="15"/>
        <v>267</v>
      </c>
      <c r="E308" s="99">
        <f t="shared" si="16"/>
        <v>0</v>
      </c>
      <c r="F308" s="99">
        <f t="shared" si="9"/>
        <v>-53400000</v>
      </c>
      <c r="G308" s="99"/>
    </row>
    <row r="309" spans="1:11">
      <c r="A309" s="99" t="s">
        <v>5110</v>
      </c>
      <c r="B309" s="113">
        <v>-200000</v>
      </c>
      <c r="C309" s="99">
        <v>3</v>
      </c>
      <c r="D309" s="99">
        <f t="shared" si="15"/>
        <v>267</v>
      </c>
      <c r="E309" s="99">
        <f t="shared" si="16"/>
        <v>0</v>
      </c>
      <c r="F309" s="99">
        <f t="shared" si="9"/>
        <v>-53400000</v>
      </c>
      <c r="G309" s="99"/>
    </row>
    <row r="310" spans="1:11">
      <c r="A310" s="99" t="s">
        <v>5117</v>
      </c>
      <c r="B310" s="113">
        <v>-832590</v>
      </c>
      <c r="C310" s="99">
        <v>0</v>
      </c>
      <c r="D310" s="99">
        <f t="shared" si="15"/>
        <v>264</v>
      </c>
      <c r="E310" s="99">
        <f t="shared" si="16"/>
        <v>0</v>
      </c>
      <c r="F310" s="99">
        <f t="shared" si="9"/>
        <v>-219803760</v>
      </c>
      <c r="G310" s="99"/>
    </row>
    <row r="311" spans="1:11">
      <c r="A311" s="99" t="s">
        <v>5117</v>
      </c>
      <c r="B311" s="113">
        <v>-29950</v>
      </c>
      <c r="C311" s="99">
        <v>1</v>
      </c>
      <c r="D311" s="99">
        <f t="shared" si="15"/>
        <v>264</v>
      </c>
      <c r="E311" s="99">
        <f t="shared" si="16"/>
        <v>0</v>
      </c>
      <c r="F311" s="99">
        <f t="shared" si="9"/>
        <v>-7906800</v>
      </c>
      <c r="G311" s="99"/>
      <c r="K311" t="s">
        <v>25</v>
      </c>
    </row>
    <row r="312" spans="1:11">
      <c r="A312" s="99" t="s">
        <v>5159</v>
      </c>
      <c r="B312" s="113">
        <v>-8500</v>
      </c>
      <c r="C312" s="99">
        <v>1</v>
      </c>
      <c r="D312" s="99">
        <f t="shared" si="15"/>
        <v>263</v>
      </c>
      <c r="E312" s="99">
        <f t="shared" si="16"/>
        <v>0</v>
      </c>
      <c r="F312" s="99">
        <f t="shared" si="9"/>
        <v>-2235500</v>
      </c>
      <c r="G312" s="99"/>
    </row>
    <row r="313" spans="1:11">
      <c r="A313" s="99" t="s">
        <v>5135</v>
      </c>
      <c r="B313" s="113">
        <v>-116300</v>
      </c>
      <c r="C313" s="99">
        <v>1</v>
      </c>
      <c r="D313" s="99">
        <f t="shared" si="15"/>
        <v>262</v>
      </c>
      <c r="E313" s="99">
        <f t="shared" si="16"/>
        <v>0</v>
      </c>
      <c r="F313" s="99">
        <f t="shared" si="9"/>
        <v>-30470600</v>
      </c>
      <c r="G313" s="99"/>
    </row>
    <row r="314" spans="1:11">
      <c r="A314" s="99" t="s">
        <v>5120</v>
      </c>
      <c r="B314" s="113">
        <v>-75500</v>
      </c>
      <c r="C314" s="99">
        <v>1</v>
      </c>
      <c r="D314" s="99">
        <f t="shared" si="15"/>
        <v>261</v>
      </c>
      <c r="E314" s="99">
        <f t="shared" si="16"/>
        <v>0</v>
      </c>
      <c r="F314" s="99">
        <f t="shared" ref="F314:F331" si="17">B314*(D314-E314)</f>
        <v>-19705500</v>
      </c>
      <c r="G314" s="99"/>
    </row>
    <row r="315" spans="1:11">
      <c r="A315" s="99" t="s">
        <v>5130</v>
      </c>
      <c r="B315" s="113">
        <v>-331250</v>
      </c>
      <c r="C315" s="99">
        <v>2</v>
      </c>
      <c r="D315" s="99">
        <f t="shared" si="15"/>
        <v>260</v>
      </c>
      <c r="E315" s="99">
        <f t="shared" si="16"/>
        <v>0</v>
      </c>
      <c r="F315" s="99">
        <f t="shared" si="17"/>
        <v>-86125000</v>
      </c>
      <c r="G315" s="99"/>
    </row>
    <row r="316" spans="1:11">
      <c r="A316" s="99" t="s">
        <v>5160</v>
      </c>
      <c r="B316" s="113">
        <v>-39000</v>
      </c>
      <c r="C316" s="99">
        <v>1</v>
      </c>
      <c r="D316" s="99">
        <f t="shared" si="15"/>
        <v>258</v>
      </c>
      <c r="E316" s="99">
        <f t="shared" si="16"/>
        <v>0</v>
      </c>
      <c r="F316" s="99">
        <f t="shared" si="17"/>
        <v>-10062000</v>
      </c>
      <c r="G316" s="99"/>
      <c r="I316" s="114"/>
    </row>
    <row r="317" spans="1:11">
      <c r="A317" s="99" t="s">
        <v>5132</v>
      </c>
      <c r="B317" s="113">
        <v>-44000</v>
      </c>
      <c r="C317" s="99">
        <v>3</v>
      </c>
      <c r="D317" s="99">
        <f t="shared" si="15"/>
        <v>257</v>
      </c>
      <c r="E317" s="99">
        <f t="shared" si="16"/>
        <v>0</v>
      </c>
      <c r="F317" s="99">
        <f t="shared" si="17"/>
        <v>-11308000</v>
      </c>
      <c r="G317" s="99"/>
      <c r="J317" t="s">
        <v>25</v>
      </c>
    </row>
    <row r="318" spans="1:11">
      <c r="A318" s="99" t="s">
        <v>5078</v>
      </c>
      <c r="B318" s="113">
        <v>-30476</v>
      </c>
      <c r="C318" s="99">
        <v>1</v>
      </c>
      <c r="D318" s="99">
        <f t="shared" si="15"/>
        <v>254</v>
      </c>
      <c r="E318" s="99">
        <f t="shared" si="16"/>
        <v>0</v>
      </c>
      <c r="F318" s="99">
        <f t="shared" si="17"/>
        <v>-7740904</v>
      </c>
      <c r="G318" s="99"/>
    </row>
    <row r="319" spans="1:11">
      <c r="A319" s="99" t="s">
        <v>5138</v>
      </c>
      <c r="B319" s="113">
        <v>-4000</v>
      </c>
      <c r="C319" s="99">
        <v>11</v>
      </c>
      <c r="D319" s="99">
        <f t="shared" ref="D319:D326" si="18">D320+C319</f>
        <v>253</v>
      </c>
      <c r="E319" s="99">
        <f t="shared" ref="E319:E326" si="19">IF(B320&gt;0,1,0)</f>
        <v>1</v>
      </c>
      <c r="F319" s="99">
        <f t="shared" si="17"/>
        <v>-1008000</v>
      </c>
      <c r="G319" s="99"/>
    </row>
    <row r="320" spans="1:11">
      <c r="A320" s="99" t="s">
        <v>5161</v>
      </c>
      <c r="B320" s="113">
        <v>6300000</v>
      </c>
      <c r="C320" s="99">
        <v>1</v>
      </c>
      <c r="D320" s="99">
        <f t="shared" si="18"/>
        <v>242</v>
      </c>
      <c r="E320" s="99">
        <f t="shared" si="19"/>
        <v>0</v>
      </c>
      <c r="F320" s="99">
        <f t="shared" si="17"/>
        <v>1524600000</v>
      </c>
      <c r="G320" s="99"/>
    </row>
    <row r="321" spans="1:9">
      <c r="A321" s="99" t="s">
        <v>5185</v>
      </c>
      <c r="B321" s="113">
        <v>-6000000</v>
      </c>
      <c r="C321" s="99">
        <v>2</v>
      </c>
      <c r="D321" s="99">
        <f t="shared" si="18"/>
        <v>241</v>
      </c>
      <c r="E321" s="99">
        <f t="shared" si="19"/>
        <v>0</v>
      </c>
      <c r="F321" s="99">
        <f t="shared" si="17"/>
        <v>-1446000000</v>
      </c>
      <c r="G321" s="99"/>
    </row>
    <row r="322" spans="1:9">
      <c r="A322" s="99" t="s">
        <v>5183</v>
      </c>
      <c r="B322" s="113">
        <v>-295000</v>
      </c>
      <c r="C322" s="99">
        <v>0</v>
      </c>
      <c r="D322" s="99">
        <f t="shared" si="18"/>
        <v>239</v>
      </c>
      <c r="E322" s="99">
        <f t="shared" si="19"/>
        <v>1</v>
      </c>
      <c r="F322" s="99">
        <f t="shared" si="17"/>
        <v>-70210000</v>
      </c>
      <c r="G322" s="99"/>
    </row>
    <row r="323" spans="1:9">
      <c r="A323" s="99" t="s">
        <v>5183</v>
      </c>
      <c r="B323" s="113">
        <v>483</v>
      </c>
      <c r="C323" s="99">
        <v>8</v>
      </c>
      <c r="D323" s="99">
        <f t="shared" si="18"/>
        <v>239</v>
      </c>
      <c r="E323" s="99">
        <f t="shared" si="19"/>
        <v>1</v>
      </c>
      <c r="F323" s="99">
        <f t="shared" si="17"/>
        <v>114954</v>
      </c>
      <c r="G323" s="99" t="s">
        <v>693</v>
      </c>
      <c r="I323" t="s">
        <v>25</v>
      </c>
    </row>
    <row r="324" spans="1:9">
      <c r="A324" s="99" t="s">
        <v>5202</v>
      </c>
      <c r="B324" s="113">
        <v>1700000</v>
      </c>
      <c r="C324" s="99">
        <v>0</v>
      </c>
      <c r="D324" s="99">
        <f t="shared" si="18"/>
        <v>231</v>
      </c>
      <c r="E324" s="99">
        <f t="shared" si="19"/>
        <v>0</v>
      </c>
      <c r="F324" s="99">
        <f t="shared" si="17"/>
        <v>392700000</v>
      </c>
      <c r="G324" s="99"/>
    </row>
    <row r="325" spans="1:9">
      <c r="A325" s="99" t="s">
        <v>5202</v>
      </c>
      <c r="B325" s="113">
        <v>-53000</v>
      </c>
      <c r="C325" s="99">
        <v>1</v>
      </c>
      <c r="D325" s="99">
        <f t="shared" si="18"/>
        <v>231</v>
      </c>
      <c r="E325" s="99">
        <f t="shared" si="19"/>
        <v>0</v>
      </c>
      <c r="F325" s="99">
        <f t="shared" si="17"/>
        <v>-12243000</v>
      </c>
      <c r="G325" s="99"/>
    </row>
    <row r="326" spans="1:9">
      <c r="A326" s="99" t="s">
        <v>5203</v>
      </c>
      <c r="B326" s="113">
        <v>-1300000</v>
      </c>
      <c r="C326" s="99">
        <v>0</v>
      </c>
      <c r="D326" s="99">
        <f t="shared" si="18"/>
        <v>230</v>
      </c>
      <c r="E326" s="99">
        <f t="shared" si="19"/>
        <v>0</v>
      </c>
      <c r="F326" s="99">
        <f t="shared" si="17"/>
        <v>-299000000</v>
      </c>
      <c r="G326" s="99"/>
      <c r="I326" t="s">
        <v>25</v>
      </c>
    </row>
    <row r="327" spans="1:9">
      <c r="A327" s="99" t="s">
        <v>5203</v>
      </c>
      <c r="B327" s="113">
        <v>-41500</v>
      </c>
      <c r="C327" s="99">
        <v>1</v>
      </c>
      <c r="D327" s="99">
        <f t="shared" ref="D327:D333" si="20">D328+C327</f>
        <v>230</v>
      </c>
      <c r="E327" s="99">
        <f t="shared" ref="E327:E333" si="21">IF(B328&gt;0,1,0)</f>
        <v>0</v>
      </c>
      <c r="F327" s="99">
        <f t="shared" si="17"/>
        <v>-9545000</v>
      </c>
      <c r="G327" s="99"/>
    </row>
    <row r="328" spans="1:9">
      <c r="A328" s="99" t="s">
        <v>5206</v>
      </c>
      <c r="B328" s="113">
        <v>-57700</v>
      </c>
      <c r="C328" s="99">
        <v>3</v>
      </c>
      <c r="D328" s="99">
        <f t="shared" si="20"/>
        <v>229</v>
      </c>
      <c r="E328" s="99">
        <f t="shared" si="21"/>
        <v>0</v>
      </c>
      <c r="F328" s="99">
        <f t="shared" si="17"/>
        <v>-13213300</v>
      </c>
      <c r="G328" s="99"/>
    </row>
    <row r="329" spans="1:9">
      <c r="A329" s="99" t="s">
        <v>5209</v>
      </c>
      <c r="B329" s="113">
        <v>-5600</v>
      </c>
      <c r="C329" s="99">
        <v>1</v>
      </c>
      <c r="D329" s="99">
        <f t="shared" si="20"/>
        <v>226</v>
      </c>
      <c r="E329" s="99">
        <f t="shared" si="21"/>
        <v>0</v>
      </c>
      <c r="F329" s="99">
        <f t="shared" si="17"/>
        <v>-1265600</v>
      </c>
      <c r="G329" s="99"/>
    </row>
    <row r="330" spans="1:9">
      <c r="A330" s="99" t="s">
        <v>5211</v>
      </c>
      <c r="B330" s="113">
        <v>-5600</v>
      </c>
      <c r="C330" s="99">
        <v>1</v>
      </c>
      <c r="D330" s="99">
        <f t="shared" si="20"/>
        <v>225</v>
      </c>
      <c r="E330" s="99">
        <f t="shared" si="21"/>
        <v>0</v>
      </c>
      <c r="F330" s="99">
        <f t="shared" si="17"/>
        <v>-1260000</v>
      </c>
      <c r="G330" s="99"/>
    </row>
    <row r="331" spans="1:9">
      <c r="A331" s="99" t="s">
        <v>989</v>
      </c>
      <c r="B331" s="113">
        <v>-68100</v>
      </c>
      <c r="C331" s="99">
        <v>1</v>
      </c>
      <c r="D331" s="99">
        <f t="shared" si="20"/>
        <v>224</v>
      </c>
      <c r="E331" s="99">
        <f t="shared" si="21"/>
        <v>0</v>
      </c>
      <c r="F331" s="99">
        <f t="shared" si="17"/>
        <v>-15254400</v>
      </c>
      <c r="G331" s="99"/>
      <c r="I331" t="s">
        <v>25</v>
      </c>
    </row>
    <row r="332" spans="1:9">
      <c r="A332" s="99" t="s">
        <v>4270</v>
      </c>
      <c r="B332" s="113">
        <v>-25390</v>
      </c>
      <c r="C332" s="99">
        <v>2</v>
      </c>
      <c r="D332" s="99">
        <f t="shared" si="20"/>
        <v>223</v>
      </c>
      <c r="E332" s="99">
        <f t="shared" si="21"/>
        <v>0</v>
      </c>
      <c r="F332" s="99">
        <f>B332*(D332-E332)</f>
        <v>-5661970</v>
      </c>
      <c r="G332" s="99"/>
    </row>
    <row r="333" spans="1:9">
      <c r="A333" s="99" t="s">
        <v>5222</v>
      </c>
      <c r="B333" s="113">
        <v>-78508</v>
      </c>
      <c r="C333" s="99">
        <v>2</v>
      </c>
      <c r="D333" s="99">
        <f t="shared" si="20"/>
        <v>221</v>
      </c>
      <c r="E333" s="99">
        <f t="shared" si="21"/>
        <v>0</v>
      </c>
      <c r="F333" s="99">
        <f>B333*(D333-E333)</f>
        <v>-17350268</v>
      </c>
      <c r="G333" s="99"/>
    </row>
    <row r="334" spans="1:9">
      <c r="A334" s="99" t="s">
        <v>5223</v>
      </c>
      <c r="B334" s="113">
        <v>-2000</v>
      </c>
      <c r="C334" s="99">
        <v>4</v>
      </c>
      <c r="D334" s="99">
        <f t="shared" ref="D334:D352" si="22">D335+C334</f>
        <v>219</v>
      </c>
      <c r="E334" s="99">
        <f t="shared" ref="E334:E352" si="23">IF(B335&gt;0,1,0)</f>
        <v>1</v>
      </c>
      <c r="F334" s="99">
        <f t="shared" ref="F334:F352" si="24">B334*(D334-E334)</f>
        <v>-436000</v>
      </c>
      <c r="G334" s="99"/>
    </row>
    <row r="335" spans="1:9">
      <c r="A335" s="99" t="s">
        <v>5226</v>
      </c>
      <c r="B335" s="113">
        <v>2200472</v>
      </c>
      <c r="C335" s="99">
        <v>1</v>
      </c>
      <c r="D335" s="99">
        <f t="shared" si="22"/>
        <v>215</v>
      </c>
      <c r="E335" s="99">
        <f t="shared" si="23"/>
        <v>0</v>
      </c>
      <c r="F335" s="99">
        <f t="shared" si="24"/>
        <v>473101480</v>
      </c>
      <c r="G335" s="99"/>
      <c r="H335" t="s">
        <v>25</v>
      </c>
    </row>
    <row r="336" spans="1:9">
      <c r="A336" s="99" t="s">
        <v>5232</v>
      </c>
      <c r="B336" s="113">
        <v>-28000</v>
      </c>
      <c r="C336" s="99">
        <v>2</v>
      </c>
      <c r="D336" s="99">
        <f t="shared" si="22"/>
        <v>214</v>
      </c>
      <c r="E336" s="99">
        <f t="shared" si="23"/>
        <v>1</v>
      </c>
      <c r="F336" s="99">
        <f t="shared" si="24"/>
        <v>-5964000</v>
      </c>
      <c r="G336" s="99"/>
    </row>
    <row r="337" spans="1:13">
      <c r="A337" s="99" t="s">
        <v>5231</v>
      </c>
      <c r="B337" s="113">
        <v>2500000</v>
      </c>
      <c r="C337" s="99">
        <v>0</v>
      </c>
      <c r="D337" s="99">
        <f t="shared" si="22"/>
        <v>212</v>
      </c>
      <c r="E337" s="99">
        <f t="shared" si="23"/>
        <v>0</v>
      </c>
      <c r="F337" s="99">
        <f t="shared" si="24"/>
        <v>530000000</v>
      </c>
      <c r="G337" s="99"/>
    </row>
    <row r="338" spans="1:13">
      <c r="A338" s="99" t="s">
        <v>5231</v>
      </c>
      <c r="B338" s="113">
        <v>-407500</v>
      </c>
      <c r="C338" s="99">
        <v>2</v>
      </c>
      <c r="D338" s="99">
        <f t="shared" si="22"/>
        <v>212</v>
      </c>
      <c r="E338" s="99">
        <f t="shared" si="23"/>
        <v>0</v>
      </c>
      <c r="F338" s="99">
        <f t="shared" si="24"/>
        <v>-86390000</v>
      </c>
      <c r="G338" s="99"/>
    </row>
    <row r="339" spans="1:13">
      <c r="A339" s="99" t="s">
        <v>5233</v>
      </c>
      <c r="B339" s="113">
        <v>-3600</v>
      </c>
      <c r="C339" s="99">
        <v>1</v>
      </c>
      <c r="D339" s="99">
        <f t="shared" si="22"/>
        <v>210</v>
      </c>
      <c r="E339" s="99">
        <f t="shared" si="23"/>
        <v>0</v>
      </c>
      <c r="F339" s="99">
        <f t="shared" si="24"/>
        <v>-756000</v>
      </c>
      <c r="G339" s="99"/>
    </row>
    <row r="340" spans="1:13">
      <c r="A340" s="99" t="s">
        <v>5237</v>
      </c>
      <c r="B340" s="113">
        <v>-170094</v>
      </c>
      <c r="C340" s="99">
        <v>1</v>
      </c>
      <c r="D340" s="99">
        <f t="shared" si="22"/>
        <v>209</v>
      </c>
      <c r="E340" s="99">
        <f t="shared" si="23"/>
        <v>0</v>
      </c>
      <c r="F340" s="99">
        <f t="shared" si="24"/>
        <v>-35549646</v>
      </c>
      <c r="G340" s="99"/>
      <c r="J340" t="s">
        <v>25</v>
      </c>
    </row>
    <row r="341" spans="1:13">
      <c r="A341" s="99" t="s">
        <v>5234</v>
      </c>
      <c r="B341" s="113">
        <v>-51730</v>
      </c>
      <c r="C341" s="99">
        <v>1</v>
      </c>
      <c r="D341" s="99">
        <f t="shared" si="22"/>
        <v>208</v>
      </c>
      <c r="E341" s="99">
        <f t="shared" si="23"/>
        <v>0</v>
      </c>
      <c r="F341" s="99">
        <f t="shared" si="24"/>
        <v>-10759840</v>
      </c>
      <c r="G341" s="99"/>
    </row>
    <row r="342" spans="1:13">
      <c r="A342" s="99" t="s">
        <v>5238</v>
      </c>
      <c r="B342" s="113">
        <v>-200000</v>
      </c>
      <c r="C342" s="99">
        <v>2</v>
      </c>
      <c r="D342" s="99">
        <f t="shared" si="22"/>
        <v>207</v>
      </c>
      <c r="E342" s="99">
        <f t="shared" si="23"/>
        <v>0</v>
      </c>
      <c r="F342" s="99">
        <f t="shared" si="24"/>
        <v>-41400000</v>
      </c>
      <c r="G342" s="99"/>
    </row>
    <row r="343" spans="1:13">
      <c r="A343" s="99" t="s">
        <v>5201</v>
      </c>
      <c r="B343" s="113">
        <v>-3000000</v>
      </c>
      <c r="C343" s="99">
        <v>0</v>
      </c>
      <c r="D343" s="99">
        <f t="shared" si="22"/>
        <v>205</v>
      </c>
      <c r="E343" s="99">
        <f t="shared" si="23"/>
        <v>0</v>
      </c>
      <c r="F343" s="99">
        <f t="shared" si="24"/>
        <v>-615000000</v>
      </c>
      <c r="G343" s="99"/>
    </row>
    <row r="344" spans="1:13">
      <c r="A344" s="99" t="s">
        <v>5201</v>
      </c>
      <c r="B344" s="113">
        <v>-39726</v>
      </c>
      <c r="C344" s="99">
        <v>1</v>
      </c>
      <c r="D344" s="99">
        <f t="shared" si="22"/>
        <v>205</v>
      </c>
      <c r="E344" s="99">
        <f t="shared" si="23"/>
        <v>0</v>
      </c>
      <c r="F344" s="99">
        <f t="shared" si="24"/>
        <v>-8143830</v>
      </c>
      <c r="G344" s="99"/>
      <c r="M344" t="s">
        <v>25</v>
      </c>
    </row>
    <row r="345" spans="1:13">
      <c r="A345" s="99" t="s">
        <v>5240</v>
      </c>
      <c r="B345" s="113">
        <v>-566500</v>
      </c>
      <c r="C345" s="99">
        <v>1</v>
      </c>
      <c r="D345" s="99">
        <f t="shared" si="22"/>
        <v>204</v>
      </c>
      <c r="E345" s="99">
        <f t="shared" si="23"/>
        <v>0</v>
      </c>
      <c r="F345" s="99">
        <f t="shared" si="24"/>
        <v>-115566000</v>
      </c>
      <c r="G345" s="99"/>
      <c r="K345" t="s">
        <v>25</v>
      </c>
    </row>
    <row r="346" spans="1:13">
      <c r="A346" s="99" t="s">
        <v>5241</v>
      </c>
      <c r="B346" s="113">
        <v>-300000</v>
      </c>
      <c r="C346" s="99">
        <v>22</v>
      </c>
      <c r="D346" s="99">
        <f t="shared" si="22"/>
        <v>203</v>
      </c>
      <c r="E346" s="99">
        <f t="shared" si="23"/>
        <v>1</v>
      </c>
      <c r="F346" s="99">
        <f t="shared" si="24"/>
        <v>-60600000</v>
      </c>
      <c r="G346" s="99"/>
      <c r="J346" t="s">
        <v>25</v>
      </c>
    </row>
    <row r="347" spans="1:13">
      <c r="A347" s="99" t="s">
        <v>5264</v>
      </c>
      <c r="B347" s="113">
        <v>700000</v>
      </c>
      <c r="C347" s="99">
        <v>1</v>
      </c>
      <c r="D347" s="99">
        <f t="shared" si="22"/>
        <v>181</v>
      </c>
      <c r="E347" s="99">
        <f t="shared" si="23"/>
        <v>0</v>
      </c>
      <c r="F347" s="99">
        <f t="shared" si="24"/>
        <v>126700000</v>
      </c>
      <c r="G347" s="99"/>
    </row>
    <row r="348" spans="1:13">
      <c r="A348" s="99" t="s">
        <v>5267</v>
      </c>
      <c r="B348" s="113">
        <v>-101000</v>
      </c>
      <c r="C348" s="99">
        <v>1</v>
      </c>
      <c r="D348" s="99">
        <f t="shared" si="22"/>
        <v>180</v>
      </c>
      <c r="E348" s="99">
        <f t="shared" si="23"/>
        <v>0</v>
      </c>
      <c r="F348" s="99">
        <f t="shared" si="24"/>
        <v>-18180000</v>
      </c>
      <c r="G348" s="99"/>
    </row>
    <row r="349" spans="1:13">
      <c r="A349" s="99" t="s">
        <v>5267</v>
      </c>
      <c r="B349" s="113">
        <v>-57245</v>
      </c>
      <c r="C349" s="99">
        <v>1</v>
      </c>
      <c r="D349" s="99">
        <f t="shared" si="22"/>
        <v>179</v>
      </c>
      <c r="E349" s="99">
        <f t="shared" si="23"/>
        <v>0</v>
      </c>
      <c r="F349" s="99">
        <f t="shared" si="24"/>
        <v>-10246855</v>
      </c>
      <c r="G349" s="99"/>
    </row>
    <row r="350" spans="1:13">
      <c r="A350" s="99" t="s">
        <v>5269</v>
      </c>
      <c r="B350" s="113">
        <v>-398700</v>
      </c>
      <c r="C350" s="99">
        <v>2</v>
      </c>
      <c r="D350" s="99">
        <f t="shared" si="22"/>
        <v>178</v>
      </c>
      <c r="E350" s="99">
        <f t="shared" si="23"/>
        <v>0</v>
      </c>
      <c r="F350" s="99">
        <f t="shared" si="24"/>
        <v>-70968600</v>
      </c>
      <c r="G350" s="99"/>
    </row>
    <row r="351" spans="1:13">
      <c r="A351" s="99" t="s">
        <v>5268</v>
      </c>
      <c r="B351" s="113">
        <v>-87010</v>
      </c>
      <c r="C351" s="99">
        <v>5</v>
      </c>
      <c r="D351" s="99">
        <f t="shared" si="22"/>
        <v>176</v>
      </c>
      <c r="E351" s="99">
        <f t="shared" si="23"/>
        <v>0</v>
      </c>
      <c r="F351" s="99">
        <f t="shared" si="24"/>
        <v>-15313760</v>
      </c>
      <c r="G351" s="99"/>
    </row>
    <row r="352" spans="1:13">
      <c r="A352" s="99" t="s">
        <v>5298</v>
      </c>
      <c r="B352" s="113">
        <v>-50000</v>
      </c>
      <c r="C352" s="99">
        <v>28</v>
      </c>
      <c r="D352" s="99">
        <f t="shared" si="22"/>
        <v>171</v>
      </c>
      <c r="E352" s="99">
        <f t="shared" si="23"/>
        <v>1</v>
      </c>
      <c r="F352" s="99">
        <f t="shared" si="24"/>
        <v>-8500000</v>
      </c>
      <c r="G352" s="99"/>
    </row>
    <row r="353" spans="1:12">
      <c r="A353" s="99" t="s">
        <v>5297</v>
      </c>
      <c r="B353" s="113">
        <v>1200000</v>
      </c>
      <c r="C353" s="99">
        <v>0</v>
      </c>
      <c r="D353" s="99">
        <f t="shared" ref="D353:D365" si="25">D354+C353</f>
        <v>143</v>
      </c>
      <c r="E353" s="99">
        <f t="shared" ref="E353:E365" si="26">IF(B354&gt;0,1,0)</f>
        <v>0</v>
      </c>
      <c r="F353" s="99">
        <f t="shared" ref="F353:F365" si="27">B353*(D353-E353)</f>
        <v>171600000</v>
      </c>
      <c r="G353" s="99"/>
    </row>
    <row r="354" spans="1:12">
      <c r="A354" s="99" t="s">
        <v>5297</v>
      </c>
      <c r="B354" s="113">
        <v>-367300</v>
      </c>
      <c r="C354" s="99">
        <v>1</v>
      </c>
      <c r="D354" s="99">
        <f t="shared" si="25"/>
        <v>143</v>
      </c>
      <c r="E354" s="99">
        <f t="shared" si="26"/>
        <v>0</v>
      </c>
      <c r="F354" s="99">
        <f t="shared" si="27"/>
        <v>-52523900</v>
      </c>
      <c r="G354" s="99"/>
    </row>
    <row r="355" spans="1:12">
      <c r="A355" s="99" t="s">
        <v>5299</v>
      </c>
      <c r="B355" s="113">
        <v>-104894</v>
      </c>
      <c r="C355" s="99">
        <v>1</v>
      </c>
      <c r="D355" s="99">
        <f t="shared" si="25"/>
        <v>142</v>
      </c>
      <c r="E355" s="99">
        <f t="shared" si="26"/>
        <v>0</v>
      </c>
      <c r="F355" s="99">
        <f t="shared" si="27"/>
        <v>-14894948</v>
      </c>
      <c r="G355" s="99"/>
    </row>
    <row r="356" spans="1:12">
      <c r="A356" s="99" t="s">
        <v>5300</v>
      </c>
      <c r="B356" s="113">
        <v>-688700</v>
      </c>
      <c r="C356" s="99">
        <v>0</v>
      </c>
      <c r="D356" s="99">
        <f t="shared" si="25"/>
        <v>141</v>
      </c>
      <c r="E356" s="99">
        <f t="shared" si="26"/>
        <v>0</v>
      </c>
      <c r="F356" s="99">
        <f t="shared" si="27"/>
        <v>-97106700</v>
      </c>
      <c r="G356" s="99"/>
    </row>
    <row r="357" spans="1:12">
      <c r="A357" s="99" t="s">
        <v>5300</v>
      </c>
      <c r="B357" s="113">
        <v>-8321</v>
      </c>
      <c r="C357" s="99">
        <v>5</v>
      </c>
      <c r="D357" s="99">
        <f t="shared" si="25"/>
        <v>141</v>
      </c>
      <c r="E357" s="99">
        <f t="shared" si="26"/>
        <v>1</v>
      </c>
      <c r="F357" s="99">
        <f t="shared" si="27"/>
        <v>-1164940</v>
      </c>
      <c r="G357" s="99"/>
      <c r="J357" t="s">
        <v>25</v>
      </c>
    </row>
    <row r="358" spans="1:12">
      <c r="A358" s="99" t="s">
        <v>5310</v>
      </c>
      <c r="B358" s="113">
        <v>1000000</v>
      </c>
      <c r="C358" s="99">
        <v>0</v>
      </c>
      <c r="D358" s="99">
        <f t="shared" si="25"/>
        <v>136</v>
      </c>
      <c r="E358" s="99">
        <f t="shared" si="26"/>
        <v>0</v>
      </c>
      <c r="F358" s="99">
        <f t="shared" si="27"/>
        <v>136000000</v>
      </c>
      <c r="G358" s="99"/>
    </row>
    <row r="359" spans="1:12">
      <c r="A359" s="99" t="s">
        <v>5310</v>
      </c>
      <c r="B359" s="113">
        <v>-127644</v>
      </c>
      <c r="C359" s="99">
        <v>1</v>
      </c>
      <c r="D359" s="99">
        <f t="shared" si="25"/>
        <v>136</v>
      </c>
      <c r="E359" s="99">
        <f t="shared" si="26"/>
        <v>0</v>
      </c>
      <c r="F359" s="99">
        <f t="shared" si="27"/>
        <v>-17359584</v>
      </c>
      <c r="G359" s="99"/>
    </row>
    <row r="360" spans="1:12">
      <c r="A360" s="99" t="s">
        <v>5311</v>
      </c>
      <c r="B360" s="113">
        <v>-418000</v>
      </c>
      <c r="C360" s="99">
        <v>4</v>
      </c>
      <c r="D360" s="99">
        <f t="shared" si="25"/>
        <v>135</v>
      </c>
      <c r="E360" s="99">
        <f t="shared" si="26"/>
        <v>0</v>
      </c>
      <c r="F360" s="99">
        <f t="shared" si="27"/>
        <v>-56430000</v>
      </c>
      <c r="G360" s="99"/>
    </row>
    <row r="361" spans="1:12">
      <c r="A361" s="99" t="s">
        <v>5315</v>
      </c>
      <c r="B361" s="113">
        <v>-183136</v>
      </c>
      <c r="C361" s="99">
        <v>2</v>
      </c>
      <c r="D361" s="99">
        <f t="shared" si="25"/>
        <v>131</v>
      </c>
      <c r="E361" s="99">
        <f t="shared" si="26"/>
        <v>0</v>
      </c>
      <c r="F361" s="99">
        <f t="shared" si="27"/>
        <v>-23990816</v>
      </c>
      <c r="G361" s="99"/>
      <c r="L361" t="s">
        <v>25</v>
      </c>
    </row>
    <row r="362" spans="1:12">
      <c r="A362" s="99" t="s">
        <v>5344</v>
      </c>
      <c r="B362" s="113">
        <v>-18600</v>
      </c>
      <c r="C362" s="99">
        <v>2</v>
      </c>
      <c r="D362" s="99">
        <f t="shared" si="25"/>
        <v>129</v>
      </c>
      <c r="E362" s="99">
        <f t="shared" si="26"/>
        <v>0</v>
      </c>
      <c r="F362" s="99">
        <f t="shared" si="27"/>
        <v>-2399400</v>
      </c>
      <c r="G362" s="99"/>
    </row>
    <row r="363" spans="1:12">
      <c r="A363" s="99" t="s">
        <v>5326</v>
      </c>
      <c r="B363" s="113">
        <v>-90000</v>
      </c>
      <c r="C363" s="99">
        <v>1</v>
      </c>
      <c r="D363" s="99">
        <f t="shared" si="25"/>
        <v>127</v>
      </c>
      <c r="E363" s="99">
        <f t="shared" si="26"/>
        <v>0</v>
      </c>
      <c r="F363" s="99">
        <f t="shared" si="27"/>
        <v>-11430000</v>
      </c>
      <c r="G363" s="99"/>
    </row>
    <row r="364" spans="1:12">
      <c r="A364" s="99" t="s">
        <v>5327</v>
      </c>
      <c r="B364" s="113">
        <v>-18600</v>
      </c>
      <c r="C364" s="99">
        <v>1</v>
      </c>
      <c r="D364" s="99">
        <f t="shared" si="25"/>
        <v>126</v>
      </c>
      <c r="E364" s="99">
        <f t="shared" si="26"/>
        <v>0</v>
      </c>
      <c r="F364" s="99">
        <f t="shared" si="27"/>
        <v>-2343600</v>
      </c>
      <c r="G364" s="99"/>
    </row>
    <row r="365" spans="1:12">
      <c r="A365" s="99" t="s">
        <v>976</v>
      </c>
      <c r="B365" s="113">
        <v>-89760</v>
      </c>
      <c r="C365" s="99">
        <v>0</v>
      </c>
      <c r="D365" s="99">
        <f t="shared" si="25"/>
        <v>125</v>
      </c>
      <c r="E365" s="99">
        <f t="shared" si="26"/>
        <v>1</v>
      </c>
      <c r="F365" s="99">
        <f t="shared" si="27"/>
        <v>-11130240</v>
      </c>
      <c r="G365" s="99"/>
      <c r="K365" t="s">
        <v>25</v>
      </c>
    </row>
    <row r="366" spans="1:12">
      <c r="A366" s="99" t="s">
        <v>976</v>
      </c>
      <c r="B366" s="113">
        <v>1600000</v>
      </c>
      <c r="C366" s="99">
        <v>0</v>
      </c>
      <c r="D366" s="99">
        <f t="shared" ref="D366:D377" si="28">D367+C366</f>
        <v>125</v>
      </c>
      <c r="E366" s="99">
        <f t="shared" ref="E366:E377" si="29">IF(B367&gt;0,1,0)</f>
        <v>0</v>
      </c>
      <c r="F366" s="99">
        <f t="shared" ref="F366:F377" si="30">B366*(D366-E366)</f>
        <v>200000000</v>
      </c>
      <c r="G366" s="99"/>
    </row>
    <row r="367" spans="1:12">
      <c r="A367" s="99" t="s">
        <v>976</v>
      </c>
      <c r="B367" s="113">
        <v>-101003</v>
      </c>
      <c r="C367" s="99">
        <v>1</v>
      </c>
      <c r="D367" s="99">
        <f t="shared" si="28"/>
        <v>125</v>
      </c>
      <c r="E367" s="99">
        <f t="shared" si="29"/>
        <v>1</v>
      </c>
      <c r="F367" s="99">
        <f t="shared" si="30"/>
        <v>-12524372</v>
      </c>
      <c r="G367" s="99"/>
    </row>
    <row r="368" spans="1:12">
      <c r="A368" s="99" t="s">
        <v>5330</v>
      </c>
      <c r="B368" s="113">
        <v>3500000</v>
      </c>
      <c r="C368" s="99">
        <v>3</v>
      </c>
      <c r="D368" s="99">
        <f t="shared" si="28"/>
        <v>124</v>
      </c>
      <c r="E368" s="99">
        <f t="shared" si="29"/>
        <v>0</v>
      </c>
      <c r="F368" s="99">
        <f t="shared" si="30"/>
        <v>434000000</v>
      </c>
      <c r="G368" s="99"/>
    </row>
    <row r="369" spans="1:11">
      <c r="A369" s="99" t="s">
        <v>5333</v>
      </c>
      <c r="B369" s="113">
        <v>-93800</v>
      </c>
      <c r="C369" s="99">
        <v>1</v>
      </c>
      <c r="D369" s="99">
        <f t="shared" si="28"/>
        <v>121</v>
      </c>
      <c r="E369" s="99">
        <f t="shared" si="29"/>
        <v>0</v>
      </c>
      <c r="F369" s="99">
        <f t="shared" si="30"/>
        <v>-11349800</v>
      </c>
      <c r="G369" s="99"/>
    </row>
    <row r="370" spans="1:11">
      <c r="A370" s="99" t="s">
        <v>5335</v>
      </c>
      <c r="B370" s="113">
        <v>-815500</v>
      </c>
      <c r="C370" s="99">
        <v>1</v>
      </c>
      <c r="D370" s="99">
        <f t="shared" si="28"/>
        <v>120</v>
      </c>
      <c r="E370" s="99">
        <f t="shared" si="29"/>
        <v>0</v>
      </c>
      <c r="F370" s="99">
        <f t="shared" si="30"/>
        <v>-97860000</v>
      </c>
      <c r="G370" s="99"/>
    </row>
    <row r="371" spans="1:11">
      <c r="A371" s="99" t="s">
        <v>5338</v>
      </c>
      <c r="B371" s="113">
        <v>-2096840</v>
      </c>
      <c r="C371" s="99">
        <v>0</v>
      </c>
      <c r="D371" s="99">
        <f t="shared" si="28"/>
        <v>119</v>
      </c>
      <c r="E371" s="99">
        <f t="shared" si="29"/>
        <v>1</v>
      </c>
      <c r="F371" s="99">
        <f t="shared" si="30"/>
        <v>-247427120</v>
      </c>
      <c r="G371" s="99"/>
    </row>
    <row r="372" spans="1:11">
      <c r="A372" s="99" t="s">
        <v>5338</v>
      </c>
      <c r="B372" s="113">
        <v>533</v>
      </c>
      <c r="C372" s="99">
        <v>1</v>
      </c>
      <c r="D372" s="99">
        <f t="shared" si="28"/>
        <v>119</v>
      </c>
      <c r="E372" s="99">
        <f t="shared" si="29"/>
        <v>1</v>
      </c>
      <c r="F372" s="99">
        <f t="shared" si="30"/>
        <v>62894</v>
      </c>
      <c r="G372" s="99"/>
      <c r="J372" t="s">
        <v>25</v>
      </c>
    </row>
    <row r="373" spans="1:11">
      <c r="A373" s="99" t="s">
        <v>5341</v>
      </c>
      <c r="B373" s="113">
        <v>4100000</v>
      </c>
      <c r="C373" s="99">
        <v>1</v>
      </c>
      <c r="D373" s="99">
        <f t="shared" si="28"/>
        <v>118</v>
      </c>
      <c r="E373" s="99">
        <f t="shared" si="29"/>
        <v>0</v>
      </c>
      <c r="F373" s="99">
        <f t="shared" si="30"/>
        <v>483800000</v>
      </c>
      <c r="G373" s="99"/>
    </row>
    <row r="374" spans="1:11">
      <c r="A374" s="99" t="s">
        <v>5345</v>
      </c>
      <c r="B374" s="113">
        <v>-3642549</v>
      </c>
      <c r="C374" s="99">
        <v>3</v>
      </c>
      <c r="D374" s="99">
        <f t="shared" si="28"/>
        <v>117</v>
      </c>
      <c r="E374" s="99">
        <f t="shared" si="29"/>
        <v>0</v>
      </c>
      <c r="F374" s="99">
        <f t="shared" si="30"/>
        <v>-426178233</v>
      </c>
      <c r="G374" s="99"/>
    </row>
    <row r="375" spans="1:11">
      <c r="A375" s="99" t="s">
        <v>5356</v>
      </c>
      <c r="B375" s="113">
        <v>-317091</v>
      </c>
      <c r="C375" s="99">
        <v>1</v>
      </c>
      <c r="D375" s="99">
        <f t="shared" si="28"/>
        <v>114</v>
      </c>
      <c r="E375" s="99">
        <f t="shared" si="29"/>
        <v>0</v>
      </c>
      <c r="F375" s="99">
        <f t="shared" si="30"/>
        <v>-36148374</v>
      </c>
      <c r="G375" s="99"/>
    </row>
    <row r="376" spans="1:11">
      <c r="A376" s="99" t="s">
        <v>5348</v>
      </c>
      <c r="B376" s="113">
        <v>-1600000</v>
      </c>
      <c r="C376" s="99">
        <v>1</v>
      </c>
      <c r="D376" s="99">
        <f t="shared" si="28"/>
        <v>113</v>
      </c>
      <c r="E376" s="99">
        <f t="shared" si="29"/>
        <v>0</v>
      </c>
      <c r="F376" s="99">
        <f t="shared" si="30"/>
        <v>-180800000</v>
      </c>
      <c r="G376" s="99"/>
    </row>
    <row r="377" spans="1:11">
      <c r="A377" s="99" t="s">
        <v>5351</v>
      </c>
      <c r="B377" s="113">
        <v>-148200</v>
      </c>
      <c r="C377" s="99">
        <v>1</v>
      </c>
      <c r="D377" s="99">
        <f t="shared" si="28"/>
        <v>112</v>
      </c>
      <c r="E377" s="99">
        <f t="shared" si="29"/>
        <v>0</v>
      </c>
      <c r="F377" s="99">
        <f t="shared" si="30"/>
        <v>-16598400</v>
      </c>
      <c r="G377" s="99"/>
    </row>
    <row r="378" spans="1:11">
      <c r="A378" s="99" t="s">
        <v>995</v>
      </c>
      <c r="B378" s="113">
        <v>-472401</v>
      </c>
      <c r="C378" s="99">
        <v>22</v>
      </c>
      <c r="D378" s="99">
        <f t="shared" ref="D378:D420" si="31">D379+C378</f>
        <v>111</v>
      </c>
      <c r="E378" s="99">
        <f t="shared" ref="E378:E420" si="32">IF(B379&gt;0,1,0)</f>
        <v>1</v>
      </c>
      <c r="F378" s="99">
        <f t="shared" ref="F378:F420" si="33">B378*(D378-E378)</f>
        <v>-51964110</v>
      </c>
      <c r="G378" s="99"/>
      <c r="K378" t="s">
        <v>25</v>
      </c>
    </row>
    <row r="379" spans="1:11">
      <c r="A379" s="99" t="s">
        <v>5430</v>
      </c>
      <c r="B379" s="113">
        <v>10000000</v>
      </c>
      <c r="C379" s="99">
        <v>0</v>
      </c>
      <c r="D379" s="99">
        <f t="shared" si="31"/>
        <v>89</v>
      </c>
      <c r="E379" s="99">
        <f t="shared" si="32"/>
        <v>0</v>
      </c>
      <c r="F379" s="99">
        <f t="shared" si="33"/>
        <v>890000000</v>
      </c>
      <c r="G379" s="99"/>
    </row>
    <row r="380" spans="1:11">
      <c r="A380" s="99" t="s">
        <v>5430</v>
      </c>
      <c r="B380" s="113">
        <v>-3000000</v>
      </c>
      <c r="C380" s="99">
        <v>0</v>
      </c>
      <c r="D380" s="99">
        <f t="shared" si="31"/>
        <v>89</v>
      </c>
      <c r="E380" s="99">
        <f t="shared" si="32"/>
        <v>0</v>
      </c>
      <c r="F380" s="99">
        <f t="shared" si="33"/>
        <v>-267000000</v>
      </c>
      <c r="G380" s="99"/>
    </row>
    <row r="381" spans="1:11">
      <c r="A381" s="99" t="s">
        <v>5430</v>
      </c>
      <c r="B381" s="113">
        <v>-3971300</v>
      </c>
      <c r="C381" s="99">
        <v>7</v>
      </c>
      <c r="D381" s="99">
        <f t="shared" si="31"/>
        <v>89</v>
      </c>
      <c r="E381" s="99">
        <f t="shared" si="32"/>
        <v>0</v>
      </c>
      <c r="F381" s="99">
        <f t="shared" si="33"/>
        <v>-353445700</v>
      </c>
      <c r="G381" s="99"/>
    </row>
    <row r="382" spans="1:11">
      <c r="A382" s="99" t="s">
        <v>5451</v>
      </c>
      <c r="B382" s="113">
        <v>-2472422</v>
      </c>
      <c r="C382" s="99">
        <v>2</v>
      </c>
      <c r="D382" s="99">
        <f t="shared" si="31"/>
        <v>82</v>
      </c>
      <c r="E382" s="99">
        <f t="shared" si="32"/>
        <v>0</v>
      </c>
      <c r="F382" s="99">
        <f t="shared" si="33"/>
        <v>-202738604</v>
      </c>
      <c r="G382" s="99"/>
    </row>
    <row r="383" spans="1:11">
      <c r="A383" s="99" t="s">
        <v>5479</v>
      </c>
      <c r="B383" s="113">
        <v>-345000</v>
      </c>
      <c r="C383" s="99">
        <v>1</v>
      </c>
      <c r="D383" s="99">
        <f t="shared" si="31"/>
        <v>80</v>
      </c>
      <c r="E383" s="99">
        <f t="shared" si="32"/>
        <v>0</v>
      </c>
      <c r="F383" s="99">
        <f t="shared" si="33"/>
        <v>-27600000</v>
      </c>
      <c r="G383" s="99"/>
    </row>
    <row r="384" spans="1:11">
      <c r="A384" s="99" t="s">
        <v>5480</v>
      </c>
      <c r="B384" s="113">
        <v>-200000</v>
      </c>
      <c r="C384" s="99">
        <v>10</v>
      </c>
      <c r="D384" s="99">
        <f t="shared" si="31"/>
        <v>79</v>
      </c>
      <c r="E384" s="99">
        <f t="shared" si="32"/>
        <v>1</v>
      </c>
      <c r="F384" s="99">
        <f t="shared" si="33"/>
        <v>-15600000</v>
      </c>
      <c r="G384" s="99"/>
    </row>
    <row r="385" spans="1:10">
      <c r="A385" s="99" t="s">
        <v>5475</v>
      </c>
      <c r="B385" s="113">
        <v>800000</v>
      </c>
      <c r="C385" s="99">
        <v>0</v>
      </c>
      <c r="D385" s="99">
        <f t="shared" si="31"/>
        <v>69</v>
      </c>
      <c r="E385" s="99">
        <f t="shared" si="32"/>
        <v>0</v>
      </c>
      <c r="F385" s="99">
        <f t="shared" si="33"/>
        <v>55200000</v>
      </c>
      <c r="G385" s="99"/>
    </row>
    <row r="386" spans="1:10">
      <c r="A386" s="99" t="s">
        <v>5475</v>
      </c>
      <c r="B386" s="113">
        <v>-116941</v>
      </c>
      <c r="C386" s="99">
        <v>1</v>
      </c>
      <c r="D386" s="99">
        <f t="shared" si="31"/>
        <v>69</v>
      </c>
      <c r="E386" s="99">
        <f t="shared" si="32"/>
        <v>0</v>
      </c>
      <c r="F386" s="99">
        <f t="shared" si="33"/>
        <v>-8068929</v>
      </c>
      <c r="G386" s="99"/>
    </row>
    <row r="387" spans="1:10">
      <c r="A387" s="99" t="s">
        <v>999</v>
      </c>
      <c r="B387" s="113">
        <v>-400000</v>
      </c>
      <c r="C387" s="99">
        <v>0</v>
      </c>
      <c r="D387" s="99">
        <f t="shared" si="31"/>
        <v>68</v>
      </c>
      <c r="E387" s="99">
        <f t="shared" si="32"/>
        <v>1</v>
      </c>
      <c r="F387" s="99">
        <f t="shared" si="33"/>
        <v>-26800000</v>
      </c>
      <c r="G387" s="99"/>
    </row>
    <row r="388" spans="1:10">
      <c r="A388" s="99" t="s">
        <v>999</v>
      </c>
      <c r="B388" s="113">
        <v>12000000</v>
      </c>
      <c r="C388" s="99">
        <v>1</v>
      </c>
      <c r="D388" s="99">
        <f t="shared" si="31"/>
        <v>68</v>
      </c>
      <c r="E388" s="99">
        <f t="shared" si="32"/>
        <v>1</v>
      </c>
      <c r="F388" s="99">
        <f t="shared" si="33"/>
        <v>804000000</v>
      </c>
      <c r="G388" s="99"/>
    </row>
    <row r="389" spans="1:10">
      <c r="A389" s="99" t="s">
        <v>5481</v>
      </c>
      <c r="B389" s="113">
        <v>8000000</v>
      </c>
      <c r="C389" s="99">
        <v>1</v>
      </c>
      <c r="D389" s="99">
        <f t="shared" si="31"/>
        <v>67</v>
      </c>
      <c r="E389" s="99">
        <f t="shared" si="32"/>
        <v>0</v>
      </c>
      <c r="F389" s="99">
        <f t="shared" si="33"/>
        <v>536000000</v>
      </c>
      <c r="G389" s="99"/>
    </row>
    <row r="390" spans="1:10">
      <c r="A390" s="99" t="s">
        <v>5482</v>
      </c>
      <c r="B390" s="113">
        <v>-10000</v>
      </c>
      <c r="C390" s="99">
        <v>1</v>
      </c>
      <c r="D390" s="99">
        <f t="shared" si="31"/>
        <v>66</v>
      </c>
      <c r="E390" s="99">
        <f t="shared" si="32"/>
        <v>0</v>
      </c>
      <c r="F390" s="99">
        <f t="shared" si="33"/>
        <v>-660000</v>
      </c>
      <c r="G390" s="99"/>
    </row>
    <row r="391" spans="1:10">
      <c r="A391" s="99" t="s">
        <v>5483</v>
      </c>
      <c r="B391" s="113">
        <v>-88000</v>
      </c>
      <c r="C391" s="99">
        <v>1</v>
      </c>
      <c r="D391" s="99">
        <f t="shared" si="31"/>
        <v>65</v>
      </c>
      <c r="E391" s="99">
        <f t="shared" si="32"/>
        <v>0</v>
      </c>
      <c r="F391" s="99">
        <f t="shared" si="33"/>
        <v>-5720000</v>
      </c>
      <c r="G391" s="99"/>
    </row>
    <row r="392" spans="1:10">
      <c r="A392" s="99" t="s">
        <v>5484</v>
      </c>
      <c r="B392" s="113">
        <v>-297675</v>
      </c>
      <c r="C392" s="99">
        <v>3</v>
      </c>
      <c r="D392" s="99">
        <f t="shared" si="31"/>
        <v>64</v>
      </c>
      <c r="E392" s="99">
        <f t="shared" si="32"/>
        <v>0</v>
      </c>
      <c r="F392" s="99">
        <f t="shared" si="33"/>
        <v>-19051200</v>
      </c>
      <c r="G392" s="99"/>
    </row>
    <row r="393" spans="1:10">
      <c r="A393" s="99" t="s">
        <v>5476</v>
      </c>
      <c r="B393" s="113">
        <v>-10114121</v>
      </c>
      <c r="C393" s="99">
        <v>1</v>
      </c>
      <c r="D393" s="99">
        <f t="shared" si="31"/>
        <v>61</v>
      </c>
      <c r="E393" s="99">
        <f t="shared" si="32"/>
        <v>0</v>
      </c>
      <c r="F393" s="99">
        <f t="shared" si="33"/>
        <v>-616961381</v>
      </c>
      <c r="G393" s="99"/>
    </row>
    <row r="394" spans="1:10">
      <c r="A394" s="99" t="s">
        <v>5477</v>
      </c>
      <c r="B394" s="113">
        <v>-9000000</v>
      </c>
      <c r="C394" s="99">
        <v>1</v>
      </c>
      <c r="D394" s="99">
        <f t="shared" si="31"/>
        <v>60</v>
      </c>
      <c r="E394" s="99">
        <f t="shared" si="32"/>
        <v>0</v>
      </c>
      <c r="F394" s="99">
        <f t="shared" si="33"/>
        <v>-540000000</v>
      </c>
      <c r="G394" s="99"/>
      <c r="J394" s="114">
        <f>B422-743653+21500</f>
        <v>-621927</v>
      </c>
    </row>
    <row r="395" spans="1:10">
      <c r="A395" s="99" t="s">
        <v>5485</v>
      </c>
      <c r="B395" s="113">
        <v>-83930</v>
      </c>
      <c r="C395" s="99">
        <v>1</v>
      </c>
      <c r="D395" s="99">
        <f t="shared" si="31"/>
        <v>59</v>
      </c>
      <c r="E395" s="99">
        <f t="shared" si="32"/>
        <v>0</v>
      </c>
      <c r="F395" s="99">
        <f t="shared" si="33"/>
        <v>-4951870</v>
      </c>
      <c r="G395" s="99"/>
    </row>
    <row r="396" spans="1:10">
      <c r="A396" s="99" t="s">
        <v>5486</v>
      </c>
      <c r="B396" s="113">
        <v>-19520</v>
      </c>
      <c r="C396" s="99">
        <v>0</v>
      </c>
      <c r="D396" s="99">
        <f t="shared" si="31"/>
        <v>58</v>
      </c>
      <c r="E396" s="99">
        <f t="shared" si="32"/>
        <v>0</v>
      </c>
      <c r="F396" s="99">
        <f t="shared" si="33"/>
        <v>-1132160</v>
      </c>
      <c r="G396" s="99"/>
    </row>
    <row r="397" spans="1:10">
      <c r="A397" s="99" t="s">
        <v>5486</v>
      </c>
      <c r="B397" s="113">
        <v>-676034</v>
      </c>
      <c r="C397" s="99">
        <v>27</v>
      </c>
      <c r="D397" s="99">
        <f t="shared" si="31"/>
        <v>58</v>
      </c>
      <c r="E397" s="99">
        <f t="shared" si="32"/>
        <v>1</v>
      </c>
      <c r="F397" s="99">
        <f t="shared" si="33"/>
        <v>-38533938</v>
      </c>
      <c r="G397" s="99"/>
    </row>
    <row r="398" spans="1:10">
      <c r="A398" s="99" t="s">
        <v>5534</v>
      </c>
      <c r="B398" s="113">
        <v>2200000</v>
      </c>
      <c r="C398" s="99">
        <v>2</v>
      </c>
      <c r="D398" s="99">
        <f t="shared" si="31"/>
        <v>31</v>
      </c>
      <c r="E398" s="99">
        <f t="shared" si="32"/>
        <v>0</v>
      </c>
      <c r="F398" s="99">
        <f t="shared" si="33"/>
        <v>68200000</v>
      </c>
      <c r="G398" s="99"/>
    </row>
    <row r="399" spans="1:10">
      <c r="A399" s="99" t="s">
        <v>5540</v>
      </c>
      <c r="B399" s="113">
        <v>-2000000</v>
      </c>
      <c r="C399" s="99">
        <v>1</v>
      </c>
      <c r="D399" s="99">
        <f t="shared" si="31"/>
        <v>29</v>
      </c>
      <c r="E399" s="99">
        <f t="shared" si="32"/>
        <v>0</v>
      </c>
      <c r="F399" s="99">
        <f t="shared" si="33"/>
        <v>-58000000</v>
      </c>
      <c r="G399" s="99"/>
    </row>
    <row r="400" spans="1:10">
      <c r="A400" s="99" t="s">
        <v>5542</v>
      </c>
      <c r="B400" s="113">
        <v>-28400</v>
      </c>
      <c r="C400" s="99">
        <v>1</v>
      </c>
      <c r="D400" s="99">
        <f t="shared" si="31"/>
        <v>28</v>
      </c>
      <c r="E400" s="99">
        <f t="shared" si="32"/>
        <v>0</v>
      </c>
      <c r="F400" s="99">
        <f t="shared" si="33"/>
        <v>-795200</v>
      </c>
      <c r="G400" s="99"/>
    </row>
    <row r="401" spans="1:15">
      <c r="A401" s="99" t="s">
        <v>5544</v>
      </c>
      <c r="B401" s="113">
        <v>-126475</v>
      </c>
      <c r="C401" s="99">
        <v>1</v>
      </c>
      <c r="D401" s="99">
        <f t="shared" si="31"/>
        <v>27</v>
      </c>
      <c r="E401" s="99">
        <f t="shared" si="32"/>
        <v>0</v>
      </c>
      <c r="F401" s="99">
        <f t="shared" si="33"/>
        <v>-3414825</v>
      </c>
      <c r="G401" s="99"/>
    </row>
    <row r="402" spans="1:15">
      <c r="A402" s="99" t="s">
        <v>5543</v>
      </c>
      <c r="B402" s="113">
        <v>-32807</v>
      </c>
      <c r="C402" s="99">
        <v>4</v>
      </c>
      <c r="D402" s="99">
        <f t="shared" si="31"/>
        <v>26</v>
      </c>
      <c r="E402" s="99">
        <f t="shared" si="32"/>
        <v>0</v>
      </c>
      <c r="F402" s="99">
        <f t="shared" si="33"/>
        <v>-852982</v>
      </c>
      <c r="G402" s="99"/>
    </row>
    <row r="403" spans="1:15">
      <c r="A403" s="99" t="s">
        <v>5548</v>
      </c>
      <c r="B403" s="113">
        <v>-11700</v>
      </c>
      <c r="C403" s="99">
        <v>7</v>
      </c>
      <c r="D403" s="99">
        <f t="shared" si="31"/>
        <v>22</v>
      </c>
      <c r="E403" s="99">
        <f t="shared" si="32"/>
        <v>1</v>
      </c>
      <c r="F403" s="99">
        <f t="shared" si="33"/>
        <v>-245700</v>
      </c>
      <c r="G403" s="99"/>
    </row>
    <row r="404" spans="1:15">
      <c r="A404" s="99" t="s">
        <v>5566</v>
      </c>
      <c r="B404" s="113">
        <v>5032773</v>
      </c>
      <c r="C404" s="99">
        <v>0</v>
      </c>
      <c r="D404" s="99">
        <f t="shared" si="31"/>
        <v>15</v>
      </c>
      <c r="E404" s="99">
        <f t="shared" si="32"/>
        <v>0</v>
      </c>
      <c r="F404" s="99">
        <f t="shared" si="33"/>
        <v>75491595</v>
      </c>
      <c r="G404" s="99"/>
    </row>
    <row r="405" spans="1:15">
      <c r="A405" s="99" t="s">
        <v>5566</v>
      </c>
      <c r="B405" s="113">
        <v>-5000000</v>
      </c>
      <c r="C405" s="99">
        <v>13</v>
      </c>
      <c r="D405" s="99">
        <f t="shared" si="31"/>
        <v>15</v>
      </c>
      <c r="E405" s="99">
        <f t="shared" si="32"/>
        <v>1</v>
      </c>
      <c r="F405" s="99">
        <f t="shared" si="33"/>
        <v>-70000000</v>
      </c>
      <c r="G405" s="99"/>
    </row>
    <row r="406" spans="1:15">
      <c r="A406" s="99" t="s">
        <v>5616</v>
      </c>
      <c r="B406" s="113">
        <v>1200000</v>
      </c>
      <c r="C406" s="99">
        <v>1</v>
      </c>
      <c r="D406" s="99">
        <f t="shared" si="31"/>
        <v>2</v>
      </c>
      <c r="E406" s="99">
        <f t="shared" si="32"/>
        <v>0</v>
      </c>
      <c r="F406" s="99">
        <f t="shared" si="33"/>
        <v>2400000</v>
      </c>
      <c r="G406" s="99"/>
    </row>
    <row r="407" spans="1:15">
      <c r="A407" s="99" t="s">
        <v>5589</v>
      </c>
      <c r="B407" s="113">
        <v>-1200000</v>
      </c>
      <c r="C407" s="99">
        <v>0</v>
      </c>
      <c r="D407" s="99">
        <f t="shared" si="31"/>
        <v>1</v>
      </c>
      <c r="E407" s="99">
        <f t="shared" si="32"/>
        <v>0</v>
      </c>
      <c r="F407" s="99">
        <f t="shared" si="33"/>
        <v>-1200000</v>
      </c>
      <c r="G407" s="99"/>
      <c r="O407" t="s">
        <v>25</v>
      </c>
    </row>
    <row r="408" spans="1:15">
      <c r="A408" s="99" t="s">
        <v>5589</v>
      </c>
      <c r="B408" s="113">
        <v>-784</v>
      </c>
      <c r="C408" s="99">
        <v>1</v>
      </c>
      <c r="D408" s="99">
        <f t="shared" si="31"/>
        <v>1</v>
      </c>
      <c r="E408" s="99">
        <f t="shared" si="32"/>
        <v>0</v>
      </c>
      <c r="F408" s="99">
        <f t="shared" si="33"/>
        <v>-784</v>
      </c>
      <c r="G408" s="99" t="s">
        <v>5617</v>
      </c>
    </row>
    <row r="409" spans="1:15">
      <c r="A409" s="99"/>
      <c r="B409" s="113"/>
      <c r="C409" s="99"/>
      <c r="D409" s="99">
        <f t="shared" si="31"/>
        <v>0</v>
      </c>
      <c r="E409" s="99">
        <f t="shared" si="32"/>
        <v>0</v>
      </c>
      <c r="F409" s="99">
        <f t="shared" si="33"/>
        <v>0</v>
      </c>
      <c r="G409" s="99"/>
    </row>
    <row r="410" spans="1:15">
      <c r="A410" s="99"/>
      <c r="B410" s="113"/>
      <c r="C410" s="99"/>
      <c r="D410" s="99">
        <f t="shared" si="31"/>
        <v>0</v>
      </c>
      <c r="E410" s="99">
        <f t="shared" si="32"/>
        <v>0</v>
      </c>
      <c r="F410" s="99">
        <f t="shared" si="33"/>
        <v>0</v>
      </c>
      <c r="G410" s="99"/>
    </row>
    <row r="411" spans="1:15">
      <c r="A411" s="99"/>
      <c r="B411" s="113"/>
      <c r="C411" s="99"/>
      <c r="D411" s="99">
        <f t="shared" si="31"/>
        <v>0</v>
      </c>
      <c r="E411" s="99">
        <f t="shared" si="32"/>
        <v>0</v>
      </c>
      <c r="F411" s="99">
        <f t="shared" si="33"/>
        <v>0</v>
      </c>
      <c r="G411" s="99"/>
    </row>
    <row r="412" spans="1:15">
      <c r="A412" s="99"/>
      <c r="B412" s="113"/>
      <c r="C412" s="99"/>
      <c r="D412" s="99">
        <f t="shared" si="31"/>
        <v>0</v>
      </c>
      <c r="E412" s="99">
        <f t="shared" si="32"/>
        <v>0</v>
      </c>
      <c r="F412" s="99">
        <f t="shared" si="33"/>
        <v>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100226</v>
      </c>
      <c r="C422" s="11"/>
      <c r="D422" s="11"/>
      <c r="E422" s="11"/>
      <c r="F422" s="29">
        <f>SUM(F2:F420)</f>
        <v>19231615770</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13235798.878183069</v>
      </c>
      <c r="G425" s="11"/>
    </row>
    <row r="426" spans="1:7">
      <c r="A426" s="11"/>
      <c r="B426" s="11"/>
      <c r="C426" s="11"/>
      <c r="D426" s="11"/>
      <c r="E426" s="11"/>
      <c r="F426" s="11" t="s">
        <v>286</v>
      </c>
      <c r="G426" s="11"/>
    </row>
    <row r="428" spans="1:7">
      <c r="B428" s="114">
        <f>B422-100226</f>
        <v>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5080</v>
      </c>
      <c r="L33" t="s">
        <v>5081</v>
      </c>
      <c r="M33" t="s">
        <v>5082</v>
      </c>
      <c r="N33" t="s">
        <v>5083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5085</v>
      </c>
      <c r="M34" t="s">
        <v>5086</v>
      </c>
      <c r="N34" t="s">
        <v>5084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26"/>
  <sheetViews>
    <sheetView tabSelected="1" topLeftCell="D163" zoomScale="85" zoomScaleNormal="85" workbookViewId="0">
      <selection activeCell="Q146" sqref="Q14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5073</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100226</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4077</v>
      </c>
      <c r="O20" s="99" t="s">
        <v>934</v>
      </c>
      <c r="P20" s="99" t="s">
        <v>3925</v>
      </c>
      <c r="Q20" s="169">
        <v>9268987</v>
      </c>
      <c r="R20" s="168" t="s">
        <v>4166</v>
      </c>
      <c r="S20" s="191">
        <f>S91</f>
        <v>626</v>
      </c>
      <c r="T20" s="168" t="s">
        <v>4298</v>
      </c>
      <c r="U20" s="168">
        <v>192.1</v>
      </c>
      <c r="V20" s="168">
        <f t="shared" ref="V20:V54" si="6">U20*(1+$R$87+$Q$15*S20/36500)</f>
        <v>287.27002410958909</v>
      </c>
      <c r="W20" s="32">
        <f t="shared" ref="W20:W26" si="7">V20*(1+$W$19/100)</f>
        <v>293.01542459178086</v>
      </c>
      <c r="X20" s="32">
        <f t="shared" ref="X20:X26" si="8">V20*(1+$X$19/100)</f>
        <v>298.76082507397268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-N34</f>
        <v>4192266696.8241496</v>
      </c>
      <c r="M21" s="168" t="s">
        <v>4290</v>
      </c>
      <c r="N21" s="113">
        <f>O21*P21</f>
        <v>1710487790</v>
      </c>
      <c r="O21" s="99">
        <v>1309715</v>
      </c>
      <c r="P21" s="185">
        <f>P52</f>
        <v>1306</v>
      </c>
      <c r="Q21" s="169">
        <v>1353959</v>
      </c>
      <c r="R21" s="168" t="s">
        <v>4415</v>
      </c>
      <c r="S21" s="198">
        <f>S20-59</f>
        <v>567</v>
      </c>
      <c r="T21" s="19" t="s">
        <v>4453</v>
      </c>
      <c r="U21" s="168">
        <v>192.2</v>
      </c>
      <c r="V21" s="168">
        <f t="shared" si="6"/>
        <v>278.72054136986299</v>
      </c>
      <c r="W21" s="32">
        <f t="shared" si="7"/>
        <v>284.29495219726027</v>
      </c>
      <c r="X21" s="32">
        <f t="shared" si="8"/>
        <v>289.8693630246575</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5632</v>
      </c>
      <c r="N22" s="113">
        <f>O22*P22</f>
        <v>553641</v>
      </c>
      <c r="O22" s="99">
        <v>57</v>
      </c>
      <c r="P22" s="185">
        <f>P46</f>
        <v>9713</v>
      </c>
      <c r="Q22" s="169">
        <v>1614398</v>
      </c>
      <c r="R22" s="168" t="s">
        <v>4421</v>
      </c>
      <c r="S22" s="168">
        <f>S21-3</f>
        <v>564</v>
      </c>
      <c r="T22" s="19" t="s">
        <v>4486</v>
      </c>
      <c r="U22" s="168">
        <v>184.6</v>
      </c>
      <c r="V22" s="168">
        <f t="shared" si="6"/>
        <v>267.2745008219178</v>
      </c>
      <c r="W22" s="32">
        <f t="shared" si="7"/>
        <v>272.61999083835616</v>
      </c>
      <c r="X22" s="32">
        <f t="shared" si="8"/>
        <v>277.96548085479452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698798340</v>
      </c>
      <c r="O23" s="99">
        <v>41985</v>
      </c>
      <c r="P23" s="185">
        <f>P48</f>
        <v>16644</v>
      </c>
      <c r="Q23" s="169">
        <v>133576</v>
      </c>
      <c r="R23" s="168" t="s">
        <v>4493</v>
      </c>
      <c r="S23" s="197">
        <f>S22-22</f>
        <v>542</v>
      </c>
      <c r="T23" s="168" t="s">
        <v>4494</v>
      </c>
      <c r="U23" s="168">
        <v>166.2</v>
      </c>
      <c r="V23" s="168">
        <f t="shared" si="6"/>
        <v>237.82901260273974</v>
      </c>
      <c r="W23" s="32">
        <f t="shared" si="7"/>
        <v>242.58559285479453</v>
      </c>
      <c r="X23" s="32">
        <f t="shared" si="8"/>
        <v>247.34217310684934</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4438459367.8241501</v>
      </c>
      <c r="G24" s="95">
        <f t="shared" si="0"/>
        <v>-4158153022.4422116</v>
      </c>
      <c r="H24" s="11"/>
      <c r="I24" s="96"/>
      <c r="J24" s="96"/>
      <c r="K24" s="213"/>
      <c r="L24" s="117"/>
      <c r="M24" s="213" t="s">
        <v>5594</v>
      </c>
      <c r="N24" s="113">
        <f>O24*P24</f>
        <v>2000000</v>
      </c>
      <c r="O24" s="99">
        <v>200</v>
      </c>
      <c r="P24" s="185">
        <f>P51</f>
        <v>10000</v>
      </c>
      <c r="Q24" s="169">
        <v>220803</v>
      </c>
      <c r="R24" s="168" t="s">
        <v>4221</v>
      </c>
      <c r="S24" s="197">
        <f>S23-1</f>
        <v>541</v>
      </c>
      <c r="T24" s="168" t="s">
        <v>4500</v>
      </c>
      <c r="U24" s="168">
        <v>166</v>
      </c>
      <c r="V24" s="168">
        <f t="shared" si="6"/>
        <v>237.41547397260274</v>
      </c>
      <c r="W24" s="32">
        <f t="shared" si="7"/>
        <v>242.16378345205479</v>
      </c>
      <c r="X24" s="32">
        <f t="shared" si="8"/>
        <v>246.91209293150686</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4378</v>
      </c>
      <c r="N25" s="113">
        <f>O25*P25</f>
        <v>532780</v>
      </c>
      <c r="O25" s="99">
        <v>34</v>
      </c>
      <c r="P25" s="185">
        <f>P47</f>
        <v>15670</v>
      </c>
      <c r="Q25" s="169">
        <v>1023940</v>
      </c>
      <c r="R25" s="168" t="s">
        <v>4501</v>
      </c>
      <c r="S25" s="197">
        <f>S24-2</f>
        <v>539</v>
      </c>
      <c r="T25" s="168" t="s">
        <v>4507</v>
      </c>
      <c r="U25" s="168">
        <v>160.19999999999999</v>
      </c>
      <c r="V25" s="168">
        <f t="shared" si="6"/>
        <v>228.87444821917811</v>
      </c>
      <c r="W25" s="32">
        <f t="shared" si="7"/>
        <v>233.45193718356168</v>
      </c>
      <c r="X25" s="32">
        <f t="shared" si="8"/>
        <v>238.02942614794523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4451</v>
      </c>
      <c r="L26" s="117">
        <f>-'فروردین 98'!D140</f>
        <v>-25122516</v>
      </c>
      <c r="M26" s="168"/>
      <c r="N26" s="113"/>
      <c r="O26" s="69"/>
      <c r="P26" s="99"/>
      <c r="Q26" s="169">
        <v>168846</v>
      </c>
      <c r="R26" s="168" t="s">
        <v>3687</v>
      </c>
      <c r="S26" s="197">
        <f>S25-28</f>
        <v>511</v>
      </c>
      <c r="T26" s="168" t="s">
        <v>4592</v>
      </c>
      <c r="U26" s="168">
        <v>172.2</v>
      </c>
      <c r="V26" s="168">
        <f t="shared" si="6"/>
        <v>242.31984</v>
      </c>
      <c r="W26" s="32">
        <f t="shared" si="7"/>
        <v>247.16623680000001</v>
      </c>
      <c r="X26" s="32">
        <f t="shared" si="8"/>
        <v>252.01263360000002</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4443</v>
      </c>
      <c r="N27" s="113">
        <v>22500</v>
      </c>
      <c r="O27" s="270"/>
      <c r="P27" s="99" t="s">
        <v>25</v>
      </c>
      <c r="Q27" s="169">
        <v>1563192</v>
      </c>
      <c r="R27" s="213" t="s">
        <v>4691</v>
      </c>
      <c r="S27" s="197">
        <f>S26-33</f>
        <v>478</v>
      </c>
      <c r="T27" s="213" t="s">
        <v>4692</v>
      </c>
      <c r="U27" s="213">
        <v>168.8</v>
      </c>
      <c r="V27" s="213">
        <f t="shared" si="6"/>
        <v>233.26217643835619</v>
      </c>
      <c r="W27" s="32">
        <f t="shared" ref="W27:W32" si="12">V27*(1+$W$19/100)</f>
        <v>237.92741996712331</v>
      </c>
      <c r="X27" s="32">
        <f t="shared" ref="X27:X32" si="13">V27*(1+$X$19/100)</f>
        <v>242.59266349589043</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4382</v>
      </c>
      <c r="N28" s="113">
        <f>O28*P28</f>
        <v>27429312</v>
      </c>
      <c r="O28" s="69">
        <v>1648</v>
      </c>
      <c r="P28" s="99">
        <f>P48</f>
        <v>16644</v>
      </c>
      <c r="Q28" s="169">
        <v>1204691</v>
      </c>
      <c r="R28" s="213" t="s">
        <v>4912</v>
      </c>
      <c r="S28" s="197">
        <f>S27-76</f>
        <v>402</v>
      </c>
      <c r="T28" s="213" t="s">
        <v>4913</v>
      </c>
      <c r="U28" s="213">
        <v>218.5</v>
      </c>
      <c r="V28" s="213">
        <f t="shared" si="6"/>
        <v>289.20300821917806</v>
      </c>
      <c r="W28" s="32">
        <f t="shared" si="12"/>
        <v>294.98706838356162</v>
      </c>
      <c r="X28" s="32">
        <f t="shared" si="13"/>
        <v>300.77112854794518</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5632</v>
      </c>
      <c r="N29" s="113">
        <f>O29*P29</f>
        <v>563354</v>
      </c>
      <c r="O29" s="69">
        <v>58</v>
      </c>
      <c r="P29" s="99">
        <f>P46</f>
        <v>9713</v>
      </c>
      <c r="Q29" s="169">
        <v>15011877</v>
      </c>
      <c r="R29" s="213" t="s">
        <v>4916</v>
      </c>
      <c r="S29" s="197">
        <f>S28-3</f>
        <v>399</v>
      </c>
      <c r="T29" s="213" t="s">
        <v>4920</v>
      </c>
      <c r="U29" s="213">
        <v>197.1</v>
      </c>
      <c r="V29" s="213">
        <f t="shared" si="6"/>
        <v>260.42471999999998</v>
      </c>
      <c r="W29" s="32">
        <f t="shared" si="12"/>
        <v>265.63321439999999</v>
      </c>
      <c r="X29" s="32">
        <f t="shared" si="13"/>
        <v>270.84170879999999</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5594</v>
      </c>
      <c r="N30" s="113">
        <f>O30*P30</f>
        <v>1990000</v>
      </c>
      <c r="O30" s="69">
        <v>199</v>
      </c>
      <c r="P30" s="99">
        <f>P51</f>
        <v>10000</v>
      </c>
      <c r="Q30" s="169">
        <v>12803120</v>
      </c>
      <c r="R30" s="213" t="s">
        <v>4929</v>
      </c>
      <c r="S30" s="197">
        <f>S29-5</f>
        <v>394</v>
      </c>
      <c r="T30" s="213" t="s">
        <v>4931</v>
      </c>
      <c r="U30" s="213">
        <v>194.4</v>
      </c>
      <c r="V30" s="213">
        <f t="shared" si="6"/>
        <v>256.11161424657536</v>
      </c>
      <c r="W30" s="32">
        <f t="shared" si="12"/>
        <v>261.23384653150686</v>
      </c>
      <c r="X30" s="32">
        <f t="shared" si="13"/>
        <v>266.35607881643836</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4422</v>
      </c>
      <c r="N31" s="113">
        <f>O31*P31</f>
        <v>236798696</v>
      </c>
      <c r="O31" s="69">
        <v>181316</v>
      </c>
      <c r="P31" s="99">
        <f>P52</f>
        <v>1306</v>
      </c>
      <c r="Q31" s="169">
        <v>100562</v>
      </c>
      <c r="R31" s="213" t="s">
        <v>4937</v>
      </c>
      <c r="S31" s="197">
        <f>S30-6</f>
        <v>388</v>
      </c>
      <c r="T31" s="213" t="s">
        <v>4938</v>
      </c>
      <c r="U31" s="213">
        <v>190.3</v>
      </c>
      <c r="V31" s="213">
        <f t="shared" si="6"/>
        <v>249.83418191780825</v>
      </c>
      <c r="W31" s="32">
        <f t="shared" si="12"/>
        <v>254.83086555616441</v>
      </c>
      <c r="X31" s="32">
        <f t="shared" si="13"/>
        <v>259.8275491945206</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158296156.27440214</v>
      </c>
      <c r="R32" s="213" t="s">
        <v>4941</v>
      </c>
      <c r="S32" s="197">
        <f>S31-2</f>
        <v>386</v>
      </c>
      <c r="T32" s="213" t="s">
        <v>5553</v>
      </c>
      <c r="U32" s="213">
        <v>195.5</v>
      </c>
      <c r="V32" s="213">
        <f t="shared" si="6"/>
        <v>256.36102465753424</v>
      </c>
      <c r="W32" s="32">
        <f t="shared" si="12"/>
        <v>261.48824515068492</v>
      </c>
      <c r="X32" s="32">
        <f t="shared" si="13"/>
        <v>266.61546564383565</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754</v>
      </c>
      <c r="N33" s="113">
        <v>3000000</v>
      </c>
      <c r="P33" t="s">
        <v>25</v>
      </c>
      <c r="Q33" s="169">
        <v>1962799</v>
      </c>
      <c r="R33" s="213" t="s">
        <v>5231</v>
      </c>
      <c r="S33" s="197">
        <f>S32-159</f>
        <v>227</v>
      </c>
      <c r="T33" s="213" t="s">
        <v>5254</v>
      </c>
      <c r="U33" s="213">
        <v>6513.1</v>
      </c>
      <c r="V33" s="213">
        <f t="shared" si="6"/>
        <v>7746.2707254794523</v>
      </c>
      <c r="W33" s="32">
        <f>V33*(1+$W$19/100)</f>
        <v>7901.1961399890415</v>
      </c>
      <c r="X33" s="32">
        <f>V33*(1+$X$19/100)</f>
        <v>8056.1215544986308</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916</v>
      </c>
      <c r="L34" s="117">
        <v>4800000</v>
      </c>
      <c r="M34" s="168" t="s">
        <v>4145</v>
      </c>
      <c r="N34" s="113">
        <f>-W157</f>
        <v>-4192266696.8241496</v>
      </c>
      <c r="Q34" s="169">
        <v>16396298</v>
      </c>
      <c r="R34" s="213" t="s">
        <v>5495</v>
      </c>
      <c r="S34" s="197">
        <f>S33-156</f>
        <v>71</v>
      </c>
      <c r="T34" s="213" t="s">
        <v>5496</v>
      </c>
      <c r="U34" s="213">
        <v>7121.4</v>
      </c>
      <c r="V34" s="213">
        <f t="shared" si="6"/>
        <v>7617.5176964383563</v>
      </c>
      <c r="W34" s="32">
        <f>V34*(1+$W$19/100)</f>
        <v>7769.8680503671239</v>
      </c>
      <c r="X34" s="32">
        <f>V34*(1+$X$19/100)</f>
        <v>7922.2184042958907</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751</v>
      </c>
      <c r="N35" s="113">
        <v>500000</v>
      </c>
      <c r="O35" t="s">
        <v>25</v>
      </c>
      <c r="P35" t="s">
        <v>25</v>
      </c>
      <c r="Q35" s="169">
        <v>23593427</v>
      </c>
      <c r="R35" s="213" t="s">
        <v>5503</v>
      </c>
      <c r="S35" s="197">
        <f>S34-8</f>
        <v>63</v>
      </c>
      <c r="T35" s="213" t="s">
        <v>5505</v>
      </c>
      <c r="U35" s="213">
        <v>7581.3</v>
      </c>
      <c r="V35" s="213">
        <f t="shared" si="6"/>
        <v>8062.9306421917818</v>
      </c>
      <c r="W35" s="32">
        <f>V35*(1+$W$19/100)</f>
        <v>8224.189255035617</v>
      </c>
      <c r="X35" s="32">
        <f>V35*(1+$X$19/100)</f>
        <v>8385.447867879453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1082</v>
      </c>
      <c r="L36" s="117">
        <f>'خرید و فروش سکه فیزیکی'!M48*10*P54</f>
        <v>0</v>
      </c>
      <c r="M36" s="168" t="s">
        <v>758</v>
      </c>
      <c r="N36" s="113">
        <v>1200000</v>
      </c>
      <c r="O36" t="s">
        <v>25</v>
      </c>
      <c r="Q36" s="169">
        <v>2990679</v>
      </c>
      <c r="R36" s="213" t="s">
        <v>5506</v>
      </c>
      <c r="S36" s="197">
        <f>S35-1</f>
        <v>62</v>
      </c>
      <c r="T36" s="213" t="s">
        <v>5507</v>
      </c>
      <c r="U36" s="213">
        <v>7614.2</v>
      </c>
      <c r="V36" s="213">
        <f t="shared" si="6"/>
        <v>8092.079708493151</v>
      </c>
      <c r="W36" s="32">
        <f>V36*(1+$W$19/100)</f>
        <v>8253.921302663015</v>
      </c>
      <c r="X36" s="32">
        <f>V36*(1+$X$19/100)</f>
        <v>8415.7628968328772</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4985</v>
      </c>
      <c r="L37" s="117">
        <v>-47500000</v>
      </c>
      <c r="M37" s="73"/>
      <c r="N37" s="113"/>
      <c r="O37" t="s">
        <v>25</v>
      </c>
      <c r="P37" t="s">
        <v>25</v>
      </c>
      <c r="Q37" s="169">
        <v>554224</v>
      </c>
      <c r="R37" s="213" t="s">
        <v>5510</v>
      </c>
      <c r="S37" s="197">
        <f>S36-4</f>
        <v>58</v>
      </c>
      <c r="T37" s="213" t="s">
        <v>5511</v>
      </c>
      <c r="U37" s="213">
        <v>8488</v>
      </c>
      <c r="V37" s="213">
        <f t="shared" si="6"/>
        <v>8994.6754630137002</v>
      </c>
      <c r="W37" s="32">
        <f>V37*(1+$W$19/100)</f>
        <v>9174.5689722739735</v>
      </c>
      <c r="X37" s="32">
        <f>V37*(1+$X$19/100)</f>
        <v>9354.4624815342486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Q38" s="169">
        <v>1687767</v>
      </c>
      <c r="R38" s="213" t="s">
        <v>5513</v>
      </c>
      <c r="S38" s="197">
        <f>S37-2</f>
        <v>56</v>
      </c>
      <c r="T38" s="213" t="s">
        <v>5515</v>
      </c>
      <c r="U38" s="213">
        <v>8317.5</v>
      </c>
      <c r="V38" s="213">
        <f t="shared" si="6"/>
        <v>8801.2366849315076</v>
      </c>
      <c r="W38" s="32">
        <f t="shared" ref="W38:W45" si="14">V38*(1+$W$19/100)</f>
        <v>8977.261418630138</v>
      </c>
      <c r="X38" s="32">
        <f t="shared" ref="X38:X45" si="15">V38*(1+$X$19/100)</f>
        <v>9153.2861523287684</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5440</v>
      </c>
      <c r="N39" s="113">
        <v>-14000000</v>
      </c>
      <c r="Q39" s="169">
        <v>29256748</v>
      </c>
      <c r="R39" s="213" t="s">
        <v>5516</v>
      </c>
      <c r="S39" s="197">
        <f>S38-1</f>
        <v>55</v>
      </c>
      <c r="T39" s="213" t="s">
        <v>5520</v>
      </c>
      <c r="U39" s="213">
        <v>8338</v>
      </c>
      <c r="V39" s="213">
        <f t="shared" si="6"/>
        <v>8816.5326684931515</v>
      </c>
      <c r="W39" s="32">
        <f t="shared" si="14"/>
        <v>8992.8633218630148</v>
      </c>
      <c r="X39" s="32">
        <f t="shared" si="15"/>
        <v>9169.1939752328781</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4984</v>
      </c>
      <c r="N40" s="113">
        <v>-47000000</v>
      </c>
      <c r="O40" s="297"/>
      <c r="P40" s="96" t="s">
        <v>25</v>
      </c>
      <c r="Q40" s="169">
        <v>49280339</v>
      </c>
      <c r="R40" s="213" t="s">
        <v>5524</v>
      </c>
      <c r="S40" s="197">
        <f>S39-3</f>
        <v>52</v>
      </c>
      <c r="T40" s="213" t="s">
        <v>5526</v>
      </c>
      <c r="U40" s="213">
        <v>8740</v>
      </c>
      <c r="V40" s="213">
        <f t="shared" si="6"/>
        <v>9221.490191780822</v>
      </c>
      <c r="W40" s="32">
        <f t="shared" si="14"/>
        <v>9405.9199956164393</v>
      </c>
      <c r="X40" s="32">
        <f t="shared" si="15"/>
        <v>9590.3497994520549</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3602822</v>
      </c>
      <c r="R41" s="213" t="s">
        <v>5528</v>
      </c>
      <c r="S41" s="197">
        <f>S40-1</f>
        <v>51</v>
      </c>
      <c r="T41" s="213" t="s">
        <v>5529</v>
      </c>
      <c r="U41" s="213">
        <v>8966.4</v>
      </c>
      <c r="V41" s="213">
        <f t="shared" si="6"/>
        <v>9453.4843265753425</v>
      </c>
      <c r="W41" s="32">
        <f t="shared" si="14"/>
        <v>9642.5540131068501</v>
      </c>
      <c r="X41" s="32">
        <f t="shared" si="15"/>
        <v>9831.6236996383559</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99"/>
      <c r="L42" s="117"/>
      <c r="M42" s="168" t="s">
        <v>4442</v>
      </c>
      <c r="N42" s="113">
        <v>16537</v>
      </c>
      <c r="O42" s="114"/>
      <c r="P42" t="s">
        <v>25</v>
      </c>
      <c r="Q42" s="169">
        <v>291615</v>
      </c>
      <c r="R42" s="213" t="s">
        <v>5528</v>
      </c>
      <c r="S42" s="197">
        <f>S41</f>
        <v>51</v>
      </c>
      <c r="T42" s="213" t="s">
        <v>5633</v>
      </c>
      <c r="U42" s="213">
        <v>8537.2999999999993</v>
      </c>
      <c r="V42" s="213">
        <f t="shared" si="6"/>
        <v>9001.0742038356166</v>
      </c>
      <c r="W42" s="32">
        <f t="shared" si="14"/>
        <v>9181.0956879123296</v>
      </c>
      <c r="X42" s="32">
        <f t="shared" si="15"/>
        <v>9361.1171719890408</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58" t="s">
        <v>5635</v>
      </c>
      <c r="L43" s="117">
        <v>-70000000</v>
      </c>
      <c r="M43" s="168"/>
      <c r="N43" s="113"/>
      <c r="O43" s="99"/>
      <c r="P43" s="99"/>
      <c r="Q43" s="169">
        <v>7413007</v>
      </c>
      <c r="R43" s="213" t="s">
        <v>5540</v>
      </c>
      <c r="S43" s="197">
        <f>S42-6</f>
        <v>45</v>
      </c>
      <c r="T43" s="213" t="s">
        <v>5541</v>
      </c>
      <c r="U43" s="213">
        <v>9110.5</v>
      </c>
      <c r="V43" s="213">
        <f t="shared" si="6"/>
        <v>9563.4790520547958</v>
      </c>
      <c r="W43" s="32">
        <f t="shared" si="14"/>
        <v>9754.7486330958927</v>
      </c>
      <c r="X43" s="32">
        <f t="shared" si="15"/>
        <v>9946.0182141369878</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36" t="s">
        <v>5568</v>
      </c>
      <c r="L44" s="117">
        <v>-35425716</v>
      </c>
      <c r="M44" s="21" t="s">
        <v>5644</v>
      </c>
      <c r="N44" s="117">
        <f>O44*P44</f>
        <v>90077328</v>
      </c>
      <c r="O44" s="69">
        <v>5412</v>
      </c>
      <c r="P44" s="69">
        <f>P48</f>
        <v>16644</v>
      </c>
      <c r="Q44" s="169">
        <v>64446280</v>
      </c>
      <c r="R44" s="213" t="s">
        <v>5543</v>
      </c>
      <c r="S44" s="197">
        <f>S43-3</f>
        <v>42</v>
      </c>
      <c r="T44" s="213" t="s">
        <v>5546</v>
      </c>
      <c r="U44" s="213">
        <v>10302</v>
      </c>
      <c r="V44" s="213">
        <f t="shared" si="6"/>
        <v>10790.512372602741</v>
      </c>
      <c r="W44" s="32">
        <f t="shared" si="14"/>
        <v>11006.322620054796</v>
      </c>
      <c r="X44" s="32">
        <f t="shared" si="15"/>
        <v>11222.132867506851</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5645</v>
      </c>
      <c r="L45" s="117">
        <f>N44</f>
        <v>90077328</v>
      </c>
      <c r="M45" s="21" t="s">
        <v>5323</v>
      </c>
      <c r="N45" s="117">
        <f t="shared" ref="N45:N55" si="16">O45*P45</f>
        <v>0</v>
      </c>
      <c r="O45" s="69">
        <v>0</v>
      </c>
      <c r="P45" s="69">
        <v>86860</v>
      </c>
      <c r="Q45" s="169">
        <v>213700698.66730785</v>
      </c>
      <c r="R45" s="213" t="s">
        <v>5392</v>
      </c>
      <c r="S45" s="197">
        <f>S44-6</f>
        <v>36</v>
      </c>
      <c r="T45" s="213" t="s">
        <v>5580</v>
      </c>
      <c r="U45" s="213">
        <v>12513</v>
      </c>
      <c r="V45" s="213">
        <f t="shared" si="6"/>
        <v>13048.762093150686</v>
      </c>
      <c r="W45" s="32">
        <f t="shared" si="14"/>
        <v>13309.7373350137</v>
      </c>
      <c r="X45" s="32">
        <f t="shared" si="15"/>
        <v>13570.712576876715</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5636</v>
      </c>
      <c r="L46" s="117">
        <f>J148</f>
        <v>324208476</v>
      </c>
      <c r="M46" s="21" t="s">
        <v>5632</v>
      </c>
      <c r="N46" s="117">
        <f t="shared" si="16"/>
        <v>553641</v>
      </c>
      <c r="O46" s="69">
        <v>57</v>
      </c>
      <c r="P46" s="69">
        <v>9713</v>
      </c>
      <c r="Q46" s="169">
        <v>35002507</v>
      </c>
      <c r="R46" s="213" t="s">
        <v>5549</v>
      </c>
      <c r="S46" s="197">
        <f>S45-1</f>
        <v>35</v>
      </c>
      <c r="T46" s="213" t="s">
        <v>5579</v>
      </c>
      <c r="U46" s="213">
        <v>1065.7</v>
      </c>
      <c r="V46" s="213">
        <f t="shared" si="6"/>
        <v>1110.5119550684933</v>
      </c>
      <c r="W46" s="32">
        <f>V46*(1+$W$19/100)</f>
        <v>1132.7221941698631</v>
      </c>
      <c r="X46" s="32">
        <f>V46*(1+$X$19/100)</f>
        <v>1154.9324332712331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t="s">
        <v>5681</v>
      </c>
      <c r="L47" s="117">
        <v>27380100</v>
      </c>
      <c r="M47" s="19" t="s">
        <v>4378</v>
      </c>
      <c r="N47" s="117">
        <f t="shared" si="16"/>
        <v>69935210</v>
      </c>
      <c r="O47" s="69">
        <v>4463</v>
      </c>
      <c r="P47" s="69">
        <v>15670</v>
      </c>
      <c r="Q47" s="169">
        <v>5030993</v>
      </c>
      <c r="R47" s="213" t="s">
        <v>5561</v>
      </c>
      <c r="S47" s="197">
        <f>S46-1</f>
        <v>34</v>
      </c>
      <c r="T47" s="213" t="s">
        <v>5562</v>
      </c>
      <c r="U47" s="213">
        <v>1022.2</v>
      </c>
      <c r="V47" s="213">
        <f t="shared" si="6"/>
        <v>1064.3986564383563</v>
      </c>
      <c r="W47" s="32">
        <f>V47*(1+$W$19/100)</f>
        <v>1085.6866295671234</v>
      </c>
      <c r="X47" s="32">
        <f>V47*(1+$X$19/100)</f>
        <v>1106.9746026958906</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5220</v>
      </c>
      <c r="L48" s="117">
        <f>-1200*P55</f>
        <v>-23640000</v>
      </c>
      <c r="M48" s="19" t="s">
        <v>4382</v>
      </c>
      <c r="N48" s="117">
        <f t="shared" si="16"/>
        <v>891286200</v>
      </c>
      <c r="O48" s="69">
        <v>53550</v>
      </c>
      <c r="P48" s="69">
        <v>16644</v>
      </c>
      <c r="Q48" s="169">
        <v>155128993</v>
      </c>
      <c r="R48" s="213" t="s">
        <v>5577</v>
      </c>
      <c r="S48" s="197">
        <f>S47-11</f>
        <v>23</v>
      </c>
      <c r="T48" s="213" t="s">
        <v>5578</v>
      </c>
      <c r="U48" s="213">
        <v>860.2</v>
      </c>
      <c r="V48" s="213">
        <f t="shared" si="6"/>
        <v>888.45226739726036</v>
      </c>
      <c r="W48" s="32">
        <f t="shared" ref="W48:W49" si="17">V48*(1+$W$19/100)</f>
        <v>906.22131274520552</v>
      </c>
      <c r="X48" s="32">
        <f t="shared" ref="X48:X49" si="18">V48*(1+$X$19/100)</f>
        <v>923.9903580931508</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5385</v>
      </c>
      <c r="N49" s="117">
        <f t="shared" si="16"/>
        <v>0</v>
      </c>
      <c r="O49" s="69">
        <v>0</v>
      </c>
      <c r="P49" s="69">
        <v>772.2</v>
      </c>
      <c r="Q49" s="169">
        <v>49885352</v>
      </c>
      <c r="R49" s="213" t="s">
        <v>5582</v>
      </c>
      <c r="S49" s="197">
        <f>S48-2</f>
        <v>21</v>
      </c>
      <c r="T49" s="213" t="s">
        <v>5604</v>
      </c>
      <c r="U49" s="213">
        <v>875.9</v>
      </c>
      <c r="V49" s="213">
        <f t="shared" si="6"/>
        <v>903.32406904109587</v>
      </c>
      <c r="W49" s="32">
        <f t="shared" si="17"/>
        <v>921.39055042191785</v>
      </c>
      <c r="X49" s="32">
        <f t="shared" si="18"/>
        <v>939.45703180273972</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4895</v>
      </c>
      <c r="N50" s="117">
        <f t="shared" si="16"/>
        <v>0</v>
      </c>
      <c r="O50" s="69">
        <v>0</v>
      </c>
      <c r="P50" s="69">
        <v>8500</v>
      </c>
      <c r="Q50" s="169">
        <v>7739400</v>
      </c>
      <c r="R50" s="213" t="s">
        <v>5589</v>
      </c>
      <c r="S50" s="197">
        <f>S49-4</f>
        <v>17</v>
      </c>
      <c r="T50" s="213" t="s">
        <v>5603</v>
      </c>
      <c r="U50" s="213">
        <v>11053.7</v>
      </c>
      <c r="V50" s="213">
        <f t="shared" si="6"/>
        <v>11365.868601643839</v>
      </c>
      <c r="W50" s="32">
        <f t="shared" ref="W50:W54" si="19">V50*(1+$W$19/100)</f>
        <v>11593.185973676716</v>
      </c>
      <c r="X50" s="32">
        <f t="shared" ref="X50:X54" si="20">V50*(1+$X$19/100)</f>
        <v>11820.503345709592</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t="s">
        <v>5687</v>
      </c>
      <c r="L51" s="117">
        <v>-30300000</v>
      </c>
      <c r="M51" s="19" t="s">
        <v>5595</v>
      </c>
      <c r="N51" s="117">
        <f t="shared" si="16"/>
        <v>1990000</v>
      </c>
      <c r="O51" s="69">
        <v>199</v>
      </c>
      <c r="P51" s="69">
        <v>10000</v>
      </c>
      <c r="Q51" s="169">
        <v>372863</v>
      </c>
      <c r="R51" s="213" t="s">
        <v>5614</v>
      </c>
      <c r="S51" s="197">
        <f>S50-4</f>
        <v>13</v>
      </c>
      <c r="T51" s="213" t="s">
        <v>5638</v>
      </c>
      <c r="U51" s="213">
        <v>6511.9</v>
      </c>
      <c r="V51" s="213">
        <f t="shared" si="6"/>
        <v>6675.8214717808223</v>
      </c>
      <c r="W51" s="32">
        <f t="shared" si="19"/>
        <v>6809.3379012164387</v>
      </c>
      <c r="X51" s="32">
        <f t="shared" si="20"/>
        <v>6942.8543306520551</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t="s">
        <v>5671</v>
      </c>
      <c r="L52" s="117">
        <f>-5022711-4900*P52-20000000-1000*(P48-12500)-1100000</f>
        <v>-36666111</v>
      </c>
      <c r="M52" s="19" t="s">
        <v>4173</v>
      </c>
      <c r="N52" s="113">
        <f>O52*P52</f>
        <v>4065477438</v>
      </c>
      <c r="O52" s="99">
        <v>3112923</v>
      </c>
      <c r="P52" s="99">
        <v>1306</v>
      </c>
      <c r="Q52" s="169">
        <v>20015559</v>
      </c>
      <c r="R52" s="213" t="s">
        <v>5615</v>
      </c>
      <c r="S52" s="197">
        <f>S51-3</f>
        <v>10</v>
      </c>
      <c r="T52" s="213" t="s">
        <v>5640</v>
      </c>
      <c r="U52" s="213">
        <v>11700</v>
      </c>
      <c r="V52" s="213">
        <f t="shared" si="6"/>
        <v>11967.593424657536</v>
      </c>
      <c r="W52" s="32">
        <f t="shared" si="19"/>
        <v>12206.945293150688</v>
      </c>
      <c r="X52" s="32">
        <f t="shared" si="20"/>
        <v>12446.297161643837</v>
      </c>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258" t="s">
        <v>5649</v>
      </c>
      <c r="L53" s="117">
        <v>-1605910</v>
      </c>
      <c r="M53" s="19" t="s">
        <v>5134</v>
      </c>
      <c r="N53" s="113">
        <f t="shared" si="16"/>
        <v>0</v>
      </c>
      <c r="O53" s="99">
        <v>0</v>
      </c>
      <c r="P53" s="99">
        <v>6330</v>
      </c>
      <c r="Q53" s="169"/>
      <c r="R53" s="213"/>
      <c r="S53" s="197"/>
      <c r="T53" s="213"/>
      <c r="U53" s="213"/>
      <c r="V53" s="213">
        <f t="shared" si="6"/>
        <v>0</v>
      </c>
      <c r="W53" s="32">
        <f t="shared" si="19"/>
        <v>0</v>
      </c>
      <c r="X53" s="32">
        <f t="shared" si="20"/>
        <v>0</v>
      </c>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258"/>
      <c r="L54" s="117"/>
      <c r="M54" s="21" t="s">
        <v>1082</v>
      </c>
      <c r="N54" s="117">
        <f t="shared" si="16"/>
        <v>0</v>
      </c>
      <c r="O54" s="69">
        <v>0</v>
      </c>
      <c r="P54" s="69">
        <v>840000</v>
      </c>
      <c r="Q54" s="169" t="s">
        <v>25</v>
      </c>
      <c r="R54" s="168" t="s">
        <v>25</v>
      </c>
      <c r="S54" s="168"/>
      <c r="T54" s="168" t="s">
        <v>25</v>
      </c>
      <c r="U54" s="168"/>
      <c r="V54" s="213">
        <f t="shared" si="6"/>
        <v>0</v>
      </c>
      <c r="W54" s="32">
        <f t="shared" si="19"/>
        <v>0</v>
      </c>
      <c r="X54" s="32">
        <f t="shared" si="20"/>
        <v>0</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99"/>
      <c r="L55" s="99"/>
      <c r="M55" s="73" t="s">
        <v>5133</v>
      </c>
      <c r="N55" s="117">
        <f t="shared" si="16"/>
        <v>0</v>
      </c>
      <c r="O55" s="69">
        <v>0</v>
      </c>
      <c r="P55" s="69">
        <v>19700</v>
      </c>
      <c r="Q55" s="169">
        <f>SUM(N21:N25)-SUM(Q20:Q54)</f>
        <v>1521256073.05829</v>
      </c>
      <c r="R55" s="168" t="s">
        <v>25</v>
      </c>
      <c r="S55" s="168" t="s">
        <v>25</v>
      </c>
      <c r="T55" s="168"/>
      <c r="U55" s="168"/>
      <c r="V55" s="168"/>
      <c r="W55" s="32"/>
      <c r="X55" s="32"/>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t="s">
        <v>1148</v>
      </c>
      <c r="N56" s="117">
        <v>14908</v>
      </c>
      <c r="O56" s="96"/>
      <c r="P56" t="s">
        <v>25</v>
      </c>
      <c r="R56" s="115" t="s">
        <v>25</v>
      </c>
      <c r="S56" s="115" t="s">
        <v>25</v>
      </c>
      <c r="T56" s="122" t="s">
        <v>25</v>
      </c>
      <c r="U56" s="115" t="s">
        <v>25</v>
      </c>
      <c r="V56" s="115" t="s">
        <v>25</v>
      </c>
      <c r="W56" s="194" t="s">
        <v>25</v>
      </c>
      <c r="X56" s="194"/>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1149</v>
      </c>
      <c r="N57" s="117">
        <v>5282</v>
      </c>
      <c r="O57" s="96"/>
      <c r="P57" t="s">
        <v>25</v>
      </c>
      <c r="Q57" s="96"/>
      <c r="R57" s="115" t="s">
        <v>25</v>
      </c>
      <c r="S57" s="115"/>
      <c r="T57" s="115" t="s">
        <v>25</v>
      </c>
      <c r="U57" s="115" t="s">
        <v>25</v>
      </c>
      <c r="V57" s="122" t="s">
        <v>25</v>
      </c>
      <c r="W57" s="194"/>
      <c r="X57" s="194" t="s">
        <v>25</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Q58" s="168" t="s">
        <v>655</v>
      </c>
      <c r="R58" s="168"/>
      <c r="S58" s="168"/>
      <c r="T58" s="168"/>
      <c r="U58" s="168"/>
      <c r="V58" s="168"/>
      <c r="W58" s="32"/>
      <c r="X58" s="32"/>
      <c r="Y58" t="s">
        <v>25</v>
      </c>
      <c r="AA58" t="s">
        <v>25</v>
      </c>
      <c r="AH58" s="99">
        <v>39</v>
      </c>
      <c r="AI58" s="113" t="s">
        <v>4002</v>
      </c>
      <c r="AJ58" s="113">
        <v>790000</v>
      </c>
      <c r="AK58" s="99">
        <v>15</v>
      </c>
      <c r="AL58" s="99">
        <f t="shared" si="9"/>
        <v>557</v>
      </c>
      <c r="AM58" s="113">
        <f t="shared" si="10"/>
        <v>440030000</v>
      </c>
      <c r="AN58" s="99"/>
    </row>
    <row r="59" spans="1:45" ht="30">
      <c r="A59" s="63">
        <v>1400</v>
      </c>
      <c r="B59" s="11">
        <v>57</v>
      </c>
      <c r="C59" s="50">
        <f t="shared" si="4"/>
        <v>5655009.1360314842</v>
      </c>
      <c r="D59" s="3">
        <f t="shared" si="5"/>
        <v>4593726.5995433833</v>
      </c>
      <c r="E59" s="3">
        <f t="shared" si="11"/>
        <v>604717069.49413705</v>
      </c>
      <c r="F59" s="3"/>
      <c r="G59" s="11"/>
      <c r="H59" s="11"/>
      <c r="K59" s="99"/>
      <c r="L59" s="117"/>
      <c r="M59" s="168"/>
      <c r="N59" s="113"/>
      <c r="P59" t="s">
        <v>25</v>
      </c>
      <c r="Q59" s="168" t="s">
        <v>267</v>
      </c>
      <c r="R59" s="168" t="s">
        <v>180</v>
      </c>
      <c r="S59" s="168" t="s">
        <v>183</v>
      </c>
      <c r="T59" s="168" t="s">
        <v>8</v>
      </c>
      <c r="U59" s="168" t="s">
        <v>4351</v>
      </c>
      <c r="V59" s="73" t="s">
        <v>4353</v>
      </c>
      <c r="W59" s="32">
        <v>2</v>
      </c>
      <c r="X59" s="32">
        <v>4</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8">
        <v>0</v>
      </c>
      <c r="R60" s="168" t="s">
        <v>4166</v>
      </c>
      <c r="S60" s="168">
        <f>S91</f>
        <v>626</v>
      </c>
      <c r="T60" s="168"/>
      <c r="U60" s="168"/>
      <c r="V60" s="73"/>
      <c r="W60" s="32"/>
      <c r="X60" s="32"/>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9">
        <v>863944</v>
      </c>
      <c r="R61" s="168" t="s">
        <v>4421</v>
      </c>
      <c r="S61" s="168">
        <f>S60-62</f>
        <v>564</v>
      </c>
      <c r="T61" s="190" t="s">
        <v>4487</v>
      </c>
      <c r="U61" s="168">
        <v>184.6</v>
      </c>
      <c r="V61" s="168">
        <f t="shared" ref="V61:V80" si="21">U61*(1+$R$87+$Q$15*S61/36500)</f>
        <v>267.2745008219178</v>
      </c>
      <c r="W61" s="32">
        <f t="shared" ref="W61:W71" si="22">V61*(1+$W$19/100)</f>
        <v>272.61999083835616</v>
      </c>
      <c r="X61" s="32">
        <f t="shared" ref="X61:X71" si="23">V61*(1+$X$19/100)</f>
        <v>277.96548085479452</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4429</v>
      </c>
      <c r="N62" s="113">
        <f>-W158</f>
        <v>-109929366.90274112</v>
      </c>
      <c r="Q62" s="169">
        <v>1692313</v>
      </c>
      <c r="R62" s="168" t="s">
        <v>4490</v>
      </c>
      <c r="S62" s="197">
        <f>S61-21</f>
        <v>543</v>
      </c>
      <c r="T62" s="189" t="s">
        <v>4491</v>
      </c>
      <c r="U62" s="168">
        <v>168.5</v>
      </c>
      <c r="V62" s="168">
        <f t="shared" si="21"/>
        <v>241.24952876712331</v>
      </c>
      <c r="W62" s="32">
        <f t="shared" si="22"/>
        <v>246.07451934246578</v>
      </c>
      <c r="X62" s="32">
        <f t="shared" si="23"/>
        <v>250.89950991780825</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c r="L63" s="117"/>
      <c r="M63" s="168"/>
      <c r="N63" s="113"/>
      <c r="Q63" s="169">
        <v>101153</v>
      </c>
      <c r="R63" s="168" t="s">
        <v>4493</v>
      </c>
      <c r="S63" s="197">
        <f>S62-1</f>
        <v>542</v>
      </c>
      <c r="T63" s="189" t="s">
        <v>4495</v>
      </c>
      <c r="U63" s="168">
        <v>166.7</v>
      </c>
      <c r="V63" s="168">
        <f t="shared" si="21"/>
        <v>238.54450301369863</v>
      </c>
      <c r="W63" s="32">
        <f t="shared" si="22"/>
        <v>243.31539307397261</v>
      </c>
      <c r="X63" s="32">
        <f t="shared" si="23"/>
        <v>248.08628313424657</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c r="L64" s="117"/>
      <c r="M64" s="168"/>
      <c r="N64" s="113"/>
      <c r="Q64" s="169">
        <v>183105</v>
      </c>
      <c r="R64" s="168" t="s">
        <v>4221</v>
      </c>
      <c r="S64" s="197">
        <f>S63-1</f>
        <v>541</v>
      </c>
      <c r="T64" s="189" t="s">
        <v>4499</v>
      </c>
      <c r="U64" s="168">
        <v>166.6</v>
      </c>
      <c r="V64" s="168">
        <f t="shared" si="21"/>
        <v>238.27360219178081</v>
      </c>
      <c r="W64" s="32">
        <f t="shared" si="22"/>
        <v>243.03907423561643</v>
      </c>
      <c r="X64" s="32">
        <f t="shared" si="23"/>
        <v>247.80454627945204</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168"/>
      <c r="L65" s="117"/>
      <c r="M65" s="168"/>
      <c r="N65" s="113">
        <f>SUM(N16:N64)</f>
        <v>3440217718.2731094</v>
      </c>
      <c r="P65" t="s">
        <v>25</v>
      </c>
      <c r="Q65" s="169">
        <v>168846</v>
      </c>
      <c r="R65" s="168" t="s">
        <v>3687</v>
      </c>
      <c r="S65" s="197">
        <f>S64-30</f>
        <v>511</v>
      </c>
      <c r="T65" s="189" t="s">
        <v>4592</v>
      </c>
      <c r="U65" s="168">
        <v>172.2</v>
      </c>
      <c r="V65" s="168">
        <f t="shared" si="21"/>
        <v>242.31984</v>
      </c>
      <c r="W65" s="32">
        <f t="shared" si="22"/>
        <v>247.16623680000001</v>
      </c>
      <c r="X65" s="32">
        <f t="shared" si="23"/>
        <v>252.01263360000002</v>
      </c>
      <c r="Y65" t="s">
        <v>25</v>
      </c>
      <c r="Z65" s="96">
        <v>5468</v>
      </c>
      <c r="AA65" s="96"/>
      <c r="AB65" s="96"/>
      <c r="AC65" s="96"/>
      <c r="AH65" s="20">
        <v>45</v>
      </c>
      <c r="AI65" s="117" t="s">
        <v>4103</v>
      </c>
      <c r="AJ65" s="117">
        <v>995000</v>
      </c>
      <c r="AK65" s="20">
        <v>2</v>
      </c>
      <c r="AL65" s="99">
        <f t="shared" ref="AL65:AL92" si="24">AL66+AK65</f>
        <v>526</v>
      </c>
      <c r="AM65" s="113">
        <f t="shared" si="10"/>
        <v>523370000</v>
      </c>
      <c r="AN65" s="20"/>
    </row>
    <row r="66" spans="1:40">
      <c r="K66" s="168" t="s">
        <v>598</v>
      </c>
      <c r="L66" s="113">
        <f>SUM(L16:L48)</f>
        <v>4438459367.8241501</v>
      </c>
      <c r="M66" s="168"/>
      <c r="N66" s="113">
        <f>N16+N17+N35</f>
        <v>641053</v>
      </c>
      <c r="Q66" s="169">
        <v>19918023</v>
      </c>
      <c r="R66" s="5" t="s">
        <v>4826</v>
      </c>
      <c r="S66" s="197">
        <f>S65-75</f>
        <v>436</v>
      </c>
      <c r="T66" s="189" t="s">
        <v>4828</v>
      </c>
      <c r="U66" s="213">
        <v>183</v>
      </c>
      <c r="V66" s="213">
        <f t="shared" si="21"/>
        <v>246.98883287671237</v>
      </c>
      <c r="W66" s="32">
        <f t="shared" si="22"/>
        <v>251.92860953424662</v>
      </c>
      <c r="X66" s="32">
        <f t="shared" si="23"/>
        <v>256.86838619178087</v>
      </c>
      <c r="Y66" t="s">
        <v>25</v>
      </c>
      <c r="Z66" s="96">
        <v>31131</v>
      </c>
      <c r="AA66" s="96"/>
      <c r="AB66" s="96"/>
      <c r="AC66" s="96"/>
      <c r="AH66" s="20">
        <v>46</v>
      </c>
      <c r="AI66" s="117" t="s">
        <v>4113</v>
      </c>
      <c r="AJ66" s="117">
        <v>13000000</v>
      </c>
      <c r="AK66" s="20">
        <v>2</v>
      </c>
      <c r="AL66" s="99">
        <f t="shared" si="24"/>
        <v>524</v>
      </c>
      <c r="AM66" s="113">
        <f t="shared" si="10"/>
        <v>6812000000</v>
      </c>
      <c r="AN66" s="20"/>
    </row>
    <row r="67" spans="1:40">
      <c r="A67" t="s">
        <v>25</v>
      </c>
      <c r="F67" t="s">
        <v>310</v>
      </c>
      <c r="G67" t="s">
        <v>4095</v>
      </c>
      <c r="K67" s="168" t="s">
        <v>599</v>
      </c>
      <c r="L67" s="113">
        <f>L16+L17+L27</f>
        <v>414999</v>
      </c>
      <c r="M67" s="113"/>
      <c r="N67" s="168"/>
      <c r="O67" s="115"/>
      <c r="P67" s="115" t="s">
        <v>25</v>
      </c>
      <c r="Q67" s="169">
        <v>1200301</v>
      </c>
      <c r="R67" s="19" t="s">
        <v>4912</v>
      </c>
      <c r="S67" s="197">
        <f>S66-34</f>
        <v>402</v>
      </c>
      <c r="T67" s="189" t="s">
        <v>4914</v>
      </c>
      <c r="U67" s="213">
        <v>218.5</v>
      </c>
      <c r="V67" s="213">
        <f t="shared" si="21"/>
        <v>289.20300821917806</v>
      </c>
      <c r="W67" s="32">
        <f t="shared" si="22"/>
        <v>294.98706838356162</v>
      </c>
      <c r="X67" s="32">
        <f t="shared" si="23"/>
        <v>300.77112854794518</v>
      </c>
      <c r="Y67" t="s">
        <v>25</v>
      </c>
      <c r="Z67" s="96">
        <v>521</v>
      </c>
      <c r="AA67" s="96"/>
      <c r="AB67" s="96"/>
      <c r="AC67" s="96"/>
      <c r="AH67" s="20">
        <v>47</v>
      </c>
      <c r="AI67" s="117" t="s">
        <v>4126</v>
      </c>
      <c r="AJ67" s="117">
        <v>-3100000</v>
      </c>
      <c r="AK67" s="20">
        <v>3</v>
      </c>
      <c r="AL67" s="99">
        <f t="shared" si="24"/>
        <v>522</v>
      </c>
      <c r="AM67" s="113">
        <f t="shared" si="10"/>
        <v>-1618200000</v>
      </c>
      <c r="AN67" s="20"/>
    </row>
    <row r="68" spans="1:40">
      <c r="F68" t="s">
        <v>4099</v>
      </c>
      <c r="G68" t="s">
        <v>4094</v>
      </c>
      <c r="K68" s="56" t="s">
        <v>714</v>
      </c>
      <c r="L68" s="1">
        <f>L66+N7</f>
        <v>4538459367.8241501</v>
      </c>
      <c r="O68" s="96"/>
      <c r="P68" s="96"/>
      <c r="Q68" s="169">
        <v>6135206</v>
      </c>
      <c r="R68" s="19" t="s">
        <v>4941</v>
      </c>
      <c r="S68" s="197">
        <f>S67-16</f>
        <v>386</v>
      </c>
      <c r="T68" s="189" t="s">
        <v>4942</v>
      </c>
      <c r="U68" s="213">
        <v>196.2</v>
      </c>
      <c r="V68" s="213">
        <f t="shared" si="21"/>
        <v>257.27894136986299</v>
      </c>
      <c r="W68" s="32">
        <f t="shared" si="22"/>
        <v>262.42452019726028</v>
      </c>
      <c r="X68" s="32">
        <f t="shared" si="23"/>
        <v>267.57009902465751</v>
      </c>
      <c r="Y68" t="s">
        <v>25</v>
      </c>
      <c r="Z68" s="96">
        <v>595</v>
      </c>
      <c r="AA68" s="96" t="s">
        <v>25</v>
      </c>
      <c r="AB68" s="96"/>
      <c r="AC68" s="96"/>
      <c r="AH68" s="20">
        <v>48</v>
      </c>
      <c r="AI68" s="117" t="s">
        <v>4141</v>
      </c>
      <c r="AJ68" s="117">
        <v>45640000</v>
      </c>
      <c r="AK68" s="20">
        <v>1</v>
      </c>
      <c r="AL68" s="99">
        <f t="shared" si="24"/>
        <v>519</v>
      </c>
      <c r="AM68" s="113">
        <f t="shared" si="10"/>
        <v>23687160000</v>
      </c>
      <c r="AN68" s="20"/>
    </row>
    <row r="69" spans="1:40">
      <c r="F69" t="s">
        <v>4100</v>
      </c>
      <c r="G69" t="s">
        <v>4096</v>
      </c>
      <c r="M69" s="25"/>
      <c r="O69" t="s">
        <v>25</v>
      </c>
      <c r="Q69" s="169">
        <v>104578</v>
      </c>
      <c r="R69" s="19" t="s">
        <v>4959</v>
      </c>
      <c r="S69" s="197">
        <f>S68-9</f>
        <v>377</v>
      </c>
      <c r="T69" s="189" t="s">
        <v>4960</v>
      </c>
      <c r="U69" s="213">
        <v>199.8</v>
      </c>
      <c r="V69" s="213">
        <f t="shared" si="21"/>
        <v>260.62021479452062</v>
      </c>
      <c r="W69" s="32">
        <f t="shared" si="22"/>
        <v>265.83261909041101</v>
      </c>
      <c r="X69" s="32">
        <f t="shared" si="23"/>
        <v>271.04502338630147</v>
      </c>
      <c r="Y69" s="122" t="s">
        <v>25</v>
      </c>
      <c r="Z69" s="96">
        <v>108667</v>
      </c>
      <c r="AA69" s="96"/>
      <c r="AB69" s="96"/>
      <c r="AC69" s="96"/>
      <c r="AH69" s="20">
        <v>49</v>
      </c>
      <c r="AI69" s="117" t="s">
        <v>4146</v>
      </c>
      <c r="AJ69" s="117">
        <v>33500000</v>
      </c>
      <c r="AK69" s="20">
        <v>1</v>
      </c>
      <c r="AL69" s="99">
        <f t="shared" si="24"/>
        <v>518</v>
      </c>
      <c r="AM69" s="113">
        <f t="shared" si="10"/>
        <v>17353000000</v>
      </c>
      <c r="AN69" s="20"/>
    </row>
    <row r="70" spans="1:40">
      <c r="G70" t="s">
        <v>4097</v>
      </c>
      <c r="M70" s="25" t="s">
        <v>4076</v>
      </c>
      <c r="N70" s="277" t="s">
        <v>5286</v>
      </c>
      <c r="O70" s="96" t="s">
        <v>25</v>
      </c>
      <c r="P70" s="115"/>
      <c r="Q70" s="169">
        <v>119253</v>
      </c>
      <c r="R70" s="19" t="s">
        <v>4963</v>
      </c>
      <c r="S70" s="197">
        <f>S69-3</f>
        <v>374</v>
      </c>
      <c r="T70" s="189" t="s">
        <v>4964</v>
      </c>
      <c r="U70" s="213">
        <v>199.5</v>
      </c>
      <c r="V70" s="213">
        <f t="shared" si="21"/>
        <v>259.76976986301372</v>
      </c>
      <c r="W70" s="32">
        <f t="shared" si="22"/>
        <v>264.96516526027398</v>
      </c>
      <c r="X70" s="32">
        <f t="shared" si="23"/>
        <v>270.16056065753429</v>
      </c>
      <c r="Y70" s="122" t="s">
        <v>25</v>
      </c>
      <c r="Z70" t="s">
        <v>25</v>
      </c>
      <c r="AH70" s="20">
        <v>50</v>
      </c>
      <c r="AI70" s="117" t="s">
        <v>4151</v>
      </c>
      <c r="AJ70" s="117">
        <v>12000000</v>
      </c>
      <c r="AK70" s="20">
        <v>1</v>
      </c>
      <c r="AL70" s="99">
        <f t="shared" si="24"/>
        <v>517</v>
      </c>
      <c r="AM70" s="117">
        <f t="shared" si="10"/>
        <v>6204000000</v>
      </c>
      <c r="AN70" s="20"/>
    </row>
    <row r="71" spans="1:40">
      <c r="G71" t="s">
        <v>4098</v>
      </c>
      <c r="M71" s="177"/>
      <c r="N71" s="96"/>
      <c r="O71" s="96"/>
      <c r="P71" s="115"/>
      <c r="Q71" s="169">
        <v>2227488</v>
      </c>
      <c r="R71" s="19" t="s">
        <v>4979</v>
      </c>
      <c r="S71" s="197">
        <f>S70-9</f>
        <v>365</v>
      </c>
      <c r="T71" s="189" t="s">
        <v>5450</v>
      </c>
      <c r="U71" s="213">
        <v>200</v>
      </c>
      <c r="V71" s="213">
        <f t="shared" si="21"/>
        <v>259.04000000000002</v>
      </c>
      <c r="W71" s="32">
        <f t="shared" si="22"/>
        <v>264.22080000000005</v>
      </c>
      <c r="X71" s="32">
        <f t="shared" si="23"/>
        <v>269.40160000000003</v>
      </c>
      <c r="Y71" s="122" t="s">
        <v>25</v>
      </c>
      <c r="AH71" s="20">
        <v>51</v>
      </c>
      <c r="AI71" s="117" t="s">
        <v>4156</v>
      </c>
      <c r="AJ71" s="117">
        <v>15500000</v>
      </c>
      <c r="AK71" s="20">
        <v>4</v>
      </c>
      <c r="AL71" s="99">
        <f t="shared" si="24"/>
        <v>516</v>
      </c>
      <c r="AM71" s="117">
        <f t="shared" si="10"/>
        <v>7998000000</v>
      </c>
      <c r="AN71" s="20"/>
    </row>
    <row r="72" spans="1:40">
      <c r="G72" t="s">
        <v>4102</v>
      </c>
      <c r="M72" s="96" t="s">
        <v>4765</v>
      </c>
      <c r="N72" s="96"/>
      <c r="O72" s="96"/>
      <c r="Q72" s="169">
        <v>6990657</v>
      </c>
      <c r="R72" s="19" t="s">
        <v>5444</v>
      </c>
      <c r="S72" s="197">
        <f>S71-265</f>
        <v>100</v>
      </c>
      <c r="T72" s="189" t="s">
        <v>5449</v>
      </c>
      <c r="U72" s="213">
        <v>7792.9</v>
      </c>
      <c r="V72" s="213">
        <f t="shared" si="21"/>
        <v>8509.163586849314</v>
      </c>
      <c r="W72" s="32">
        <f t="shared" ref="W72:W82" si="25">V72*(1+$W$19/100)</f>
        <v>8679.3468585863011</v>
      </c>
      <c r="X72" s="32">
        <f t="shared" ref="X72:X82" si="26">V72*(1+$X$19/100)</f>
        <v>8849.5301303232864</v>
      </c>
      <c r="Y72" s="122" t="s">
        <v>25</v>
      </c>
      <c r="AH72" s="20">
        <v>52</v>
      </c>
      <c r="AI72" s="117" t="s">
        <v>4160</v>
      </c>
      <c r="AJ72" s="117">
        <v>150000</v>
      </c>
      <c r="AK72" s="20">
        <v>1</v>
      </c>
      <c r="AL72" s="99">
        <f t="shared" si="24"/>
        <v>512</v>
      </c>
      <c r="AM72" s="117">
        <f t="shared" si="10"/>
        <v>76800000</v>
      </c>
      <c r="AN72" s="20"/>
    </row>
    <row r="73" spans="1:40">
      <c r="G73" t="s">
        <v>4101</v>
      </c>
      <c r="M73" s="122" t="s">
        <v>4397</v>
      </c>
      <c r="O73" s="114"/>
      <c r="Q73" s="169">
        <v>4411104</v>
      </c>
      <c r="R73" s="19" t="s">
        <v>5451</v>
      </c>
      <c r="S73" s="197">
        <f>S72-2</f>
        <v>98</v>
      </c>
      <c r="T73" s="189" t="s">
        <v>5454</v>
      </c>
      <c r="U73" s="213">
        <v>8086.9</v>
      </c>
      <c r="V73" s="213">
        <f t="shared" si="21"/>
        <v>8817.7785128767136</v>
      </c>
      <c r="W73" s="32">
        <f t="shared" si="25"/>
        <v>8994.1340831342477</v>
      </c>
      <c r="X73" s="32">
        <f t="shared" si="26"/>
        <v>9170.4896533917818</v>
      </c>
      <c r="Y73" t="s">
        <v>25</v>
      </c>
      <c r="Z73" s="115"/>
      <c r="AH73" s="179">
        <v>53</v>
      </c>
      <c r="AI73" s="180" t="s">
        <v>4166</v>
      </c>
      <c r="AJ73" s="180">
        <v>29000000</v>
      </c>
      <c r="AK73" s="179">
        <v>15</v>
      </c>
      <c r="AL73" s="179">
        <f t="shared" si="24"/>
        <v>511</v>
      </c>
      <c r="AM73" s="180">
        <f t="shared" si="10"/>
        <v>14819000000</v>
      </c>
      <c r="AN73" s="179" t="s">
        <v>4176</v>
      </c>
    </row>
    <row r="74" spans="1:40">
      <c r="M74" s="122" t="s">
        <v>4484</v>
      </c>
      <c r="N74" s="96"/>
      <c r="Q74" s="169">
        <v>451533</v>
      </c>
      <c r="R74" s="19" t="s">
        <v>5464</v>
      </c>
      <c r="S74" s="197">
        <f>S73-6</f>
        <v>92</v>
      </c>
      <c r="T74" s="189" t="s">
        <v>5471</v>
      </c>
      <c r="U74" s="213">
        <v>500.5</v>
      </c>
      <c r="V74" s="213">
        <f t="shared" si="21"/>
        <v>543.4305589041096</v>
      </c>
      <c r="W74" s="32">
        <f t="shared" si="25"/>
        <v>554.29917008219184</v>
      </c>
      <c r="X74" s="32">
        <f t="shared" si="26"/>
        <v>565.16778126027396</v>
      </c>
      <c r="Z74" s="122"/>
      <c r="AH74" s="20">
        <v>54</v>
      </c>
      <c r="AI74" s="117" t="s">
        <v>4200</v>
      </c>
      <c r="AJ74" s="117">
        <v>-130000</v>
      </c>
      <c r="AK74" s="20">
        <v>7</v>
      </c>
      <c r="AL74" s="99">
        <f t="shared" si="24"/>
        <v>496</v>
      </c>
      <c r="AM74" s="117">
        <f t="shared" si="10"/>
        <v>-64480000</v>
      </c>
      <c r="AN74" s="20" t="s">
        <v>4202</v>
      </c>
    </row>
    <row r="75" spans="1:40">
      <c r="G75" s="48" t="s">
        <v>786</v>
      </c>
      <c r="H75" s="201" t="s">
        <v>476</v>
      </c>
      <c r="M75" s="122" t="s">
        <v>4552</v>
      </c>
      <c r="N75" s="96"/>
      <c r="O75" s="278"/>
      <c r="P75" t="s">
        <v>25</v>
      </c>
      <c r="Q75" s="169">
        <v>124313</v>
      </c>
      <c r="R75" s="19" t="s">
        <v>5473</v>
      </c>
      <c r="S75" s="197">
        <f>S74-5</f>
        <v>87</v>
      </c>
      <c r="T75" s="189" t="s">
        <v>5474</v>
      </c>
      <c r="U75" s="213">
        <v>460</v>
      </c>
      <c r="V75" s="213">
        <f t="shared" si="21"/>
        <v>497.69227397260278</v>
      </c>
      <c r="W75" s="32">
        <f t="shared" si="25"/>
        <v>507.64611945205485</v>
      </c>
      <c r="X75" s="32">
        <f t="shared" si="26"/>
        <v>517.59996493150686</v>
      </c>
      <c r="Z75" s="115"/>
      <c r="AH75" s="20">
        <v>55</v>
      </c>
      <c r="AI75" s="117" t="s">
        <v>4248</v>
      </c>
      <c r="AJ75" s="117">
        <v>232000</v>
      </c>
      <c r="AK75" s="20">
        <v>2</v>
      </c>
      <c r="AL75" s="99">
        <f t="shared" si="24"/>
        <v>489</v>
      </c>
      <c r="AM75" s="117">
        <f>AJ75*AL75</f>
        <v>113448000</v>
      </c>
      <c r="AN75" s="20" t="s">
        <v>4250</v>
      </c>
    </row>
    <row r="76" spans="1:40" ht="30">
      <c r="D76" s="3"/>
      <c r="E76" s="11" t="s">
        <v>304</v>
      </c>
      <c r="G76" s="47">
        <v>700000</v>
      </c>
      <c r="H76" s="201" t="s">
        <v>1036</v>
      </c>
      <c r="M76" s="206" t="s">
        <v>4661</v>
      </c>
      <c r="N76" s="96"/>
      <c r="P76" s="115"/>
      <c r="Q76" s="169">
        <v>371541</v>
      </c>
      <c r="R76" s="19" t="s">
        <v>5501</v>
      </c>
      <c r="S76" s="197">
        <f>S75-23</f>
        <v>64</v>
      </c>
      <c r="T76" s="189" t="s">
        <v>5502</v>
      </c>
      <c r="U76" s="213">
        <v>484.7</v>
      </c>
      <c r="V76" s="213">
        <f t="shared" si="21"/>
        <v>515.86421808219177</v>
      </c>
      <c r="W76" s="32">
        <f t="shared" si="25"/>
        <v>526.1815024438356</v>
      </c>
      <c r="X76" s="32">
        <f t="shared" si="26"/>
        <v>536.49878680547943</v>
      </c>
      <c r="Y76" s="122" t="s">
        <v>25</v>
      </c>
      <c r="Z76" s="115"/>
      <c r="AH76" s="20">
        <v>56</v>
      </c>
      <c r="AI76" s="117" t="s">
        <v>4258</v>
      </c>
      <c r="AJ76" s="117">
        <v>-170000</v>
      </c>
      <c r="AK76" s="20">
        <v>3</v>
      </c>
      <c r="AL76" s="99">
        <f t="shared" si="24"/>
        <v>487</v>
      </c>
      <c r="AM76" s="117">
        <f t="shared" si="10"/>
        <v>-82790000</v>
      </c>
      <c r="AN76" s="20"/>
    </row>
    <row r="77" spans="1:40" ht="31.5">
      <c r="D77" s="1" t="s">
        <v>305</v>
      </c>
      <c r="E77" s="1">
        <v>70000</v>
      </c>
      <c r="G77" s="47">
        <v>500000</v>
      </c>
      <c r="H77" s="201" t="s">
        <v>479</v>
      </c>
      <c r="K77" s="212" t="s">
        <v>4704</v>
      </c>
      <c r="L77" s="22" t="s">
        <v>4682</v>
      </c>
      <c r="M77" s="255" t="s">
        <v>4996</v>
      </c>
      <c r="N77" s="96"/>
      <c r="P77" s="115" t="s">
        <v>25</v>
      </c>
      <c r="Q77" s="169">
        <v>750391</v>
      </c>
      <c r="R77" s="19" t="s">
        <v>5532</v>
      </c>
      <c r="S77" s="197">
        <f>S76-16</f>
        <v>48</v>
      </c>
      <c r="T77" s="189" t="s">
        <v>5533</v>
      </c>
      <c r="U77" s="213">
        <v>9000</v>
      </c>
      <c r="V77" s="213">
        <f t="shared" si="21"/>
        <v>9468.1972602739734</v>
      </c>
      <c r="W77" s="32">
        <f t="shared" si="25"/>
        <v>9657.5612054794528</v>
      </c>
      <c r="X77" s="32">
        <f t="shared" si="26"/>
        <v>9846.9251506849323</v>
      </c>
      <c r="Y77" t="s">
        <v>25</v>
      </c>
      <c r="Z77" s="122"/>
      <c r="AA77" t="s">
        <v>25</v>
      </c>
      <c r="AH77" s="20">
        <v>57</v>
      </c>
      <c r="AI77" s="117" t="s">
        <v>4272</v>
      </c>
      <c r="AJ77" s="117">
        <v>-300000</v>
      </c>
      <c r="AK77" s="20">
        <v>3</v>
      </c>
      <c r="AL77" s="99">
        <f t="shared" si="24"/>
        <v>484</v>
      </c>
      <c r="AM77" s="117">
        <f t="shared" si="10"/>
        <v>-145200000</v>
      </c>
      <c r="AN77" s="20"/>
    </row>
    <row r="78" spans="1:40">
      <c r="D78" s="1" t="s">
        <v>321</v>
      </c>
      <c r="E78" s="1">
        <v>100000</v>
      </c>
      <c r="G78" s="47">
        <v>180000</v>
      </c>
      <c r="H78" s="201" t="s">
        <v>558</v>
      </c>
      <c r="K78" t="s">
        <v>4705</v>
      </c>
      <c r="M78" s="122"/>
      <c r="O78" t="s">
        <v>25</v>
      </c>
      <c r="P78" s="115"/>
      <c r="Q78" s="169">
        <v>1386553</v>
      </c>
      <c r="R78" s="19" t="s">
        <v>5543</v>
      </c>
      <c r="S78" s="197">
        <f>S77-6</f>
        <v>42</v>
      </c>
      <c r="T78" s="189" t="s">
        <v>5634</v>
      </c>
      <c r="U78" s="213">
        <v>10699.9</v>
      </c>
      <c r="V78" s="213">
        <f t="shared" si="21"/>
        <v>11207.280463561645</v>
      </c>
      <c r="W78" s="32">
        <f t="shared" si="25"/>
        <v>11431.426072832877</v>
      </c>
      <c r="X78" s="32">
        <f t="shared" si="26"/>
        <v>11655.571682104111</v>
      </c>
      <c r="Z78" s="122"/>
      <c r="AD78" s="115"/>
      <c r="AE78" s="115"/>
      <c r="AH78" s="20">
        <v>58</v>
      </c>
      <c r="AI78" s="117" t="s">
        <v>4281</v>
      </c>
      <c r="AJ78" s="117">
        <v>-11400000</v>
      </c>
      <c r="AK78" s="20">
        <v>13</v>
      </c>
      <c r="AL78" s="99">
        <f t="shared" ref="AL78:AL83" si="27">AL79+AK78</f>
        <v>481</v>
      </c>
      <c r="AM78" s="117">
        <f t="shared" si="10"/>
        <v>-5483400000</v>
      </c>
      <c r="AN78" s="20"/>
    </row>
    <row r="79" spans="1:40">
      <c r="D79" s="1" t="s">
        <v>306</v>
      </c>
      <c r="E79" s="1">
        <v>80000</v>
      </c>
      <c r="G79" s="47">
        <v>0</v>
      </c>
      <c r="H79" s="201" t="s">
        <v>782</v>
      </c>
      <c r="K79" t="s">
        <v>4555</v>
      </c>
      <c r="L79" s="96"/>
      <c r="M79" s="96"/>
      <c r="N79" s="113"/>
      <c r="P79" s="116"/>
      <c r="Q79" s="169">
        <v>5038181</v>
      </c>
      <c r="R79" s="19" t="s">
        <v>5561</v>
      </c>
      <c r="S79" s="197">
        <f>S78-8</f>
        <v>34</v>
      </c>
      <c r="T79" s="189" t="s">
        <v>5563</v>
      </c>
      <c r="U79" s="213">
        <v>1022.2</v>
      </c>
      <c r="V79" s="213">
        <f t="shared" si="21"/>
        <v>1064.3986564383563</v>
      </c>
      <c r="W79" s="32">
        <f t="shared" si="25"/>
        <v>1085.6866295671234</v>
      </c>
      <c r="X79" s="32">
        <f t="shared" si="26"/>
        <v>1106.9746026958906</v>
      </c>
      <c r="Z79" s="122"/>
      <c r="AC79" s="115"/>
      <c r="AD79" s="115"/>
      <c r="AE79" s="115"/>
      <c r="AF79"/>
      <c r="AH79" s="20">
        <v>59</v>
      </c>
      <c r="AI79" s="117" t="s">
        <v>4335</v>
      </c>
      <c r="AJ79" s="117">
        <v>-10000000</v>
      </c>
      <c r="AK79" s="20">
        <v>1</v>
      </c>
      <c r="AL79" s="99">
        <f t="shared" si="27"/>
        <v>468</v>
      </c>
      <c r="AM79" s="117">
        <f>AJ79*AL79</f>
        <v>-4680000000</v>
      </c>
      <c r="AN79" s="20"/>
    </row>
    <row r="80" spans="1:40">
      <c r="D80" s="31" t="s">
        <v>307</v>
      </c>
      <c r="E80" s="1">
        <v>150000</v>
      </c>
      <c r="G80" s="47">
        <v>0</v>
      </c>
      <c r="H80" s="201" t="s">
        <v>783</v>
      </c>
      <c r="J80" t="s">
        <v>25</v>
      </c>
      <c r="K80" t="s">
        <v>4766</v>
      </c>
      <c r="P80" s="115"/>
      <c r="Q80" s="169">
        <v>372863</v>
      </c>
      <c r="R80" s="19" t="s">
        <v>5614</v>
      </c>
      <c r="S80" s="197">
        <f>S79-21</f>
        <v>13</v>
      </c>
      <c r="T80" s="189" t="s">
        <v>5638</v>
      </c>
      <c r="U80" s="213">
        <v>6511.9</v>
      </c>
      <c r="V80" s="213">
        <f t="shared" si="21"/>
        <v>6675.8214717808223</v>
      </c>
      <c r="W80" s="32">
        <f t="shared" si="25"/>
        <v>6809.3379012164387</v>
      </c>
      <c r="X80" s="32">
        <f t="shared" si="26"/>
        <v>6942.8543306520551</v>
      </c>
      <c r="Z80" s="122"/>
      <c r="AC80" s="115"/>
      <c r="AD80" s="115"/>
      <c r="AE80" s="115"/>
      <c r="AF80"/>
      <c r="AH80" s="20">
        <v>60</v>
      </c>
      <c r="AI80" s="117" t="s">
        <v>4336</v>
      </c>
      <c r="AJ80" s="117">
        <v>-2450000</v>
      </c>
      <c r="AK80" s="20">
        <v>5</v>
      </c>
      <c r="AL80" s="99">
        <f t="shared" si="27"/>
        <v>467</v>
      </c>
      <c r="AM80" s="117">
        <f>AJ80*AL80</f>
        <v>-1144150000</v>
      </c>
      <c r="AN80" s="20"/>
    </row>
    <row r="81" spans="4:52">
      <c r="D81" s="31" t="s">
        <v>308</v>
      </c>
      <c r="E81" s="1">
        <v>300000</v>
      </c>
      <c r="G81" s="47">
        <v>500000</v>
      </c>
      <c r="H81" s="48" t="s">
        <v>784</v>
      </c>
      <c r="K81" t="s">
        <v>4767</v>
      </c>
      <c r="N81" t="s">
        <v>25</v>
      </c>
      <c r="P81" s="115"/>
      <c r="Q81" s="169"/>
      <c r="R81" s="19"/>
      <c r="S81" s="197"/>
      <c r="T81" s="189"/>
      <c r="U81" s="213"/>
      <c r="V81" s="213"/>
      <c r="W81" s="32"/>
      <c r="X81" s="32"/>
      <c r="Z81" s="122"/>
      <c r="AA81" t="s">
        <v>25</v>
      </c>
      <c r="AD81" s="115"/>
      <c r="AE81" s="115"/>
      <c r="AF81" s="115"/>
      <c r="AH81" s="20">
        <v>61</v>
      </c>
      <c r="AI81" s="117" t="s">
        <v>4360</v>
      </c>
      <c r="AJ81" s="117">
        <v>-456081</v>
      </c>
      <c r="AK81" s="20">
        <v>1</v>
      </c>
      <c r="AL81" s="99">
        <f t="shared" si="27"/>
        <v>462</v>
      </c>
      <c r="AM81" s="117">
        <f t="shared" si="10"/>
        <v>-210709422</v>
      </c>
      <c r="AN81" s="20"/>
    </row>
    <row r="82" spans="4:52" ht="26.25">
      <c r="D82" s="31" t="s">
        <v>309</v>
      </c>
      <c r="E82" s="1">
        <v>100000</v>
      </c>
      <c r="G82" s="47">
        <v>75000</v>
      </c>
      <c r="H82" s="48" t="s">
        <v>785</v>
      </c>
      <c r="K82" t="s">
        <v>4768</v>
      </c>
      <c r="M82" s="252"/>
      <c r="Q82" s="169"/>
      <c r="R82" s="168"/>
      <c r="S82" s="113"/>
      <c r="T82" s="113"/>
      <c r="U82" s="168" t="s">
        <v>25</v>
      </c>
      <c r="V82" s="213" t="e">
        <f>U82*(1+$R$87+$Q$15*S82/36500)</f>
        <v>#VALUE!</v>
      </c>
      <c r="W82" s="32" t="e">
        <f t="shared" si="25"/>
        <v>#VALUE!</v>
      </c>
      <c r="X82" s="32" t="e">
        <f t="shared" si="26"/>
        <v>#VALUE!</v>
      </c>
      <c r="Y82" s="96" t="s">
        <v>25</v>
      </c>
      <c r="Z82" s="122"/>
      <c r="AA82" s="115"/>
      <c r="AB82" s="115"/>
      <c r="AC82" s="115"/>
      <c r="AD82" s="115"/>
      <c r="AE82" s="115"/>
      <c r="AF82" s="115"/>
      <c r="AH82" s="20">
        <v>62</v>
      </c>
      <c r="AI82" s="117" t="s">
        <v>4362</v>
      </c>
      <c r="AJ82" s="117">
        <v>-500000</v>
      </c>
      <c r="AK82" s="20">
        <v>2</v>
      </c>
      <c r="AL82" s="99">
        <f t="shared" si="27"/>
        <v>461</v>
      </c>
      <c r="AM82" s="117">
        <f t="shared" si="10"/>
        <v>-230500000</v>
      </c>
      <c r="AN82" s="20"/>
      <c r="AO82" t="s">
        <v>25</v>
      </c>
      <c r="AU82"/>
      <c r="AW82" t="s">
        <v>25</v>
      </c>
    </row>
    <row r="83" spans="4:52">
      <c r="D83" s="31" t="s">
        <v>310</v>
      </c>
      <c r="E83" s="1">
        <v>200000</v>
      </c>
      <c r="G83" s="47">
        <v>0</v>
      </c>
      <c r="H83" s="48" t="s">
        <v>787</v>
      </c>
      <c r="K83" t="s">
        <v>4517</v>
      </c>
      <c r="Q83" s="113">
        <f>SUM(N28:N31)-SUM(Q60:Q82)</f>
        <v>214170016</v>
      </c>
      <c r="R83" s="168"/>
      <c r="S83" s="168"/>
      <c r="T83" s="168"/>
      <c r="U83" s="168"/>
      <c r="V83" s="168"/>
      <c r="W83" s="32"/>
      <c r="X83" s="32"/>
      <c r="Y83" s="96" t="s">
        <v>25</v>
      </c>
      <c r="AA83" s="115"/>
      <c r="AB83" s="115"/>
      <c r="AC83" s="128"/>
      <c r="AD83" s="115"/>
      <c r="AE83" s="115"/>
      <c r="AF83" s="115"/>
      <c r="AH83" s="20">
        <v>63</v>
      </c>
      <c r="AI83" s="117" t="s">
        <v>4380</v>
      </c>
      <c r="AJ83" s="117">
        <v>-6234370</v>
      </c>
      <c r="AK83" s="20">
        <v>3</v>
      </c>
      <c r="AL83" s="99">
        <f t="shared" si="27"/>
        <v>459</v>
      </c>
      <c r="AM83" s="117">
        <f t="shared" si="10"/>
        <v>-2861575830</v>
      </c>
      <c r="AN83" s="20"/>
      <c r="AU83"/>
    </row>
    <row r="84" spans="4:52">
      <c r="D84" s="18" t="s">
        <v>311</v>
      </c>
      <c r="E84" s="18">
        <v>300000</v>
      </c>
      <c r="G84" s="47">
        <v>500000</v>
      </c>
      <c r="H84" s="48" t="s">
        <v>564</v>
      </c>
      <c r="J84">
        <v>0</v>
      </c>
      <c r="K84" t="s">
        <v>4558</v>
      </c>
      <c r="M84" s="257" t="s">
        <v>5001</v>
      </c>
      <c r="R84" s="115"/>
      <c r="S84" s="115"/>
      <c r="T84" s="115" t="s">
        <v>25</v>
      </c>
      <c r="U84" s="115" t="s">
        <v>25</v>
      </c>
      <c r="V84" s="115" t="s">
        <v>25</v>
      </c>
      <c r="W84" s="194" t="s">
        <v>25</v>
      </c>
      <c r="X84" s="194"/>
      <c r="Y84" s="96" t="s">
        <v>25</v>
      </c>
      <c r="AA84" s="115"/>
      <c r="AB84" s="115"/>
      <c r="AC84" s="128"/>
      <c r="AD84" s="115"/>
      <c r="AE84" s="115"/>
      <c r="AF84" s="115"/>
      <c r="AH84" s="20">
        <v>64</v>
      </c>
      <c r="AI84" s="117" t="s">
        <v>4390</v>
      </c>
      <c r="AJ84" s="117">
        <v>1950957</v>
      </c>
      <c r="AK84" s="20">
        <v>4</v>
      </c>
      <c r="AL84" s="99">
        <f t="shared" si="24"/>
        <v>456</v>
      </c>
      <c r="AM84" s="117">
        <f t="shared" si="10"/>
        <v>889636392</v>
      </c>
      <c r="AN84" s="20"/>
      <c r="AZ84" t="s">
        <v>25</v>
      </c>
    </row>
    <row r="85" spans="4:52">
      <c r="D85" s="32" t="s">
        <v>312</v>
      </c>
      <c r="E85" s="1">
        <v>200000</v>
      </c>
      <c r="G85" s="47">
        <v>50000</v>
      </c>
      <c r="H85" s="48" t="s">
        <v>790</v>
      </c>
      <c r="K85" t="s">
        <v>4516</v>
      </c>
      <c r="M85" s="257" t="s">
        <v>5002</v>
      </c>
      <c r="Q85" s="99" t="s">
        <v>946</v>
      </c>
      <c r="R85" s="99">
        <v>1.03E-2</v>
      </c>
      <c r="S85" s="26" t="s">
        <v>25</v>
      </c>
      <c r="T85" t="s">
        <v>25</v>
      </c>
      <c r="U85" s="96" t="s">
        <v>25</v>
      </c>
      <c r="V85" s="115" t="s">
        <v>25</v>
      </c>
      <c r="W85" s="194" t="s">
        <v>25</v>
      </c>
      <c r="X85" s="194"/>
      <c r="Y85" s="96" t="s">
        <v>25</v>
      </c>
      <c r="AA85" s="115"/>
      <c r="AB85" s="115"/>
      <c r="AC85" s="128"/>
      <c r="AD85" s="115"/>
      <c r="AE85" s="115"/>
      <c r="AF85" s="115"/>
      <c r="AH85" s="20">
        <v>65</v>
      </c>
      <c r="AI85" s="117" t="s">
        <v>4415</v>
      </c>
      <c r="AJ85" s="117">
        <v>600000</v>
      </c>
      <c r="AK85" s="20">
        <v>5</v>
      </c>
      <c r="AL85" s="99">
        <f t="shared" si="24"/>
        <v>452</v>
      </c>
      <c r="AM85" s="117">
        <f t="shared" si="10"/>
        <v>271200000</v>
      </c>
      <c r="AN85" s="20"/>
    </row>
    <row r="86" spans="4:52">
      <c r="D86" s="32" t="s">
        <v>313</v>
      </c>
      <c r="E86" s="1">
        <v>20000</v>
      </c>
      <c r="G86" s="47">
        <v>140000</v>
      </c>
      <c r="H86" s="48" t="s">
        <v>314</v>
      </c>
      <c r="J86" t="s">
        <v>25</v>
      </c>
      <c r="K86" s="22" t="s">
        <v>4233</v>
      </c>
      <c r="Q86" s="99" t="s">
        <v>61</v>
      </c>
      <c r="R86" s="99">
        <v>4.8999999999999998E-3</v>
      </c>
      <c r="T86" s="114" t="s">
        <v>25</v>
      </c>
      <c r="U86" s="96" t="s">
        <v>25</v>
      </c>
      <c r="V86" t="s">
        <v>25</v>
      </c>
      <c r="W86" s="194" t="s">
        <v>25</v>
      </c>
      <c r="X86" s="194" t="s">
        <v>25</v>
      </c>
      <c r="Y86" s="96" t="s">
        <v>25</v>
      </c>
      <c r="AA86" s="122" t="s">
        <v>25</v>
      </c>
      <c r="AB86" s="115"/>
      <c r="AC86" s="128"/>
      <c r="AD86" s="115"/>
      <c r="AE86" s="115"/>
      <c r="AF86" s="115"/>
      <c r="AH86" s="20">
        <v>66</v>
      </c>
      <c r="AI86" s="117" t="s">
        <v>4423</v>
      </c>
      <c r="AJ86" s="117">
        <v>7500000</v>
      </c>
      <c r="AK86" s="20">
        <v>2</v>
      </c>
      <c r="AL86" s="99">
        <f t="shared" si="24"/>
        <v>447</v>
      </c>
      <c r="AM86" s="117">
        <f t="shared" si="10"/>
        <v>3352500000</v>
      </c>
      <c r="AN86" s="20"/>
      <c r="AS86" s="96"/>
    </row>
    <row r="87" spans="4:52">
      <c r="D87" s="32" t="s">
        <v>315</v>
      </c>
      <c r="E87" s="1">
        <v>50000</v>
      </c>
      <c r="G87" s="47"/>
      <c r="H87" s="48" t="s">
        <v>25</v>
      </c>
      <c r="J87">
        <v>0</v>
      </c>
      <c r="K87" t="s">
        <v>4513</v>
      </c>
      <c r="Q87" s="99" t="s">
        <v>6</v>
      </c>
      <c r="R87" s="99">
        <f>R85+R86</f>
        <v>1.52E-2</v>
      </c>
      <c r="T87" t="s">
        <v>25</v>
      </c>
      <c r="U87" s="96" t="s">
        <v>25</v>
      </c>
      <c r="V87" t="s">
        <v>25</v>
      </c>
      <c r="W87" s="194"/>
      <c r="X87" s="194"/>
      <c r="Y87" s="122" t="s">
        <v>25</v>
      </c>
      <c r="AA87" s="115" t="s">
        <v>25</v>
      </c>
      <c r="AB87" s="115"/>
      <c r="AC87" s="128"/>
      <c r="AD87" s="115"/>
      <c r="AE87" s="115"/>
      <c r="AF87" s="115"/>
      <c r="AH87" s="20">
        <v>67</v>
      </c>
      <c r="AI87" s="117" t="s">
        <v>4428</v>
      </c>
      <c r="AJ87" s="117">
        <v>-587816</v>
      </c>
      <c r="AK87" s="20">
        <v>3</v>
      </c>
      <c r="AL87" s="99">
        <f t="shared" si="24"/>
        <v>445</v>
      </c>
      <c r="AM87" s="117">
        <f t="shared" si="10"/>
        <v>-261578120</v>
      </c>
      <c r="AN87" s="20"/>
      <c r="AS87" s="96"/>
    </row>
    <row r="88" spans="4:52">
      <c r="D88" s="32" t="s">
        <v>316</v>
      </c>
      <c r="E88" s="1">
        <v>90000</v>
      </c>
      <c r="G88" s="47">
        <f>SUM(G76:G87)</f>
        <v>2645000</v>
      </c>
      <c r="H88" s="48" t="s">
        <v>6</v>
      </c>
      <c r="K88" t="s">
        <v>4285</v>
      </c>
      <c r="W88" s="194"/>
      <c r="X88" s="194"/>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ht="30">
      <c r="D89" s="32" t="s">
        <v>317</v>
      </c>
      <c r="E89" s="1">
        <v>50000</v>
      </c>
      <c r="K89" t="s">
        <v>25</v>
      </c>
      <c r="M89" s="193" t="s">
        <v>4512</v>
      </c>
      <c r="Q89" s="73" t="s">
        <v>4284</v>
      </c>
      <c r="R89" s="112"/>
      <c r="S89" s="112"/>
      <c r="T89" s="112"/>
      <c r="U89" s="168" t="s">
        <v>4351</v>
      </c>
      <c r="V89" s="36" t="s">
        <v>4353</v>
      </c>
      <c r="W89" s="32"/>
      <c r="X89" s="32"/>
      <c r="Z89" s="115"/>
      <c r="AA89" s="115"/>
      <c r="AB89" s="115"/>
      <c r="AC89" s="115"/>
      <c r="AD89" s="115"/>
      <c r="AE89" s="115"/>
      <c r="AF89" s="115"/>
      <c r="AG89" s="115"/>
      <c r="AH89" s="20">
        <v>69</v>
      </c>
      <c r="AI89" s="117" t="s">
        <v>4427</v>
      </c>
      <c r="AJ89" s="117">
        <v>2450000</v>
      </c>
      <c r="AK89" s="20">
        <v>1</v>
      </c>
      <c r="AL89" s="99">
        <f t="shared" si="24"/>
        <v>442</v>
      </c>
      <c r="AM89" s="117">
        <f t="shared" si="10"/>
        <v>1082900000</v>
      </c>
      <c r="AN89" s="20" t="s">
        <v>4460</v>
      </c>
      <c r="AQ89" t="s">
        <v>25</v>
      </c>
      <c r="AR89" t="s">
        <v>25</v>
      </c>
    </row>
    <row r="90" spans="4:52">
      <c r="D90" s="32" t="s">
        <v>327</v>
      </c>
      <c r="E90" s="1">
        <v>150000</v>
      </c>
      <c r="F90" s="96"/>
      <c r="G90" s="96"/>
      <c r="H90" s="96"/>
      <c r="I90" s="96"/>
      <c r="J90" s="96"/>
      <c r="K90" s="96"/>
      <c r="M90" t="s">
        <v>4513</v>
      </c>
      <c r="Q90" s="112" t="s">
        <v>267</v>
      </c>
      <c r="R90" s="112" t="s">
        <v>180</v>
      </c>
      <c r="S90" s="112" t="s">
        <v>183</v>
      </c>
      <c r="T90" s="112" t="s">
        <v>8</v>
      </c>
      <c r="U90" s="168"/>
      <c r="V90" s="99"/>
      <c r="W90" s="32">
        <v>2</v>
      </c>
      <c r="X90" s="32">
        <v>4</v>
      </c>
      <c r="Z90" s="115"/>
      <c r="AA90" s="115"/>
      <c r="AB90" s="115"/>
      <c r="AC90" s="115"/>
      <c r="AD90" s="115"/>
      <c r="AE90"/>
      <c r="AG90" s="115"/>
      <c r="AH90" s="20">
        <v>70</v>
      </c>
      <c r="AI90" s="117" t="s">
        <v>4462</v>
      </c>
      <c r="AJ90" s="117">
        <v>1500000</v>
      </c>
      <c r="AK90" s="20">
        <v>1</v>
      </c>
      <c r="AL90" s="99">
        <f t="shared" si="24"/>
        <v>441</v>
      </c>
      <c r="AM90" s="117">
        <f t="shared" si="10"/>
        <v>661500000</v>
      </c>
      <c r="AN90" s="20"/>
      <c r="AP90" t="s">
        <v>25</v>
      </c>
      <c r="AU90" s="96" t="s">
        <v>25</v>
      </c>
    </row>
    <row r="91" spans="4:52">
      <c r="D91" s="32" t="s">
        <v>318</v>
      </c>
      <c r="E91" s="1">
        <v>15000</v>
      </c>
      <c r="F91" s="96"/>
      <c r="G91" s="96"/>
      <c r="H91" s="96"/>
      <c r="I91" s="96"/>
      <c r="J91" s="96" t="s">
        <v>25</v>
      </c>
      <c r="K91" s="96"/>
      <c r="M91" t="s">
        <v>4516</v>
      </c>
      <c r="Q91" s="35">
        <v>184971545</v>
      </c>
      <c r="R91" s="5" t="s">
        <v>4166</v>
      </c>
      <c r="S91" s="5">
        <v>626</v>
      </c>
      <c r="T91" s="5" t="s">
        <v>4334</v>
      </c>
      <c r="U91" s="168">
        <v>192</v>
      </c>
      <c r="V91" s="99">
        <f t="shared" ref="V91:V122" si="28">U91*(1+$R$87+$Q$15*S91/36500)</f>
        <v>287.12048219178087</v>
      </c>
      <c r="W91" s="32">
        <f t="shared" ref="W91:W106" si="29">V91*(1+$W$19/100)</f>
        <v>292.86289183561649</v>
      </c>
      <c r="X91" s="32">
        <f t="shared" ref="X91:X106" si="30">V91*(1+$X$19/100)</f>
        <v>298.60530147945212</v>
      </c>
      <c r="Z91" s="115"/>
      <c r="AA91" s="115"/>
      <c r="AE91"/>
      <c r="AG91" s="96"/>
      <c r="AH91" s="20">
        <v>71</v>
      </c>
      <c r="AI91" s="117" t="s">
        <v>4468</v>
      </c>
      <c r="AJ91" s="117">
        <v>2648000</v>
      </c>
      <c r="AK91" s="20">
        <v>1</v>
      </c>
      <c r="AL91" s="99">
        <f t="shared" si="24"/>
        <v>440</v>
      </c>
      <c r="AM91" s="117">
        <f t="shared" si="10"/>
        <v>1165120000</v>
      </c>
      <c r="AN91" s="20" t="s">
        <v>4469</v>
      </c>
      <c r="AU91" s="96" t="s">
        <v>25</v>
      </c>
    </row>
    <row r="92" spans="4:52">
      <c r="D92" s="32" t="s">
        <v>319</v>
      </c>
      <c r="E92" s="1">
        <v>20000</v>
      </c>
      <c r="F92" s="96"/>
      <c r="G92" s="96"/>
      <c r="H92" s="96"/>
      <c r="I92" s="96"/>
      <c r="J92" s="96"/>
      <c r="K92" s="96"/>
      <c r="M92" t="s">
        <v>4517</v>
      </c>
      <c r="Q92" s="35">
        <v>9560464</v>
      </c>
      <c r="R92" s="5" t="s">
        <v>4288</v>
      </c>
      <c r="S92" s="5">
        <f>S91-31</f>
        <v>595</v>
      </c>
      <c r="T92" s="5" t="s">
        <v>4301</v>
      </c>
      <c r="U92" s="168">
        <v>214.57</v>
      </c>
      <c r="V92" s="99">
        <f t="shared" si="28"/>
        <v>315.7694420821918</v>
      </c>
      <c r="W92" s="32">
        <f t="shared" si="29"/>
        <v>322.08483092383563</v>
      </c>
      <c r="X92" s="32">
        <f t="shared" si="30"/>
        <v>328.40021976547951</v>
      </c>
      <c r="Z92" s="115"/>
      <c r="AA92" s="115"/>
      <c r="AE92"/>
      <c r="AG92" s="96"/>
      <c r="AH92" s="20">
        <v>72</v>
      </c>
      <c r="AI92" s="117" t="s">
        <v>4222</v>
      </c>
      <c r="AJ92" s="117">
        <v>615000</v>
      </c>
      <c r="AK92" s="20">
        <v>4</v>
      </c>
      <c r="AL92" s="99">
        <f t="shared" si="24"/>
        <v>439</v>
      </c>
      <c r="AM92" s="117">
        <f t="shared" si="10"/>
        <v>269985000</v>
      </c>
      <c r="AN92" s="20"/>
      <c r="AV92" t="s">
        <v>25</v>
      </c>
    </row>
    <row r="93" spans="4:52">
      <c r="D93" s="32" t="s">
        <v>320</v>
      </c>
      <c r="E93" s="1">
        <v>40000</v>
      </c>
      <c r="F93" s="96"/>
      <c r="G93" s="96"/>
      <c r="H93" s="96"/>
      <c r="I93" s="96"/>
      <c r="J93" s="96"/>
      <c r="K93" s="96"/>
      <c r="M93" s="96"/>
      <c r="N93" s="96"/>
      <c r="Q93" s="35">
        <v>2000000</v>
      </c>
      <c r="R93" s="5" t="s">
        <v>4331</v>
      </c>
      <c r="S93" s="5">
        <f>S92-11</f>
        <v>584</v>
      </c>
      <c r="T93" s="5" t="s">
        <v>4333</v>
      </c>
      <c r="U93" s="168">
        <v>206.8</v>
      </c>
      <c r="V93" s="99">
        <f t="shared" si="28"/>
        <v>302.58976000000001</v>
      </c>
      <c r="W93" s="32">
        <f t="shared" si="29"/>
        <v>308.64155520000003</v>
      </c>
      <c r="X93" s="32">
        <f t="shared" si="30"/>
        <v>314.69335040000004</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c r="L94" s="96"/>
      <c r="M94" s="96"/>
      <c r="N94" s="96"/>
      <c r="Q94" s="35">
        <v>1429825</v>
      </c>
      <c r="R94" s="5" t="s">
        <v>4360</v>
      </c>
      <c r="S94" s="5">
        <f>S93-7</f>
        <v>577</v>
      </c>
      <c r="T94" s="5" t="s">
        <v>4369</v>
      </c>
      <c r="U94" s="168">
        <v>203.9</v>
      </c>
      <c r="V94" s="99">
        <f t="shared" si="28"/>
        <v>297.25156493150683</v>
      </c>
      <c r="W94" s="32">
        <f t="shared" si="29"/>
        <v>303.196596230137</v>
      </c>
      <c r="X94" s="32">
        <f t="shared" si="30"/>
        <v>309.14162752876712</v>
      </c>
      <c r="Y94">
        <v>961521</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c r="L95" s="96"/>
      <c r="Q95" s="35">
        <v>1420747</v>
      </c>
      <c r="R95" s="5" t="s">
        <v>4360</v>
      </c>
      <c r="S95" s="5">
        <f>S94</f>
        <v>577</v>
      </c>
      <c r="T95" s="5" t="s">
        <v>4371</v>
      </c>
      <c r="U95" s="168">
        <v>203.1</v>
      </c>
      <c r="V95" s="99">
        <f t="shared" si="28"/>
        <v>296.08530082191783</v>
      </c>
      <c r="W95" s="32">
        <f t="shared" si="29"/>
        <v>302.00700683835618</v>
      </c>
      <c r="X95" s="32">
        <f t="shared" si="30"/>
        <v>307.92871285479453</v>
      </c>
      <c r="Y95">
        <v>44349</v>
      </c>
      <c r="AH95" s="99">
        <v>75</v>
      </c>
      <c r="AI95" s="113" t="s">
        <v>4483</v>
      </c>
      <c r="AJ95" s="113">
        <v>2269000</v>
      </c>
      <c r="AK95" s="99">
        <v>1</v>
      </c>
      <c r="AL95" s="99">
        <f t="shared" ref="AL95:AL120" si="31">AL96+AK95</f>
        <v>433</v>
      </c>
      <c r="AM95" s="117">
        <f t="shared" si="10"/>
        <v>982477000</v>
      </c>
      <c r="AN95" s="99"/>
    </row>
    <row r="96" spans="4:52">
      <c r="D96" s="32" t="s">
        <v>314</v>
      </c>
      <c r="E96" s="1">
        <v>140000</v>
      </c>
      <c r="F96" s="96"/>
      <c r="G96" s="96"/>
      <c r="H96" s="96"/>
      <c r="I96" s="96"/>
      <c r="J96" s="96"/>
      <c r="K96" s="96"/>
      <c r="M96" t="s">
        <v>5253</v>
      </c>
      <c r="P96" t="s">
        <v>25</v>
      </c>
      <c r="Q96" s="35">
        <v>2010885</v>
      </c>
      <c r="R96" s="5" t="s">
        <v>4380</v>
      </c>
      <c r="S96" s="5">
        <f>S95-3</f>
        <v>574</v>
      </c>
      <c r="T96" s="5" t="s">
        <v>4385</v>
      </c>
      <c r="U96" s="168">
        <v>202.1</v>
      </c>
      <c r="V96" s="99">
        <f t="shared" si="28"/>
        <v>294.16236383561642</v>
      </c>
      <c r="W96" s="32">
        <f t="shared" si="29"/>
        <v>300.04561111232874</v>
      </c>
      <c r="X96" s="32">
        <f t="shared" si="30"/>
        <v>305.92885838904107</v>
      </c>
      <c r="Y96">
        <v>9625</v>
      </c>
      <c r="AH96" s="99">
        <v>76</v>
      </c>
      <c r="AI96" s="113" t="s">
        <v>4223</v>
      </c>
      <c r="AJ96" s="113">
        <v>750000</v>
      </c>
      <c r="AK96" s="99">
        <v>4</v>
      </c>
      <c r="AL96" s="99">
        <f t="shared" si="31"/>
        <v>432</v>
      </c>
      <c r="AM96" s="117">
        <f t="shared" si="10"/>
        <v>324000000</v>
      </c>
      <c r="AN96" s="99"/>
      <c r="AQ96" t="s">
        <v>25</v>
      </c>
    </row>
    <row r="97" spans="4:47">
      <c r="D97" s="2" t="s">
        <v>478</v>
      </c>
      <c r="E97" s="3">
        <v>1083333</v>
      </c>
      <c r="F97" s="96"/>
      <c r="G97" s="96"/>
      <c r="H97" s="96"/>
      <c r="I97" s="96"/>
      <c r="J97" s="96"/>
      <c r="K97" s="96" t="s">
        <v>25</v>
      </c>
      <c r="M97" t="s">
        <v>5259</v>
      </c>
      <c r="P97" s="115"/>
      <c r="Q97" s="35">
        <v>1971103</v>
      </c>
      <c r="R97" s="5" t="s">
        <v>4401</v>
      </c>
      <c r="S97" s="5">
        <f>S96-4</f>
        <v>570</v>
      </c>
      <c r="T97" s="5" t="s">
        <v>4402</v>
      </c>
      <c r="U97" s="168">
        <v>196.2</v>
      </c>
      <c r="V97" s="99">
        <f t="shared" si="28"/>
        <v>284.97270575342469</v>
      </c>
      <c r="W97" s="32">
        <f t="shared" si="29"/>
        <v>290.67215986849317</v>
      </c>
      <c r="X97" s="32">
        <f t="shared" si="30"/>
        <v>296.3716139835617</v>
      </c>
      <c r="Y97">
        <v>6980</v>
      </c>
      <c r="AH97" s="99">
        <v>77</v>
      </c>
      <c r="AI97" s="113" t="s">
        <v>4490</v>
      </c>
      <c r="AJ97" s="113">
        <v>1900000</v>
      </c>
      <c r="AK97" s="99">
        <v>3</v>
      </c>
      <c r="AL97" s="99">
        <f t="shared" si="31"/>
        <v>428</v>
      </c>
      <c r="AM97" s="117">
        <f t="shared" si="10"/>
        <v>813200000</v>
      </c>
      <c r="AN97" s="99"/>
    </row>
    <row r="98" spans="4:47">
      <c r="D98" s="2"/>
      <c r="E98" s="3"/>
      <c r="F98" s="96"/>
      <c r="G98" s="96"/>
      <c r="H98" s="96"/>
      <c r="I98" s="96"/>
      <c r="J98" s="96"/>
      <c r="K98" s="96" t="s">
        <v>25</v>
      </c>
      <c r="L98" t="s">
        <v>25</v>
      </c>
      <c r="P98" s="128"/>
      <c r="Q98" s="35">
        <v>1049856</v>
      </c>
      <c r="R98" s="5" t="s">
        <v>4421</v>
      </c>
      <c r="S98" s="5">
        <f>S97-6</f>
        <v>564</v>
      </c>
      <c r="T98" s="5" t="s">
        <v>4454</v>
      </c>
      <c r="U98" s="168">
        <v>184.5</v>
      </c>
      <c r="V98" s="99">
        <f t="shared" si="28"/>
        <v>267.12971506849317</v>
      </c>
      <c r="W98" s="32">
        <f t="shared" si="29"/>
        <v>272.47230936986301</v>
      </c>
      <c r="X98" s="32">
        <f t="shared" si="30"/>
        <v>277.81490367123291</v>
      </c>
      <c r="Y98">
        <v>6963</v>
      </c>
      <c r="AH98" s="99">
        <v>78</v>
      </c>
      <c r="AI98" s="113" t="s">
        <v>4503</v>
      </c>
      <c r="AJ98" s="113">
        <v>6400000</v>
      </c>
      <c r="AK98" s="99">
        <v>1</v>
      </c>
      <c r="AL98" s="99">
        <f t="shared" si="31"/>
        <v>425</v>
      </c>
      <c r="AM98" s="117">
        <f t="shared" si="10"/>
        <v>2720000000</v>
      </c>
      <c r="AN98" s="99"/>
    </row>
    <row r="99" spans="4:47">
      <c r="D99" s="2"/>
      <c r="E99" s="3"/>
      <c r="F99" s="96"/>
      <c r="G99" s="96"/>
      <c r="H99" s="96"/>
      <c r="I99" s="96" t="s">
        <v>25</v>
      </c>
      <c r="J99" s="96" t="s">
        <v>25</v>
      </c>
      <c r="K99" s="96" t="s">
        <v>25</v>
      </c>
      <c r="P99" s="128"/>
      <c r="Q99" s="35">
        <v>1783234</v>
      </c>
      <c r="R99" s="5" t="s">
        <v>4423</v>
      </c>
      <c r="S99" s="5">
        <f>S98-2</f>
        <v>562</v>
      </c>
      <c r="T99" s="5" t="s">
        <v>4424</v>
      </c>
      <c r="U99" s="168">
        <v>177.5</v>
      </c>
      <c r="V99" s="99">
        <f t="shared" si="28"/>
        <v>256.72238356164388</v>
      </c>
      <c r="W99" s="32">
        <f t="shared" si="29"/>
        <v>261.85683123287674</v>
      </c>
      <c r="X99" s="32">
        <f t="shared" si="30"/>
        <v>266.99127890410966</v>
      </c>
      <c r="Y99" s="96">
        <v>0</v>
      </c>
      <c r="AH99" s="99">
        <v>79</v>
      </c>
      <c r="AI99" s="113" t="s">
        <v>4501</v>
      </c>
      <c r="AJ99" s="113">
        <v>5000</v>
      </c>
      <c r="AK99" s="99">
        <v>5</v>
      </c>
      <c r="AL99" s="99">
        <f t="shared" si="31"/>
        <v>424</v>
      </c>
      <c r="AM99" s="117">
        <f t="shared" si="10"/>
        <v>2120000</v>
      </c>
      <c r="AN99" s="99"/>
      <c r="AP99" t="s">
        <v>25</v>
      </c>
    </row>
    <row r="100" spans="4:47">
      <c r="D100" s="2" t="s">
        <v>6</v>
      </c>
      <c r="E100" s="3">
        <f>SUM(E77:E98)</f>
        <v>3383333</v>
      </c>
      <c r="F100" s="96"/>
      <c r="G100" s="96"/>
      <c r="H100" s="96"/>
      <c r="I100" s="96"/>
      <c r="J100" s="96" t="s">
        <v>25</v>
      </c>
      <c r="K100" s="96" t="s">
        <v>25</v>
      </c>
      <c r="M100" s="96"/>
      <c r="N100" s="96"/>
      <c r="P100" s="115"/>
      <c r="Q100" s="35">
        <v>1662335</v>
      </c>
      <c r="R100" s="5" t="s">
        <v>4427</v>
      </c>
      <c r="S100" s="5">
        <f>S99-5</f>
        <v>557</v>
      </c>
      <c r="T100" s="218" t="s">
        <v>4566</v>
      </c>
      <c r="U100" s="168">
        <v>190.3</v>
      </c>
      <c r="V100" s="99">
        <f t="shared" si="28"/>
        <v>274.50540383561645</v>
      </c>
      <c r="W100" s="32">
        <f t="shared" si="29"/>
        <v>279.99551191232877</v>
      </c>
      <c r="X100" s="32">
        <f t="shared" si="30"/>
        <v>285.48561998904114</v>
      </c>
      <c r="Y100" s="96">
        <v>9904</v>
      </c>
      <c r="AH100" s="99">
        <v>80</v>
      </c>
      <c r="AI100" s="113" t="s">
        <v>4533</v>
      </c>
      <c r="AJ100" s="113">
        <v>-1750148</v>
      </c>
      <c r="AK100" s="99">
        <v>1</v>
      </c>
      <c r="AL100" s="99">
        <f t="shared" si="31"/>
        <v>419</v>
      </c>
      <c r="AM100" s="117">
        <f t="shared" si="10"/>
        <v>-733312012</v>
      </c>
      <c r="AN100" s="99"/>
    </row>
    <row r="101" spans="4:47">
      <c r="D101" s="2" t="s">
        <v>328</v>
      </c>
      <c r="E101" s="3">
        <f>E100/30</f>
        <v>112777.76666666666</v>
      </c>
      <c r="F101" s="96"/>
      <c r="G101" s="96"/>
      <c r="H101" s="96"/>
      <c r="I101" s="96"/>
      <c r="J101" s="96" t="s">
        <v>25</v>
      </c>
      <c r="K101" s="96" t="s">
        <v>25</v>
      </c>
      <c r="L101" s="96"/>
      <c r="M101" s="96"/>
      <c r="N101" s="96"/>
      <c r="Q101" s="35">
        <v>2272487</v>
      </c>
      <c r="R101" s="5" t="s">
        <v>4576</v>
      </c>
      <c r="S101" s="5">
        <f>S100-42</f>
        <v>515</v>
      </c>
      <c r="T101" s="5" t="s">
        <v>4577</v>
      </c>
      <c r="U101" s="168">
        <v>174.9</v>
      </c>
      <c r="V101" s="99">
        <f t="shared" si="28"/>
        <v>246.65595945205482</v>
      </c>
      <c r="W101" s="32">
        <f t="shared" si="29"/>
        <v>251.58907864109591</v>
      </c>
      <c r="X101" s="32">
        <f t="shared" si="30"/>
        <v>256.52219783013703</v>
      </c>
      <c r="Y101" s="96">
        <v>0</v>
      </c>
      <c r="AH101" s="99">
        <v>81</v>
      </c>
      <c r="AI101" s="113" t="s">
        <v>4536</v>
      </c>
      <c r="AJ101" s="113">
        <v>400000</v>
      </c>
      <c r="AK101" s="99">
        <v>0</v>
      </c>
      <c r="AL101" s="99">
        <f t="shared" si="31"/>
        <v>418</v>
      </c>
      <c r="AM101" s="117">
        <f t="shared" si="10"/>
        <v>167200000</v>
      </c>
      <c r="AN101" s="99"/>
    </row>
    <row r="102" spans="4:47">
      <c r="F102" s="96"/>
      <c r="G102" s="96"/>
      <c r="H102" s="96"/>
      <c r="I102" s="96"/>
      <c r="J102" s="96" t="s">
        <v>25</v>
      </c>
      <c r="K102" s="96"/>
      <c r="L102" s="96"/>
      <c r="M102" s="96"/>
      <c r="N102" s="96"/>
      <c r="Q102" s="35">
        <v>3975257</v>
      </c>
      <c r="R102" s="5" t="s">
        <v>4581</v>
      </c>
      <c r="S102" s="5">
        <f>S101-1</f>
        <v>514</v>
      </c>
      <c r="T102" s="5" t="s">
        <v>4582</v>
      </c>
      <c r="U102" s="168">
        <v>173</v>
      </c>
      <c r="V102" s="99">
        <f t="shared" si="28"/>
        <v>243.84373698630137</v>
      </c>
      <c r="W102" s="32">
        <f t="shared" si="29"/>
        <v>248.72061172602739</v>
      </c>
      <c r="X102" s="32">
        <f t="shared" si="30"/>
        <v>253.59748646575343</v>
      </c>
      <c r="Y102" s="96">
        <v>0</v>
      </c>
      <c r="AH102" s="99">
        <v>82</v>
      </c>
      <c r="AI102" s="113" t="s">
        <v>4536</v>
      </c>
      <c r="AJ102" s="113">
        <v>-2105421</v>
      </c>
      <c r="AK102" s="99">
        <v>1</v>
      </c>
      <c r="AL102" s="99">
        <f t="shared" si="31"/>
        <v>418</v>
      </c>
      <c r="AM102" s="117">
        <f t="shared" si="10"/>
        <v>-880065978</v>
      </c>
      <c r="AN102" s="99"/>
      <c r="AO102" t="s">
        <v>25</v>
      </c>
    </row>
    <row r="103" spans="4:47">
      <c r="F103" s="96"/>
      <c r="G103" s="96"/>
      <c r="H103" s="96"/>
      <c r="I103" s="96"/>
      <c r="J103" s="96" t="s">
        <v>25</v>
      </c>
      <c r="K103" t="s">
        <v>25</v>
      </c>
      <c r="L103" s="96"/>
      <c r="M103" s="96"/>
      <c r="N103" s="96"/>
      <c r="Q103" s="35">
        <v>1031662</v>
      </c>
      <c r="R103" s="5" t="s">
        <v>4224</v>
      </c>
      <c r="S103" s="5">
        <f>S102-1</f>
        <v>513</v>
      </c>
      <c r="T103" s="5" t="s">
        <v>4584</v>
      </c>
      <c r="U103" s="168">
        <v>171.2</v>
      </c>
      <c r="V103" s="99">
        <f t="shared" si="28"/>
        <v>241.17530301369862</v>
      </c>
      <c r="W103" s="32">
        <f t="shared" si="29"/>
        <v>245.99880907397261</v>
      </c>
      <c r="X103" s="32">
        <f t="shared" si="30"/>
        <v>250.82231513424657</v>
      </c>
      <c r="Y103" s="96">
        <v>10000</v>
      </c>
      <c r="AH103" s="99">
        <v>83</v>
      </c>
      <c r="AI103" s="113" t="s">
        <v>4539</v>
      </c>
      <c r="AJ103" s="113">
        <v>-5527618</v>
      </c>
      <c r="AK103" s="99">
        <v>0</v>
      </c>
      <c r="AL103" s="99">
        <f t="shared" si="31"/>
        <v>417</v>
      </c>
      <c r="AM103" s="117">
        <f t="shared" si="10"/>
        <v>-2305016706</v>
      </c>
      <c r="AN103" s="99"/>
    </row>
    <row r="104" spans="4:47">
      <c r="J104" t="s">
        <v>25</v>
      </c>
      <c r="Q104" s="35">
        <v>577500</v>
      </c>
      <c r="R104" s="5" t="s">
        <v>4224</v>
      </c>
      <c r="S104" s="5">
        <f>S103</f>
        <v>513</v>
      </c>
      <c r="T104" s="5" t="s">
        <v>4588</v>
      </c>
      <c r="U104" s="168">
        <v>175</v>
      </c>
      <c r="V104" s="99">
        <f t="shared" si="28"/>
        <v>246.52849315068494</v>
      </c>
      <c r="W104" s="32">
        <f t="shared" si="29"/>
        <v>251.45906301369865</v>
      </c>
      <c r="X104" s="32">
        <f t="shared" si="30"/>
        <v>256.38963287671237</v>
      </c>
      <c r="Y104" s="96">
        <v>5664</v>
      </c>
      <c r="AH104" s="99">
        <v>84</v>
      </c>
      <c r="AI104" s="113" t="s">
        <v>4539</v>
      </c>
      <c r="AJ104" s="113">
        <v>3900000</v>
      </c>
      <c r="AK104" s="99">
        <v>3</v>
      </c>
      <c r="AL104" s="99">
        <f t="shared" si="31"/>
        <v>417</v>
      </c>
      <c r="AM104" s="117">
        <f t="shared" si="10"/>
        <v>1626300000</v>
      </c>
      <c r="AN104" s="99"/>
    </row>
    <row r="105" spans="4:47">
      <c r="Q105" s="35">
        <v>12636487</v>
      </c>
      <c r="R105" s="5" t="s">
        <v>3687</v>
      </c>
      <c r="S105" s="5">
        <f>S104-2</f>
        <v>511</v>
      </c>
      <c r="T105" s="5" t="s">
        <v>4591</v>
      </c>
      <c r="U105" s="168">
        <v>172.1</v>
      </c>
      <c r="V105" s="99">
        <f t="shared" si="28"/>
        <v>242.17911999999998</v>
      </c>
      <c r="W105" s="32">
        <f t="shared" si="29"/>
        <v>247.02270239999999</v>
      </c>
      <c r="X105" s="32">
        <f t="shared" si="30"/>
        <v>251.86628479999999</v>
      </c>
      <c r="Y105" s="96">
        <v>10000</v>
      </c>
      <c r="AH105" s="99">
        <v>85</v>
      </c>
      <c r="AI105" s="113" t="s">
        <v>4540</v>
      </c>
      <c r="AJ105" s="113">
        <v>-3969754</v>
      </c>
      <c r="AK105" s="99">
        <v>1</v>
      </c>
      <c r="AL105" s="99">
        <f t="shared" si="31"/>
        <v>414</v>
      </c>
      <c r="AM105" s="117">
        <f t="shared" si="10"/>
        <v>-1643478156</v>
      </c>
      <c r="AN105" s="99"/>
    </row>
    <row r="106" spans="4:47">
      <c r="F106" s="213" t="s">
        <v>4656</v>
      </c>
      <c r="G106" s="213" t="s">
        <v>938</v>
      </c>
      <c r="H106" s="213" t="s">
        <v>4649</v>
      </c>
      <c r="I106" s="213" t="s">
        <v>4648</v>
      </c>
      <c r="J106" s="32" t="s">
        <v>4518</v>
      </c>
      <c r="K106" s="213" t="s">
        <v>4642</v>
      </c>
      <c r="L106" s="32" t="s">
        <v>4644</v>
      </c>
      <c r="M106" s="32" t="s">
        <v>4619</v>
      </c>
      <c r="N106" s="213" t="s">
        <v>4620</v>
      </c>
      <c r="Q106" s="39">
        <v>11121445</v>
      </c>
      <c r="R106" s="5" t="s">
        <v>4594</v>
      </c>
      <c r="S106" s="5">
        <f>S105-3</f>
        <v>508</v>
      </c>
      <c r="T106" s="5" t="s">
        <v>4759</v>
      </c>
      <c r="U106" s="168">
        <v>171.8</v>
      </c>
      <c r="V106" s="99">
        <f t="shared" si="28"/>
        <v>241.36158465753428</v>
      </c>
      <c r="W106" s="32">
        <f t="shared" si="29"/>
        <v>246.18881635068496</v>
      </c>
      <c r="X106" s="32">
        <f t="shared" si="30"/>
        <v>251.01604804383567</v>
      </c>
      <c r="Y106" s="96">
        <v>8695</v>
      </c>
      <c r="AA106" t="s">
        <v>25</v>
      </c>
      <c r="AH106" s="99">
        <v>86</v>
      </c>
      <c r="AI106" s="113" t="s">
        <v>4550</v>
      </c>
      <c r="AJ106" s="113">
        <v>-25574455</v>
      </c>
      <c r="AK106" s="99">
        <v>0</v>
      </c>
      <c r="AL106" s="99">
        <f t="shared" si="31"/>
        <v>413</v>
      </c>
      <c r="AM106" s="117">
        <f t="shared" si="10"/>
        <v>-10562249915</v>
      </c>
      <c r="AN106" s="99"/>
      <c r="AP106" t="s">
        <v>25</v>
      </c>
    </row>
    <row r="107" spans="4:47">
      <c r="F107" s="199">
        <f>$L$115/G107</f>
        <v>6431.8529862174582</v>
      </c>
      <c r="G107" s="199">
        <f>P52</f>
        <v>1306</v>
      </c>
      <c r="H107" s="199" t="s">
        <v>4749</v>
      </c>
      <c r="I107" s="199" t="s">
        <v>5391</v>
      </c>
      <c r="J107" s="214" t="s">
        <v>4233</v>
      </c>
      <c r="K107" s="199">
        <v>210</v>
      </c>
      <c r="L107" s="215">
        <f t="shared" ref="L107:L112" si="32">K107*$L$115</f>
        <v>1764000000</v>
      </c>
      <c r="M107" s="215">
        <f>N21+N31+N52+N44</f>
        <v>6102841252</v>
      </c>
      <c r="N107" s="183">
        <f t="shared" ref="N107:N112" si="33">L107-M107</f>
        <v>-4338841252</v>
      </c>
      <c r="P107" s="96"/>
      <c r="Q107" s="169">
        <v>6150141</v>
      </c>
      <c r="R107" s="213" t="s">
        <v>4834</v>
      </c>
      <c r="S107" s="213">
        <f>S106-79</f>
        <v>429</v>
      </c>
      <c r="T107" s="213" t="s">
        <v>4840</v>
      </c>
      <c r="U107" s="213">
        <v>180.6</v>
      </c>
      <c r="V107" s="99">
        <f t="shared" si="28"/>
        <v>242.77983780821918</v>
      </c>
      <c r="W107" s="32">
        <f>V107*(1+$W$19/100)</f>
        <v>247.63543456438356</v>
      </c>
      <c r="X107" s="32">
        <f>V107*(1+$X$19/100)</f>
        <v>252.49103132054796</v>
      </c>
      <c r="Y107" s="96"/>
      <c r="AA107" t="s">
        <v>25</v>
      </c>
      <c r="AH107" s="99">
        <v>87</v>
      </c>
      <c r="AI107" s="113" t="s">
        <v>4550</v>
      </c>
      <c r="AJ107" s="113">
        <v>4000000</v>
      </c>
      <c r="AK107" s="99">
        <v>1</v>
      </c>
      <c r="AL107" s="99">
        <f t="shared" si="31"/>
        <v>413</v>
      </c>
      <c r="AM107" s="117">
        <f t="shared" si="10"/>
        <v>1652000000</v>
      </c>
      <c r="AN107" s="99"/>
    </row>
    <row r="108" spans="4:47">
      <c r="F108" s="213">
        <v>0</v>
      </c>
      <c r="G108" s="213">
        <f>P48</f>
        <v>16644</v>
      </c>
      <c r="H108" s="213" t="s">
        <v>4916</v>
      </c>
      <c r="I108" s="213" t="s">
        <v>5392</v>
      </c>
      <c r="J108" s="32" t="s">
        <v>4382</v>
      </c>
      <c r="K108" s="213">
        <v>33</v>
      </c>
      <c r="L108" s="1">
        <f t="shared" si="32"/>
        <v>277200000</v>
      </c>
      <c r="M108" s="1">
        <f>N48+N28+N23</f>
        <v>1617513852</v>
      </c>
      <c r="N108" s="113">
        <f t="shared" si="33"/>
        <v>-1340313852</v>
      </c>
      <c r="P108" s="96"/>
      <c r="Q108" s="169">
        <v>1399908</v>
      </c>
      <c r="R108" s="213" t="s">
        <v>4902</v>
      </c>
      <c r="S108" s="213">
        <f>S107-20</f>
        <v>409</v>
      </c>
      <c r="T108" s="213" t="s">
        <v>4903</v>
      </c>
      <c r="U108" s="213">
        <v>194</v>
      </c>
      <c r="V108" s="99">
        <f t="shared" si="28"/>
        <v>257.81696438356164</v>
      </c>
      <c r="W108" s="32">
        <f>V108*(1+$W$19/100)</f>
        <v>262.97330367123288</v>
      </c>
      <c r="X108" s="32">
        <f>V108*(1+$X$19/100)</f>
        <v>268.12964295890413</v>
      </c>
      <c r="Y108" s="96"/>
      <c r="AH108" s="99">
        <v>88</v>
      </c>
      <c r="AI108" s="113" t="s">
        <v>991</v>
      </c>
      <c r="AJ108" s="113">
        <v>-5000000</v>
      </c>
      <c r="AK108" s="99">
        <v>2</v>
      </c>
      <c r="AL108" s="99">
        <f t="shared" si="31"/>
        <v>412</v>
      </c>
      <c r="AM108" s="117">
        <f t="shared" si="10"/>
        <v>-2060000000</v>
      </c>
      <c r="AN108" s="99"/>
    </row>
    <row r="109" spans="4:47">
      <c r="F109" s="199">
        <v>0</v>
      </c>
      <c r="G109" s="199">
        <f>P47</f>
        <v>15670</v>
      </c>
      <c r="H109" s="199" t="s">
        <v>5040</v>
      </c>
      <c r="I109" s="199" t="s">
        <v>5393</v>
      </c>
      <c r="J109" s="214" t="s">
        <v>4378</v>
      </c>
      <c r="K109" s="199">
        <v>0</v>
      </c>
      <c r="L109" s="215">
        <f t="shared" si="32"/>
        <v>0</v>
      </c>
      <c r="M109" s="215">
        <f>N47+N25</f>
        <v>70467990</v>
      </c>
      <c r="N109" s="183">
        <f t="shared" si="33"/>
        <v>-70467990</v>
      </c>
      <c r="P109" s="96"/>
      <c r="Q109" s="169">
        <v>1204033</v>
      </c>
      <c r="R109" s="213" t="s">
        <v>4912</v>
      </c>
      <c r="S109" s="213">
        <f>S108-7</f>
        <v>402</v>
      </c>
      <c r="T109" s="213" t="s">
        <v>4915</v>
      </c>
      <c r="U109" s="213">
        <v>218.5</v>
      </c>
      <c r="V109" s="99">
        <f t="shared" si="28"/>
        <v>289.20300821917806</v>
      </c>
      <c r="W109" s="32">
        <f>V109*(1+$W$19/100)</f>
        <v>294.98706838356162</v>
      </c>
      <c r="X109" s="32">
        <f>V109*(1+$X$19/100)</f>
        <v>300.77112854794518</v>
      </c>
      <c r="Y109" s="96"/>
      <c r="AD109" s="96"/>
      <c r="AE109"/>
      <c r="AF109"/>
      <c r="AH109" s="99">
        <v>89</v>
      </c>
      <c r="AI109" s="113" t="s">
        <v>4554</v>
      </c>
      <c r="AJ109" s="113">
        <v>10000000</v>
      </c>
      <c r="AK109" s="99">
        <v>4</v>
      </c>
      <c r="AL109" s="99">
        <f t="shared" si="31"/>
        <v>410</v>
      </c>
      <c r="AM109" s="117">
        <f t="shared" si="10"/>
        <v>4100000000</v>
      </c>
      <c r="AN109" s="99"/>
    </row>
    <row r="110" spans="4:47">
      <c r="F110" s="189"/>
      <c r="G110" s="189"/>
      <c r="H110" s="189"/>
      <c r="I110" s="189"/>
      <c r="J110" s="281" t="s">
        <v>5394</v>
      </c>
      <c r="K110" s="189">
        <v>0</v>
      </c>
      <c r="L110" s="282">
        <f t="shared" si="32"/>
        <v>0</v>
      </c>
      <c r="M110" s="282">
        <f>N20+N27+N42</f>
        <v>43114</v>
      </c>
      <c r="N110" s="188">
        <f t="shared" si="33"/>
        <v>-43114</v>
      </c>
      <c r="P110" s="96"/>
      <c r="Q110" s="169">
        <v>8382674</v>
      </c>
      <c r="R110" s="213" t="s">
        <v>4922</v>
      </c>
      <c r="S110" s="213">
        <f>S109-7</f>
        <v>395</v>
      </c>
      <c r="T110" s="213" t="s">
        <v>4928</v>
      </c>
      <c r="U110" s="213">
        <v>192</v>
      </c>
      <c r="V110" s="99">
        <f t="shared" si="28"/>
        <v>253.09703013698635</v>
      </c>
      <c r="W110" s="32">
        <f>V110*(1+$W$19/100)</f>
        <v>258.1589707397261</v>
      </c>
      <c r="X110" s="32">
        <f>V110*(1+$X$19/100)</f>
        <v>263.2209113424658</v>
      </c>
      <c r="AH110" s="99">
        <v>90</v>
      </c>
      <c r="AI110" s="113" t="s">
        <v>4556</v>
      </c>
      <c r="AJ110" s="113">
        <v>-5241937</v>
      </c>
      <c r="AK110" s="99">
        <v>0</v>
      </c>
      <c r="AL110" s="99">
        <f t="shared" si="31"/>
        <v>406</v>
      </c>
      <c r="AM110" s="117">
        <f t="shared" si="10"/>
        <v>-2128226422</v>
      </c>
      <c r="AN110" s="99"/>
    </row>
    <row r="111" spans="4:47">
      <c r="F111" s="199"/>
      <c r="G111" s="199"/>
      <c r="H111" s="199"/>
      <c r="I111" s="199"/>
      <c r="J111" s="214" t="s">
        <v>314</v>
      </c>
      <c r="K111" s="199">
        <v>1</v>
      </c>
      <c r="L111" s="215">
        <f t="shared" si="32"/>
        <v>8400000</v>
      </c>
      <c r="M111" s="215">
        <v>0</v>
      </c>
      <c r="N111" s="183">
        <f t="shared" si="33"/>
        <v>8400000</v>
      </c>
      <c r="Q111" s="169">
        <v>104750654</v>
      </c>
      <c r="R111" s="213" t="s">
        <v>4941</v>
      </c>
      <c r="S111" s="213">
        <f>S110-9</f>
        <v>386</v>
      </c>
      <c r="T111" s="213" t="s">
        <v>5550</v>
      </c>
      <c r="U111" s="213">
        <v>193.6</v>
      </c>
      <c r="V111" s="99">
        <f t="shared" si="28"/>
        <v>253.86953643835616</v>
      </c>
      <c r="W111" s="32">
        <f>V111*(1+$W$19/100)</f>
        <v>258.94692716712331</v>
      </c>
      <c r="X111" s="32">
        <f>V111*(1+$X$19/100)</f>
        <v>264.02431789589042</v>
      </c>
      <c r="AH111" s="99">
        <v>91</v>
      </c>
      <c r="AI111" s="113" t="s">
        <v>4556</v>
      </c>
      <c r="AJ111" s="113">
        <v>21900000</v>
      </c>
      <c r="AK111" s="99">
        <v>2</v>
      </c>
      <c r="AL111" s="99">
        <f t="shared" si="31"/>
        <v>406</v>
      </c>
      <c r="AM111" s="117">
        <f t="shared" si="10"/>
        <v>8891400000</v>
      </c>
      <c r="AN111" s="99"/>
      <c r="AP111" t="s">
        <v>25</v>
      </c>
      <c r="AU111"/>
    </row>
    <row r="112" spans="4:47">
      <c r="F112" s="191"/>
      <c r="G112" s="191"/>
      <c r="H112" s="191"/>
      <c r="I112" s="191"/>
      <c r="J112" s="253" t="s">
        <v>5527</v>
      </c>
      <c r="K112" s="191">
        <v>672</v>
      </c>
      <c r="L112" s="254">
        <f t="shared" si="32"/>
        <v>5644800000</v>
      </c>
      <c r="M112" s="254">
        <v>0</v>
      </c>
      <c r="N112" s="86">
        <f t="shared" si="33"/>
        <v>5644800000</v>
      </c>
      <c r="Q112" s="169">
        <v>7032.8</v>
      </c>
      <c r="R112" s="213" t="s">
        <v>5318</v>
      </c>
      <c r="S112" s="213">
        <f>S111-240</f>
        <v>146</v>
      </c>
      <c r="T112" s="213" t="s">
        <v>5325</v>
      </c>
      <c r="U112" s="213">
        <v>7001.1</v>
      </c>
      <c r="V112" s="99">
        <f t="shared" si="28"/>
        <v>7891.6399200000014</v>
      </c>
      <c r="W112" s="32">
        <f t="shared" ref="W112:W119" si="34">V112*(1+$W$19/100)</f>
        <v>8049.4727184000012</v>
      </c>
      <c r="X112" s="32">
        <f t="shared" ref="X112:X119" si="35">V112*(1+$X$19/100)</f>
        <v>8207.305516800001</v>
      </c>
      <c r="Y112">
        <v>13000</v>
      </c>
      <c r="AH112" s="99">
        <v>92</v>
      </c>
      <c r="AI112" s="113" t="s">
        <v>4563</v>
      </c>
      <c r="AJ112" s="113">
        <v>-15000000</v>
      </c>
      <c r="AK112" s="99">
        <v>0</v>
      </c>
      <c r="AL112" s="99">
        <f t="shared" si="31"/>
        <v>404</v>
      </c>
      <c r="AM112" s="117">
        <f t="shared" si="10"/>
        <v>-6060000000</v>
      </c>
      <c r="AN112" s="99"/>
      <c r="AO112" t="s">
        <v>25</v>
      </c>
    </row>
    <row r="113" spans="6:46">
      <c r="F113" s="213"/>
      <c r="G113" s="213"/>
      <c r="H113" s="213"/>
      <c r="I113" s="213"/>
      <c r="J113" s="32" t="s">
        <v>4724</v>
      </c>
      <c r="K113" s="213"/>
      <c r="L113" s="1"/>
      <c r="M113" s="1"/>
      <c r="N113" s="113">
        <f>20000000-L43</f>
        <v>90000000</v>
      </c>
      <c r="O113" t="s">
        <v>25</v>
      </c>
      <c r="Q113" s="169">
        <v>4038752</v>
      </c>
      <c r="R113" s="213" t="s">
        <v>5330</v>
      </c>
      <c r="S113" s="213">
        <f>S112-6</f>
        <v>140</v>
      </c>
      <c r="T113" s="213" t="s">
        <v>5331</v>
      </c>
      <c r="U113" s="213">
        <v>7310</v>
      </c>
      <c r="V113" s="99">
        <f t="shared" si="28"/>
        <v>8206.1859726027396</v>
      </c>
      <c r="W113" s="32">
        <f t="shared" si="34"/>
        <v>8370.3096920547941</v>
      </c>
      <c r="X113" s="32">
        <f t="shared" si="35"/>
        <v>8534.4334115068486</v>
      </c>
      <c r="Y113" t="s">
        <v>25</v>
      </c>
      <c r="AH113" s="99">
        <v>93</v>
      </c>
      <c r="AI113" s="113" t="s">
        <v>4563</v>
      </c>
      <c r="AJ113" s="113">
        <v>3000000</v>
      </c>
      <c r="AK113" s="99">
        <v>1</v>
      </c>
      <c r="AL113" s="99">
        <f t="shared" si="31"/>
        <v>404</v>
      </c>
      <c r="AM113" s="117">
        <f t="shared" si="10"/>
        <v>1212000000</v>
      </c>
      <c r="AN113" s="99"/>
    </row>
    <row r="114" spans="6:46">
      <c r="F114" s="199"/>
      <c r="G114" s="199"/>
      <c r="H114" s="199"/>
      <c r="I114" s="199"/>
      <c r="J114" s="214" t="s">
        <v>5059</v>
      </c>
      <c r="K114" s="199">
        <f>SUM(K107:K112)</f>
        <v>916</v>
      </c>
      <c r="L114" s="215"/>
      <c r="M114" s="215"/>
      <c r="N114" s="183"/>
      <c r="Q114" s="169">
        <v>632415</v>
      </c>
      <c r="R114" s="213" t="s">
        <v>5338</v>
      </c>
      <c r="S114" s="213">
        <f>S113-5</f>
        <v>135</v>
      </c>
      <c r="T114" s="213" t="s">
        <v>5340</v>
      </c>
      <c r="U114" s="213">
        <v>7236.3</v>
      </c>
      <c r="V114" s="99">
        <f t="shared" si="28"/>
        <v>8095.6948832876715</v>
      </c>
      <c r="W114" s="32">
        <f t="shared" si="34"/>
        <v>8257.6087809534256</v>
      </c>
      <c r="X114" s="32">
        <f t="shared" si="35"/>
        <v>8419.5226786191779</v>
      </c>
      <c r="Y114" t="s">
        <v>25</v>
      </c>
      <c r="AH114" s="99">
        <v>94</v>
      </c>
      <c r="AI114" s="113" t="s">
        <v>4567</v>
      </c>
      <c r="AJ114" s="113">
        <v>-2103736</v>
      </c>
      <c r="AK114" s="99">
        <v>0</v>
      </c>
      <c r="AL114" s="99">
        <f t="shared" si="31"/>
        <v>403</v>
      </c>
      <c r="AM114" s="117">
        <f t="shared" si="10"/>
        <v>-847805608</v>
      </c>
      <c r="AN114" s="99"/>
    </row>
    <row r="115" spans="6:46">
      <c r="F115" s="213"/>
      <c r="G115" s="213"/>
      <c r="H115" s="213" t="s">
        <v>25</v>
      </c>
      <c r="I115" s="213"/>
      <c r="J115" s="32"/>
      <c r="K115" s="213">
        <v>0</v>
      </c>
      <c r="L115" s="39">
        <f>10*P54</f>
        <v>8400000</v>
      </c>
      <c r="M115" s="1">
        <f>K115*L115</f>
        <v>0</v>
      </c>
      <c r="N115" s="113">
        <f>SUM(N107:N113)-M115</f>
        <v>-6466208</v>
      </c>
      <c r="P115" s="114"/>
      <c r="Q115" s="169">
        <v>6417109</v>
      </c>
      <c r="R115" s="213" t="s">
        <v>5341</v>
      </c>
      <c r="S115" s="213">
        <f>S114-1</f>
        <v>134</v>
      </c>
      <c r="T115" s="213" t="s">
        <v>5342</v>
      </c>
      <c r="U115" s="213">
        <v>7097.9</v>
      </c>
      <c r="V115" s="99">
        <f t="shared" si="28"/>
        <v>7935.4133073972607</v>
      </c>
      <c r="W115" s="32">
        <f t="shared" si="34"/>
        <v>8094.121573545206</v>
      </c>
      <c r="X115" s="32">
        <f t="shared" si="35"/>
        <v>8252.8298396931514</v>
      </c>
      <c r="AH115" s="99">
        <v>95</v>
      </c>
      <c r="AI115" s="113" t="s">
        <v>4567</v>
      </c>
      <c r="AJ115" s="113">
        <v>220000</v>
      </c>
      <c r="AK115" s="99">
        <v>3</v>
      </c>
      <c r="AL115" s="99">
        <f t="shared" si="31"/>
        <v>403</v>
      </c>
      <c r="AM115" s="117">
        <f t="shared" si="10"/>
        <v>88660000</v>
      </c>
      <c r="AN115" s="99"/>
      <c r="AR115" s="96"/>
      <c r="AS115" s="96"/>
      <c r="AT115"/>
    </row>
    <row r="116" spans="6:46">
      <c r="F116" s="199"/>
      <c r="G116" s="199"/>
      <c r="H116" s="199"/>
      <c r="I116" s="199"/>
      <c r="J116" s="214"/>
      <c r="K116" s="241"/>
      <c r="L116" s="215" t="s">
        <v>4243</v>
      </c>
      <c r="M116" s="215" t="s">
        <v>4636</v>
      </c>
      <c r="N116" s="183" t="s">
        <v>4637</v>
      </c>
      <c r="P116" t="s">
        <v>25</v>
      </c>
      <c r="Q116" s="169">
        <v>7802773</v>
      </c>
      <c r="R116" s="213" t="s">
        <v>5345</v>
      </c>
      <c r="S116" s="213">
        <f>S115-1</f>
        <v>133</v>
      </c>
      <c r="T116" s="213" t="s">
        <v>5347</v>
      </c>
      <c r="U116" s="213">
        <v>7100.1</v>
      </c>
      <c r="V116" s="99">
        <f t="shared" si="28"/>
        <v>7932.4262432876712</v>
      </c>
      <c r="W116" s="32">
        <f t="shared" si="34"/>
        <v>8091.0747681534249</v>
      </c>
      <c r="X116" s="32">
        <f t="shared" si="35"/>
        <v>8249.7232930191785</v>
      </c>
      <c r="Y116">
        <v>23000</v>
      </c>
      <c r="AH116" s="99">
        <v>96</v>
      </c>
      <c r="AI116" s="113" t="s">
        <v>4576</v>
      </c>
      <c r="AJ116" s="113">
        <v>4000000</v>
      </c>
      <c r="AK116" s="99">
        <v>1</v>
      </c>
      <c r="AL116" s="99">
        <f t="shared" si="31"/>
        <v>400</v>
      </c>
      <c r="AM116" s="117">
        <f t="shared" si="10"/>
        <v>1600000000</v>
      </c>
      <c r="AN116" s="99"/>
    </row>
    <row r="117" spans="6:46">
      <c r="F117" s="213"/>
      <c r="G117" s="213"/>
      <c r="H117" s="213"/>
      <c r="I117" s="213"/>
      <c r="J117" s="32" t="s">
        <v>4643</v>
      </c>
      <c r="K117" s="213"/>
      <c r="L117" s="1"/>
      <c r="M117" s="1"/>
      <c r="N117" s="113"/>
      <c r="Q117" s="169">
        <v>497886</v>
      </c>
      <c r="R117" s="213" t="s">
        <v>5348</v>
      </c>
      <c r="S117" s="213">
        <f>S116-4</f>
        <v>129</v>
      </c>
      <c r="T117" s="213" t="s">
        <v>5349</v>
      </c>
      <c r="U117" s="213">
        <v>6980.8</v>
      </c>
      <c r="V117" s="99">
        <f t="shared" si="28"/>
        <v>7777.7204778082205</v>
      </c>
      <c r="W117" s="32">
        <f t="shared" si="34"/>
        <v>7933.274887364385</v>
      </c>
      <c r="X117" s="32">
        <f t="shared" si="35"/>
        <v>8088.8292969205495</v>
      </c>
      <c r="Y117">
        <v>6000</v>
      </c>
      <c r="AH117" s="99">
        <v>97</v>
      </c>
      <c r="AI117" s="113" t="s">
        <v>4581</v>
      </c>
      <c r="AJ117" s="113">
        <v>-9000000</v>
      </c>
      <c r="AK117" s="99">
        <v>0</v>
      </c>
      <c r="AL117" s="99">
        <f t="shared" si="31"/>
        <v>399</v>
      </c>
      <c r="AM117" s="117">
        <f t="shared" si="10"/>
        <v>-3591000000</v>
      </c>
      <c r="AN117" s="99"/>
      <c r="AP117" t="s">
        <v>25</v>
      </c>
    </row>
    <row r="118" spans="6:46">
      <c r="M118" t="s">
        <v>25</v>
      </c>
      <c r="Q118" s="169">
        <v>4160802</v>
      </c>
      <c r="R118" s="213" t="s">
        <v>995</v>
      </c>
      <c r="S118" s="213">
        <f>S117-2</f>
        <v>127</v>
      </c>
      <c r="T118" s="213" t="s">
        <v>5357</v>
      </c>
      <c r="U118" s="213">
        <v>7092.5</v>
      </c>
      <c r="V118" s="99">
        <f t="shared" si="28"/>
        <v>7891.2903835616444</v>
      </c>
      <c r="W118" s="32">
        <f t="shared" si="34"/>
        <v>8049.1161912328771</v>
      </c>
      <c r="X118" s="32">
        <f t="shared" si="35"/>
        <v>8206.9419989041107</v>
      </c>
      <c r="AH118" s="99">
        <v>98</v>
      </c>
      <c r="AI118" s="113" t="s">
        <v>4581</v>
      </c>
      <c r="AJ118" s="113">
        <v>13900000</v>
      </c>
      <c r="AK118" s="99">
        <v>2</v>
      </c>
      <c r="AL118" s="99">
        <f t="shared" si="31"/>
        <v>399</v>
      </c>
      <c r="AM118" s="117">
        <f t="shared" si="10"/>
        <v>5546100000</v>
      </c>
      <c r="AN118" s="99"/>
    </row>
    <row r="119" spans="6:46">
      <c r="I119" t="s">
        <v>25</v>
      </c>
      <c r="P119" s="114"/>
      <c r="Q119" s="169">
        <v>5397012</v>
      </c>
      <c r="R119" s="213" t="s">
        <v>5358</v>
      </c>
      <c r="S119" s="213">
        <f>S118-1</f>
        <v>126</v>
      </c>
      <c r="T119" s="213" t="s">
        <v>5373</v>
      </c>
      <c r="U119" s="213">
        <v>6923.5</v>
      </c>
      <c r="V119" s="99">
        <f t="shared" si="28"/>
        <v>7697.9456383561655</v>
      </c>
      <c r="W119" s="32">
        <f t="shared" si="34"/>
        <v>7851.9045511232889</v>
      </c>
      <c r="X119" s="32">
        <f t="shared" si="35"/>
        <v>8005.8634638904123</v>
      </c>
      <c r="Y119">
        <v>3300</v>
      </c>
      <c r="AH119" s="99">
        <v>99</v>
      </c>
      <c r="AI119" s="113" t="s">
        <v>4589</v>
      </c>
      <c r="AJ119" s="113">
        <v>-8127577</v>
      </c>
      <c r="AK119" s="99">
        <v>1</v>
      </c>
      <c r="AL119" s="99">
        <f t="shared" si="31"/>
        <v>397</v>
      </c>
      <c r="AM119" s="117">
        <f t="shared" si="10"/>
        <v>-3226648069</v>
      </c>
      <c r="AN119" s="99"/>
      <c r="AO119" t="s">
        <v>25</v>
      </c>
      <c r="AQ119" t="s">
        <v>25</v>
      </c>
    </row>
    <row r="120" spans="6:46">
      <c r="J120" s="114"/>
      <c r="K120" s="168" t="s">
        <v>4518</v>
      </c>
      <c r="L120" s="168" t="s">
        <v>4519</v>
      </c>
      <c r="M120" s="168" t="s">
        <v>4419</v>
      </c>
      <c r="N120" s="56" t="s">
        <v>190</v>
      </c>
      <c r="Q120" s="169">
        <v>6908862</v>
      </c>
      <c r="R120" s="213" t="s">
        <v>5371</v>
      </c>
      <c r="S120" s="213">
        <f>S119-11</f>
        <v>115</v>
      </c>
      <c r="T120" s="213" t="s">
        <v>5380</v>
      </c>
      <c r="U120" s="213">
        <v>7301.1</v>
      </c>
      <c r="V120" s="99">
        <f t="shared" si="28"/>
        <v>8056.1737610958908</v>
      </c>
      <c r="W120" s="32">
        <f t="shared" ref="W120:W125" si="36">V120*(1+$W$19/100)</f>
        <v>8217.2972363178087</v>
      </c>
      <c r="X120" s="32">
        <f t="shared" ref="X120:X125" si="37">V120*(1+$X$19/100)</f>
        <v>8378.4207115397276</v>
      </c>
      <c r="AH120" s="99">
        <v>100</v>
      </c>
      <c r="AI120" s="113" t="s">
        <v>3687</v>
      </c>
      <c r="AJ120" s="113">
        <v>15792549</v>
      </c>
      <c r="AK120" s="99">
        <v>3</v>
      </c>
      <c r="AL120" s="99">
        <f t="shared" si="31"/>
        <v>396</v>
      </c>
      <c r="AM120" s="117">
        <f t="shared" si="10"/>
        <v>6253849404</v>
      </c>
      <c r="AN120" s="99"/>
      <c r="AO120" t="s">
        <v>25</v>
      </c>
      <c r="AP120" t="s">
        <v>25</v>
      </c>
    </row>
    <row r="121" spans="6:46">
      <c r="H121" s="114"/>
      <c r="K121" s="168" t="s">
        <v>4233</v>
      </c>
      <c r="L121" s="169">
        <v>1100000</v>
      </c>
      <c r="M121" s="169">
        <v>1637000</v>
      </c>
      <c r="N121" s="168">
        <f t="shared" ref="N121:N129" si="38">(M121-L121)*100/L121</f>
        <v>48.81818181818182</v>
      </c>
      <c r="Q121" s="169">
        <v>36895962</v>
      </c>
      <c r="R121" s="213" t="s">
        <v>5381</v>
      </c>
      <c r="S121" s="213">
        <f>S120-1</f>
        <v>114</v>
      </c>
      <c r="T121" s="213" t="s">
        <v>5386</v>
      </c>
      <c r="U121" s="213">
        <v>7372.4</v>
      </c>
      <c r="V121" s="99">
        <f t="shared" si="28"/>
        <v>8129.1920087671233</v>
      </c>
      <c r="W121" s="32">
        <f t="shared" si="36"/>
        <v>8291.775848942465</v>
      </c>
      <c r="X121" s="32">
        <f t="shared" si="37"/>
        <v>8454.3596891178076</v>
      </c>
      <c r="AH121" s="99">
        <v>101</v>
      </c>
      <c r="AI121" s="113" t="s">
        <v>4594</v>
      </c>
      <c r="AJ121" s="113">
        <v>8800000</v>
      </c>
      <c r="AK121" s="99">
        <v>0</v>
      </c>
      <c r="AL121" s="99">
        <f t="shared" ref="AL121:AL126" si="39">AL122+AK121</f>
        <v>393</v>
      </c>
      <c r="AM121" s="117">
        <f t="shared" ref="AM121:AM144" si="40">AJ121*AL121</f>
        <v>3458400000</v>
      </c>
      <c r="AN121" s="99"/>
      <c r="AP121" t="s">
        <v>25</v>
      </c>
    </row>
    <row r="122" spans="6:46" ht="45">
      <c r="F122" s="96"/>
      <c r="G122" s="213"/>
      <c r="H122" s="213" t="s">
        <v>5658</v>
      </c>
      <c r="I122" s="213" t="s">
        <v>5491</v>
      </c>
      <c r="J122" s="1">
        <v>79922415</v>
      </c>
      <c r="K122" s="5" t="s">
        <v>4513</v>
      </c>
      <c r="L122" s="169">
        <v>1100000</v>
      </c>
      <c r="M122" s="169">
        <v>4748000</v>
      </c>
      <c r="N122" s="168">
        <f t="shared" si="38"/>
        <v>331.63636363636363</v>
      </c>
      <c r="Q122" s="169">
        <v>25972060</v>
      </c>
      <c r="R122" s="213" t="s">
        <v>5395</v>
      </c>
      <c r="S122" s="213">
        <f>S121-3</f>
        <v>111</v>
      </c>
      <c r="T122" s="213" t="s">
        <v>5494</v>
      </c>
      <c r="U122" s="213">
        <v>7557.6</v>
      </c>
      <c r="V122" s="99">
        <f t="shared" si="28"/>
        <v>8316.0103364383576</v>
      </c>
      <c r="W122" s="32">
        <f t="shared" si="36"/>
        <v>8482.3305431671251</v>
      </c>
      <c r="X122" s="32">
        <f t="shared" si="37"/>
        <v>8648.6507498958927</v>
      </c>
      <c r="Y122" t="s">
        <v>25</v>
      </c>
      <c r="AH122" s="121">
        <v>102</v>
      </c>
      <c r="AI122" s="79" t="s">
        <v>4594</v>
      </c>
      <c r="AJ122" s="79">
        <v>13071612</v>
      </c>
      <c r="AK122" s="121">
        <v>1</v>
      </c>
      <c r="AL122" s="121">
        <f t="shared" si="39"/>
        <v>393</v>
      </c>
      <c r="AM122" s="79">
        <f t="shared" si="40"/>
        <v>5137143516</v>
      </c>
      <c r="AN122" s="205" t="s">
        <v>4595</v>
      </c>
    </row>
    <row r="123" spans="6:46">
      <c r="F123" s="96"/>
      <c r="G123" s="213" t="s">
        <v>938</v>
      </c>
      <c r="H123" s="213" t="s">
        <v>4518</v>
      </c>
      <c r="I123" s="213" t="s">
        <v>934</v>
      </c>
      <c r="J123" s="213" t="s">
        <v>4722</v>
      </c>
      <c r="K123" s="5" t="s">
        <v>4514</v>
      </c>
      <c r="L123" s="169">
        <v>1100000</v>
      </c>
      <c r="M123" s="169">
        <v>5137000</v>
      </c>
      <c r="N123" s="168">
        <f t="shared" si="38"/>
        <v>367</v>
      </c>
      <c r="Q123" s="169">
        <v>29717771</v>
      </c>
      <c r="R123" s="213" t="s">
        <v>5495</v>
      </c>
      <c r="S123" s="213">
        <f>S122-40</f>
        <v>71</v>
      </c>
      <c r="T123" s="213" t="s">
        <v>5497</v>
      </c>
      <c r="U123" s="213">
        <v>7159.6</v>
      </c>
      <c r="V123" s="99">
        <f t="shared" ref="V123:V136" si="41">U123*(1+$R$87+$Q$15*S123/36500)</f>
        <v>7658.3789282191792</v>
      </c>
      <c r="W123" s="32">
        <f t="shared" si="36"/>
        <v>7811.546506783563</v>
      </c>
      <c r="X123" s="32">
        <f t="shared" si="37"/>
        <v>7964.7140853479468</v>
      </c>
      <c r="Y123" t="s">
        <v>25</v>
      </c>
      <c r="AH123" s="89">
        <v>103</v>
      </c>
      <c r="AI123" s="90" t="s">
        <v>4598</v>
      </c>
      <c r="AJ123" s="90">
        <v>16727037</v>
      </c>
      <c r="AK123" s="89">
        <v>0</v>
      </c>
      <c r="AL123" s="89">
        <f t="shared" si="39"/>
        <v>392</v>
      </c>
      <c r="AM123" s="90">
        <f t="shared" si="40"/>
        <v>6556998504</v>
      </c>
      <c r="AN123" s="89" t="s">
        <v>4605</v>
      </c>
    </row>
    <row r="124" spans="6:46">
      <c r="F124" s="96"/>
      <c r="G124" s="1">
        <f>P52</f>
        <v>1306</v>
      </c>
      <c r="H124" s="213" t="s">
        <v>4233</v>
      </c>
      <c r="I124" s="213">
        <v>241029</v>
      </c>
      <c r="J124" s="1">
        <f>I124*G124</f>
        <v>314783874</v>
      </c>
      <c r="K124" s="19" t="s">
        <v>4378</v>
      </c>
      <c r="L124" s="169">
        <v>1100000</v>
      </c>
      <c r="M124" s="169">
        <v>4300000</v>
      </c>
      <c r="N124" s="168">
        <f t="shared" si="38"/>
        <v>290.90909090909093</v>
      </c>
      <c r="Q124" s="169">
        <v>7374741</v>
      </c>
      <c r="R124" s="213" t="s">
        <v>5503</v>
      </c>
      <c r="S124" s="213">
        <f>S123-8</f>
        <v>63</v>
      </c>
      <c r="T124" s="213" t="s">
        <v>5504</v>
      </c>
      <c r="U124" s="213">
        <v>7601</v>
      </c>
      <c r="V124" s="99">
        <f t="shared" si="41"/>
        <v>8083.8821589041108</v>
      </c>
      <c r="W124" s="32">
        <f t="shared" si="36"/>
        <v>8245.5598020821926</v>
      </c>
      <c r="X124" s="32">
        <f t="shared" si="37"/>
        <v>8407.2374452602762</v>
      </c>
      <c r="Y124" s="122" t="s">
        <v>25</v>
      </c>
      <c r="AH124" s="99">
        <v>104</v>
      </c>
      <c r="AI124" s="113" t="s">
        <v>4598</v>
      </c>
      <c r="AJ124" s="113">
        <v>12000000</v>
      </c>
      <c r="AK124" s="99">
        <v>1</v>
      </c>
      <c r="AL124" s="99">
        <f t="shared" si="39"/>
        <v>392</v>
      </c>
      <c r="AM124" s="117">
        <f t="shared" si="40"/>
        <v>4704000000</v>
      </c>
      <c r="AN124" s="99" t="s">
        <v>4606</v>
      </c>
    </row>
    <row r="125" spans="6:46">
      <c r="F125" s="96"/>
      <c r="G125" s="1">
        <f>P48</f>
        <v>16644</v>
      </c>
      <c r="H125" s="213" t="s">
        <v>4382</v>
      </c>
      <c r="I125" s="213">
        <v>2535</v>
      </c>
      <c r="J125" s="1">
        <f>I125*G125</f>
        <v>42192540</v>
      </c>
      <c r="K125" s="5" t="s">
        <v>4396</v>
      </c>
      <c r="L125" s="169">
        <v>1100000</v>
      </c>
      <c r="M125" s="169">
        <v>3191000</v>
      </c>
      <c r="N125" s="168">
        <f t="shared" si="38"/>
        <v>190.09090909090909</v>
      </c>
      <c r="Q125" s="169">
        <v>2612032</v>
      </c>
      <c r="R125" s="213" t="s">
        <v>5508</v>
      </c>
      <c r="S125" s="213">
        <f>S124-4</f>
        <v>59</v>
      </c>
      <c r="T125" s="213" t="s">
        <v>5509</v>
      </c>
      <c r="U125" s="213">
        <v>8000.7</v>
      </c>
      <c r="V125" s="99">
        <f t="shared" si="41"/>
        <v>8484.4245139726027</v>
      </c>
      <c r="W125" s="32">
        <f t="shared" si="36"/>
        <v>8654.1130042520545</v>
      </c>
      <c r="X125" s="32">
        <f t="shared" si="37"/>
        <v>8823.8014945315063</v>
      </c>
      <c r="Z125" t="s">
        <v>25</v>
      </c>
      <c r="AH125" s="89">
        <v>105</v>
      </c>
      <c r="AI125" s="90" t="s">
        <v>4529</v>
      </c>
      <c r="AJ125" s="90">
        <v>88697667</v>
      </c>
      <c r="AK125" s="89">
        <v>1</v>
      </c>
      <c r="AL125" s="89">
        <f t="shared" si="39"/>
        <v>391</v>
      </c>
      <c r="AM125" s="90">
        <f t="shared" si="40"/>
        <v>34680787797</v>
      </c>
      <c r="AN125" s="89" t="s">
        <v>4607</v>
      </c>
      <c r="AP125" t="s">
        <v>25</v>
      </c>
    </row>
    <row r="126" spans="6:46">
      <c r="F126" s="96"/>
      <c r="G126" s="1"/>
      <c r="H126" s="213" t="s">
        <v>25</v>
      </c>
      <c r="I126" s="213"/>
      <c r="J126" s="1"/>
      <c r="K126" s="5" t="s">
        <v>4515</v>
      </c>
      <c r="L126" s="169">
        <v>1100000</v>
      </c>
      <c r="M126" s="169">
        <v>5623000</v>
      </c>
      <c r="N126" s="168">
        <f t="shared" si="38"/>
        <v>411.18181818181819</v>
      </c>
      <c r="Q126" s="169">
        <v>6180139</v>
      </c>
      <c r="R126" s="213" t="s">
        <v>5512</v>
      </c>
      <c r="S126" s="213">
        <f>S125-2</f>
        <v>57</v>
      </c>
      <c r="T126" s="213" t="s">
        <v>5514</v>
      </c>
      <c r="U126" s="213">
        <v>8485.7999999999993</v>
      </c>
      <c r="V126" s="99">
        <f t="shared" si="41"/>
        <v>8985.8344832876701</v>
      </c>
      <c r="W126" s="32">
        <f t="shared" ref="W126:W131" si="42">V126*(1+$W$19/100)</f>
        <v>9165.5511729534228</v>
      </c>
      <c r="X126" s="32">
        <f t="shared" ref="X126:X131" si="43">V126*(1+$X$19/100)</f>
        <v>9345.2678626191773</v>
      </c>
      <c r="Y126" t="s">
        <v>25</v>
      </c>
      <c r="AH126" s="99">
        <v>106</v>
      </c>
      <c r="AI126" s="113" t="s">
        <v>4532</v>
      </c>
      <c r="AJ126" s="113">
        <v>101000</v>
      </c>
      <c r="AK126" s="99">
        <v>0</v>
      </c>
      <c r="AL126" s="99">
        <f t="shared" si="39"/>
        <v>390</v>
      </c>
      <c r="AM126" s="117">
        <f t="shared" si="40"/>
        <v>39390000</v>
      </c>
      <c r="AN126" s="99"/>
      <c r="AQ126" t="s">
        <v>25</v>
      </c>
    </row>
    <row r="127" spans="6:46">
      <c r="F127" s="96"/>
      <c r="G127" s="213"/>
      <c r="H127" s="213"/>
      <c r="I127" s="188">
        <f>J127-J122</f>
        <v>277053999</v>
      </c>
      <c r="J127" s="1">
        <f>SUM(J124:J126)</f>
        <v>356976414</v>
      </c>
      <c r="K127" s="19" t="s">
        <v>4382</v>
      </c>
      <c r="L127" s="169">
        <v>1100000</v>
      </c>
      <c r="M127" s="169">
        <v>7728000</v>
      </c>
      <c r="N127" s="168">
        <f t="shared" si="38"/>
        <v>602.5454545454545</v>
      </c>
      <c r="Q127" s="169">
        <v>17185077</v>
      </c>
      <c r="R127" s="213" t="s">
        <v>5513</v>
      </c>
      <c r="S127" s="213">
        <f>S126-1</f>
        <v>56</v>
      </c>
      <c r="T127" s="213" t="s">
        <v>5518</v>
      </c>
      <c r="U127" s="213">
        <v>8377.7999999999993</v>
      </c>
      <c r="V127" s="99">
        <f t="shared" si="41"/>
        <v>8865.0436668493148</v>
      </c>
      <c r="W127" s="32">
        <f t="shared" si="42"/>
        <v>9042.3445401863009</v>
      </c>
      <c r="X127" s="32">
        <f t="shared" si="43"/>
        <v>9219.6454135232871</v>
      </c>
      <c r="AH127" s="149">
        <v>107</v>
      </c>
      <c r="AI127" s="188" t="s">
        <v>4604</v>
      </c>
      <c r="AJ127" s="188">
        <v>-48200</v>
      </c>
      <c r="AK127" s="149">
        <v>0</v>
      </c>
      <c r="AL127" s="149">
        <f t="shared" ref="AL127:AL177" si="44">AL128+AK127</f>
        <v>390</v>
      </c>
      <c r="AM127" s="188">
        <f t="shared" si="40"/>
        <v>-18798000</v>
      </c>
      <c r="AN127" s="149" t="s">
        <v>4612</v>
      </c>
    </row>
    <row r="128" spans="6:46">
      <c r="F128" s="96"/>
      <c r="G128" s="213"/>
      <c r="H128" s="213"/>
      <c r="I128" s="213" t="s">
        <v>914</v>
      </c>
      <c r="J128" s="213" t="s">
        <v>6</v>
      </c>
      <c r="K128" s="5" t="s">
        <v>4517</v>
      </c>
      <c r="L128" s="169">
        <v>1100000</v>
      </c>
      <c r="M128" s="169">
        <v>2904000</v>
      </c>
      <c r="N128" s="168">
        <f t="shared" si="38"/>
        <v>164</v>
      </c>
      <c r="Q128" s="169">
        <v>83684098</v>
      </c>
      <c r="R128" s="213" t="s">
        <v>5516</v>
      </c>
      <c r="S128" s="213">
        <f>S127-1</f>
        <v>55</v>
      </c>
      <c r="T128" s="213" t="s">
        <v>5519</v>
      </c>
      <c r="U128" s="213">
        <v>8337.2999999999993</v>
      </c>
      <c r="V128" s="99">
        <f t="shared" si="41"/>
        <v>8815.7924942465761</v>
      </c>
      <c r="W128" s="32">
        <f t="shared" si="42"/>
        <v>8992.1083441315077</v>
      </c>
      <c r="X128" s="32">
        <f t="shared" si="43"/>
        <v>9168.4241940164393</v>
      </c>
      <c r="AH128" s="89">
        <v>108</v>
      </c>
      <c r="AI128" s="90" t="s">
        <v>4604</v>
      </c>
      <c r="AJ128" s="90">
        <v>39327293</v>
      </c>
      <c r="AK128" s="89">
        <v>4</v>
      </c>
      <c r="AL128" s="149">
        <f t="shared" si="44"/>
        <v>390</v>
      </c>
      <c r="AM128" s="188">
        <f t="shared" si="40"/>
        <v>15337644270</v>
      </c>
      <c r="AN128" s="89" t="s">
        <v>4613</v>
      </c>
    </row>
    <row r="129" spans="7:43">
      <c r="G129" s="41"/>
      <c r="H129" s="41"/>
      <c r="I129" s="41"/>
      <c r="J129" s="41"/>
      <c r="K129" s="259" t="s">
        <v>1082</v>
      </c>
      <c r="L129" s="169">
        <v>1100000</v>
      </c>
      <c r="M129" s="169">
        <v>3400000</v>
      </c>
      <c r="N129" s="168">
        <f t="shared" si="38"/>
        <v>209.09090909090909</v>
      </c>
      <c r="Q129" s="169">
        <v>8318572.797809219</v>
      </c>
      <c r="R129" s="213" t="s">
        <v>5524</v>
      </c>
      <c r="S129" s="213">
        <f>S128-3</f>
        <v>52</v>
      </c>
      <c r="T129" s="213" t="s">
        <v>5585</v>
      </c>
      <c r="U129" s="213">
        <v>8280.2000000000007</v>
      </c>
      <c r="V129" s="99">
        <f t="shared" si="41"/>
        <v>8736.3596208219187</v>
      </c>
      <c r="W129" s="32">
        <f t="shared" si="42"/>
        <v>8911.0868132383566</v>
      </c>
      <c r="X129" s="32">
        <f t="shared" si="43"/>
        <v>9085.8140056547963</v>
      </c>
      <c r="Y129" t="s">
        <v>25</v>
      </c>
      <c r="Z129" t="s">
        <v>25</v>
      </c>
      <c r="AH129" s="89">
        <v>109</v>
      </c>
      <c r="AI129" s="90" t="s">
        <v>4627</v>
      </c>
      <c r="AJ129" s="90">
        <v>8749050</v>
      </c>
      <c r="AK129" s="89">
        <v>1</v>
      </c>
      <c r="AL129" s="89">
        <f t="shared" si="44"/>
        <v>386</v>
      </c>
      <c r="AM129" s="90">
        <f t="shared" si="40"/>
        <v>3377133300</v>
      </c>
      <c r="AN129" s="89" t="s">
        <v>4628</v>
      </c>
    </row>
    <row r="130" spans="7:43">
      <c r="G130" s="213"/>
      <c r="H130" s="213" t="s">
        <v>5615</v>
      </c>
      <c r="I130" s="213" t="s">
        <v>5643</v>
      </c>
      <c r="J130" s="1">
        <v>36319143</v>
      </c>
      <c r="K130" s="240" t="s">
        <v>5465</v>
      </c>
      <c r="Q130" s="169">
        <v>51910020</v>
      </c>
      <c r="R130" s="213" t="s">
        <v>5524</v>
      </c>
      <c r="S130" s="213">
        <f>S129</f>
        <v>52</v>
      </c>
      <c r="T130" s="213" t="s">
        <v>5525</v>
      </c>
      <c r="U130" s="213">
        <v>8758.5</v>
      </c>
      <c r="V130" s="99">
        <f t="shared" si="41"/>
        <v>9241.0093643835608</v>
      </c>
      <c r="W130" s="32">
        <f t="shared" si="42"/>
        <v>9425.8295516712315</v>
      </c>
      <c r="X130" s="32">
        <f t="shared" si="43"/>
        <v>9610.649738958904</v>
      </c>
      <c r="Z130" t="s">
        <v>25</v>
      </c>
      <c r="AH130" s="99">
        <v>110</v>
      </c>
      <c r="AI130" s="113" t="s">
        <v>4629</v>
      </c>
      <c r="AJ130" s="113">
        <v>60000</v>
      </c>
      <c r="AK130" s="99">
        <v>1</v>
      </c>
      <c r="AL130" s="99">
        <f t="shared" si="44"/>
        <v>385</v>
      </c>
      <c r="AM130" s="117">
        <f t="shared" si="40"/>
        <v>23100000</v>
      </c>
      <c r="AN130" s="99" t="s">
        <v>4630</v>
      </c>
    </row>
    <row r="131" spans="7:43">
      <c r="G131" s="1">
        <f>P52</f>
        <v>1306</v>
      </c>
      <c r="H131" s="213" t="s">
        <v>4233</v>
      </c>
      <c r="I131" s="213">
        <v>68595</v>
      </c>
      <c r="J131" s="1">
        <f>G131*I131</f>
        <v>89585070</v>
      </c>
      <c r="K131" s="240" t="s">
        <v>4546</v>
      </c>
      <c r="Q131" s="169">
        <v>15223196.506844705</v>
      </c>
      <c r="R131" s="213" t="s">
        <v>5528</v>
      </c>
      <c r="S131" s="213">
        <f>S130-1</f>
        <v>51</v>
      </c>
      <c r="T131" s="213" t="s">
        <v>5583</v>
      </c>
      <c r="U131" s="213">
        <v>9036.6</v>
      </c>
      <c r="V131" s="99">
        <f t="shared" si="41"/>
        <v>9527.4978213698632</v>
      </c>
      <c r="W131" s="32">
        <f t="shared" si="42"/>
        <v>9718.047777797261</v>
      </c>
      <c r="X131" s="32">
        <f t="shared" si="43"/>
        <v>9908.5977342246588</v>
      </c>
      <c r="Y131" t="s">
        <v>25</v>
      </c>
      <c r="AH131" s="20">
        <v>111</v>
      </c>
      <c r="AI131" s="117" t="s">
        <v>4638</v>
      </c>
      <c r="AJ131" s="117">
        <v>4750000</v>
      </c>
      <c r="AK131" s="20">
        <v>0</v>
      </c>
      <c r="AL131" s="99">
        <f t="shared" si="44"/>
        <v>384</v>
      </c>
      <c r="AM131" s="117">
        <f t="shared" si="40"/>
        <v>1824000000</v>
      </c>
      <c r="AN131" s="20"/>
      <c r="AQ131" t="s">
        <v>25</v>
      </c>
    </row>
    <row r="132" spans="7:43">
      <c r="G132" s="213">
        <f>P48</f>
        <v>16644</v>
      </c>
      <c r="H132" s="213" t="s">
        <v>4382</v>
      </c>
      <c r="I132" s="213">
        <v>1703</v>
      </c>
      <c r="J132" s="1">
        <f>G132*I132</f>
        <v>28344732</v>
      </c>
      <c r="K132" s="240" t="s">
        <v>4547</v>
      </c>
      <c r="P132" t="s">
        <v>25</v>
      </c>
      <c r="Q132" s="169">
        <v>7224034</v>
      </c>
      <c r="R132" s="213" t="s">
        <v>5549</v>
      </c>
      <c r="S132" s="213">
        <f>S131-16</f>
        <v>35</v>
      </c>
      <c r="T132" s="213" t="s">
        <v>5556</v>
      </c>
      <c r="U132" s="213">
        <v>1044.7</v>
      </c>
      <c r="V132" s="99">
        <f t="shared" si="41"/>
        <v>1088.628919452055</v>
      </c>
      <c r="W132" s="32">
        <f>V132*(1+$W$19/100)</f>
        <v>1110.4014978410962</v>
      </c>
      <c r="X132" s="32">
        <f>V132*(1+$X$19/100)</f>
        <v>1132.1740762301372</v>
      </c>
      <c r="Y132" t="s">
        <v>25</v>
      </c>
      <c r="AH132" s="89">
        <v>112</v>
      </c>
      <c r="AI132" s="90" t="s">
        <v>4638</v>
      </c>
      <c r="AJ132" s="90">
        <v>13101160</v>
      </c>
      <c r="AK132" s="89">
        <v>1</v>
      </c>
      <c r="AL132" s="89">
        <f t="shared" si="44"/>
        <v>384</v>
      </c>
      <c r="AM132" s="90">
        <f t="shared" si="40"/>
        <v>5030845440</v>
      </c>
      <c r="AN132" s="89" t="s">
        <v>4641</v>
      </c>
    </row>
    <row r="133" spans="7:43">
      <c r="G133" s="213"/>
      <c r="H133" s="213"/>
      <c r="I133" s="188">
        <f>J133-J130</f>
        <v>81610659</v>
      </c>
      <c r="J133" s="1">
        <f>SUM(J131:J132)</f>
        <v>117929802</v>
      </c>
      <c r="Q133" s="169">
        <v>5032020</v>
      </c>
      <c r="R133" s="213" t="s">
        <v>5561</v>
      </c>
      <c r="S133" s="213">
        <f>S132-1</f>
        <v>34</v>
      </c>
      <c r="T133" s="213" t="s">
        <v>5564</v>
      </c>
      <c r="U133" s="213">
        <v>1022.2</v>
      </c>
      <c r="V133" s="99">
        <f t="shared" si="41"/>
        <v>1064.3986564383563</v>
      </c>
      <c r="W133" s="32">
        <f>V133*(1+$W$19/100)</f>
        <v>1085.6866295671234</v>
      </c>
      <c r="X133" s="32">
        <f>V133*(1+$X$19/100)</f>
        <v>1106.9746026958906</v>
      </c>
      <c r="AH133" s="20">
        <v>113</v>
      </c>
      <c r="AI133" s="117" t="s">
        <v>4640</v>
      </c>
      <c r="AJ133" s="117">
        <v>-980000</v>
      </c>
      <c r="AK133" s="20">
        <v>0</v>
      </c>
      <c r="AL133" s="99">
        <f t="shared" si="44"/>
        <v>383</v>
      </c>
      <c r="AM133" s="117">
        <f t="shared" si="40"/>
        <v>-375340000</v>
      </c>
      <c r="AN133" s="20"/>
    </row>
    <row r="134" spans="7:43">
      <c r="G134" s="213"/>
      <c r="H134" s="213"/>
      <c r="I134" s="213" t="s">
        <v>914</v>
      </c>
      <c r="J134" s="213" t="s">
        <v>6</v>
      </c>
      <c r="Q134" s="169">
        <v>342868997.86655331</v>
      </c>
      <c r="R134" s="213" t="s">
        <v>5567</v>
      </c>
      <c r="S134" s="213">
        <f>S133-4</f>
        <v>30</v>
      </c>
      <c r="T134" s="213" t="s">
        <v>5659</v>
      </c>
      <c r="U134" s="213">
        <v>1055</v>
      </c>
      <c r="V134" s="99">
        <f t="shared" si="41"/>
        <v>1095.3154520547946</v>
      </c>
      <c r="W134" s="32">
        <f>V134*(1+$W$19/100)</f>
        <v>1117.2217610958905</v>
      </c>
      <c r="X134" s="32">
        <f>V134*(1+$X$19/100)</f>
        <v>1139.1280701369865</v>
      </c>
      <c r="Y134" t="s">
        <v>25</v>
      </c>
      <c r="AH134" s="89">
        <v>114</v>
      </c>
      <c r="AI134" s="90" t="s">
        <v>4640</v>
      </c>
      <c r="AJ134" s="90">
        <v>13301790</v>
      </c>
      <c r="AK134" s="89">
        <v>0</v>
      </c>
      <c r="AL134" s="89">
        <f t="shared" si="44"/>
        <v>383</v>
      </c>
      <c r="AM134" s="90">
        <f t="shared" si="40"/>
        <v>5094585570</v>
      </c>
      <c r="AN134" s="89" t="s">
        <v>4641</v>
      </c>
      <c r="AQ134" t="s">
        <v>25</v>
      </c>
    </row>
    <row r="135" spans="7:43">
      <c r="G135" s="41"/>
      <c r="H135" s="41"/>
      <c r="I135" s="41"/>
      <c r="J135" s="41"/>
      <c r="Q135" s="169">
        <v>293172.34893992933</v>
      </c>
      <c r="R135" s="213" t="s">
        <v>5584</v>
      </c>
      <c r="S135" s="213">
        <f>S134-10</f>
        <v>20</v>
      </c>
      <c r="T135" s="213" t="s">
        <v>5676</v>
      </c>
      <c r="U135" s="213">
        <v>11673.9</v>
      </c>
      <c r="V135" s="99">
        <f t="shared" si="41"/>
        <v>12030.449690958905</v>
      </c>
      <c r="W135" s="32">
        <f t="shared" ref="W135:W136" si="45">V135*(1+$W$19/100)</f>
        <v>12271.058684778083</v>
      </c>
      <c r="X135" s="32">
        <f t="shared" ref="X135:X136" si="46">V135*(1+$X$19/100)</f>
        <v>12511.667678597261</v>
      </c>
      <c r="AH135" s="20">
        <v>115</v>
      </c>
      <c r="AI135" s="117" t="s">
        <v>4640</v>
      </c>
      <c r="AJ135" s="117">
        <v>404000</v>
      </c>
      <c r="AK135" s="20">
        <v>5</v>
      </c>
      <c r="AL135" s="99">
        <f t="shared" si="44"/>
        <v>383</v>
      </c>
      <c r="AM135" s="117">
        <f t="shared" si="40"/>
        <v>154732000</v>
      </c>
      <c r="AN135" s="20" t="s">
        <v>4647</v>
      </c>
    </row>
    <row r="136" spans="7:43">
      <c r="G136" s="213"/>
      <c r="H136" s="213" t="s">
        <v>5660</v>
      </c>
      <c r="I136" s="213" t="s">
        <v>5140</v>
      </c>
      <c r="J136" s="1">
        <v>19795000</v>
      </c>
      <c r="Q136" s="169">
        <v>372863</v>
      </c>
      <c r="R136" s="213" t="s">
        <v>5614</v>
      </c>
      <c r="S136" s="213">
        <f>S135-7</f>
        <v>13</v>
      </c>
      <c r="T136" s="213" t="s">
        <v>5638</v>
      </c>
      <c r="U136" s="213">
        <v>6511.9</v>
      </c>
      <c r="V136" s="99">
        <f t="shared" si="41"/>
        <v>6675.8214717808223</v>
      </c>
      <c r="W136" s="32">
        <f t="shared" si="45"/>
        <v>6809.3379012164387</v>
      </c>
      <c r="X136" s="32">
        <f t="shared" si="46"/>
        <v>6942.8543306520551</v>
      </c>
      <c r="Y136" t="s">
        <v>25</v>
      </c>
      <c r="AH136" s="89">
        <v>116</v>
      </c>
      <c r="AI136" s="90" t="s">
        <v>4657</v>
      </c>
      <c r="AJ136" s="90">
        <v>4291628</v>
      </c>
      <c r="AK136" s="89">
        <v>2</v>
      </c>
      <c r="AL136" s="89">
        <f t="shared" si="44"/>
        <v>378</v>
      </c>
      <c r="AM136" s="90">
        <f t="shared" si="40"/>
        <v>1622235384</v>
      </c>
      <c r="AN136" s="89" t="s">
        <v>4658</v>
      </c>
    </row>
    <row r="137" spans="7:43">
      <c r="G137" s="1">
        <f>P52</f>
        <v>1306</v>
      </c>
      <c r="H137" s="213" t="s">
        <v>4233</v>
      </c>
      <c r="I137" s="213">
        <v>46582</v>
      </c>
      <c r="J137" s="1">
        <f>G137*I137</f>
        <v>60836092</v>
      </c>
      <c r="K137" t="s">
        <v>25</v>
      </c>
      <c r="Q137" s="169">
        <v>7744156</v>
      </c>
      <c r="R137" s="213" t="s">
        <v>5646</v>
      </c>
      <c r="S137" s="213">
        <f>S136-4</f>
        <v>9</v>
      </c>
      <c r="T137" s="213" t="s">
        <v>5647</v>
      </c>
      <c r="U137" s="213">
        <v>12847.3</v>
      </c>
      <c r="V137" s="99">
        <f t="shared" ref="V137:V147" si="47">U137*(1+$R$87+$Q$15*S137/36500)</f>
        <v>13131.278127123289</v>
      </c>
      <c r="W137" s="32">
        <f t="shared" ref="W137:W147" si="48">V137*(1+$W$19/100)</f>
        <v>13393.903689665754</v>
      </c>
      <c r="X137" s="32">
        <f t="shared" ref="X137:X147" si="49">V137*(1+$X$19/100)</f>
        <v>13656.52925220822</v>
      </c>
      <c r="Y137" t="s">
        <v>25</v>
      </c>
      <c r="Z137" t="s">
        <v>25</v>
      </c>
      <c r="AH137" s="20">
        <v>117</v>
      </c>
      <c r="AI137" s="117" t="s">
        <v>4660</v>
      </c>
      <c r="AJ137" s="117">
        <v>1000</v>
      </c>
      <c r="AK137" s="20">
        <v>5</v>
      </c>
      <c r="AL137" s="20">
        <f t="shared" si="44"/>
        <v>376</v>
      </c>
      <c r="AM137" s="117">
        <f t="shared" si="40"/>
        <v>376000</v>
      </c>
      <c r="AN137" s="20"/>
    </row>
    <row r="138" spans="7:43">
      <c r="G138" s="213"/>
      <c r="H138" s="213" t="s">
        <v>338</v>
      </c>
      <c r="I138" s="213"/>
      <c r="J138" s="1">
        <v>10000000</v>
      </c>
      <c r="Q138" s="169">
        <v>13068833</v>
      </c>
      <c r="R138" s="213" t="s">
        <v>5651</v>
      </c>
      <c r="S138" s="213">
        <f>S137-2</f>
        <v>7</v>
      </c>
      <c r="T138" s="213" t="s">
        <v>5652</v>
      </c>
      <c r="U138" s="213">
        <v>13000.2</v>
      </c>
      <c r="V138" s="99">
        <f t="shared" si="47"/>
        <v>13267.612333150688</v>
      </c>
      <c r="W138" s="32">
        <f t="shared" si="48"/>
        <v>13532.964579813703</v>
      </c>
      <c r="X138" s="32">
        <f t="shared" si="49"/>
        <v>13798.316826476716</v>
      </c>
      <c r="Y138" t="s">
        <v>25</v>
      </c>
      <c r="AH138" s="121">
        <v>118</v>
      </c>
      <c r="AI138" s="79" t="s">
        <v>4668</v>
      </c>
      <c r="AJ138" s="79">
        <v>8739459</v>
      </c>
      <c r="AK138" s="121">
        <v>2</v>
      </c>
      <c r="AL138" s="121">
        <f t="shared" si="44"/>
        <v>371</v>
      </c>
      <c r="AM138" s="79">
        <f t="shared" si="40"/>
        <v>3242339289</v>
      </c>
      <c r="AN138" s="121" t="s">
        <v>4628</v>
      </c>
    </row>
    <row r="139" spans="7:43">
      <c r="G139" s="213"/>
      <c r="H139" s="213"/>
      <c r="I139" s="282">
        <f>J139-J136</f>
        <v>51041092</v>
      </c>
      <c r="J139" s="1">
        <f>SUM(J137:J138)</f>
        <v>70836092</v>
      </c>
      <c r="K139" t="s">
        <v>25</v>
      </c>
      <c r="P139" t="s">
        <v>25</v>
      </c>
      <c r="Q139" s="169">
        <v>439147337</v>
      </c>
      <c r="R139" s="213" t="s">
        <v>5660</v>
      </c>
      <c r="S139" s="213">
        <f>S138-8</f>
        <v>-1</v>
      </c>
      <c r="T139" s="213" t="s">
        <v>5661</v>
      </c>
      <c r="U139" s="213">
        <v>1207.9000000000001</v>
      </c>
      <c r="V139" s="99">
        <f t="shared" si="47"/>
        <v>1225.3334717808223</v>
      </c>
      <c r="W139" s="32">
        <f t="shared" si="48"/>
        <v>1249.8401412164387</v>
      </c>
      <c r="X139" s="32">
        <f t="shared" si="49"/>
        <v>1274.3468106520552</v>
      </c>
      <c r="AH139" s="121">
        <v>119</v>
      </c>
      <c r="AI139" s="79" t="s">
        <v>4669</v>
      </c>
      <c r="AJ139" s="79">
        <v>17595278</v>
      </c>
      <c r="AK139" s="121">
        <v>1</v>
      </c>
      <c r="AL139" s="121">
        <f t="shared" si="44"/>
        <v>369</v>
      </c>
      <c r="AM139" s="79">
        <f t="shared" si="40"/>
        <v>6492657582</v>
      </c>
      <c r="AN139" s="121" t="s">
        <v>4671</v>
      </c>
      <c r="AQ139" t="s">
        <v>25</v>
      </c>
    </row>
    <row r="140" spans="7:43">
      <c r="G140" s="213"/>
      <c r="H140" s="213"/>
      <c r="I140" s="213" t="s">
        <v>914</v>
      </c>
      <c r="J140" s="213" t="s">
        <v>6</v>
      </c>
      <c r="O140" s="96"/>
      <c r="Q140" s="169">
        <v>323187420</v>
      </c>
      <c r="R140" s="213" t="s">
        <v>5662</v>
      </c>
      <c r="S140" s="213">
        <f>S139-3</f>
        <v>-4</v>
      </c>
      <c r="T140" s="213" t="s">
        <v>5664</v>
      </c>
      <c r="U140" s="213">
        <v>1231.4000000000001</v>
      </c>
      <c r="V140" s="99">
        <f t="shared" si="47"/>
        <v>1246.3387375342468</v>
      </c>
      <c r="W140" s="32">
        <f t="shared" si="48"/>
        <v>1271.2655122849317</v>
      </c>
      <c r="X140" s="32">
        <f t="shared" si="49"/>
        <v>1296.1922870356168</v>
      </c>
      <c r="Z140" t="s">
        <v>25</v>
      </c>
      <c r="AH140" s="121">
        <v>120</v>
      </c>
      <c r="AI140" s="79" t="s">
        <v>4670</v>
      </c>
      <c r="AJ140" s="79">
        <v>13335309</v>
      </c>
      <c r="AK140" s="121">
        <v>13</v>
      </c>
      <c r="AL140" s="121">
        <f t="shared" si="44"/>
        <v>368</v>
      </c>
      <c r="AM140" s="79">
        <f t="shared" si="40"/>
        <v>4907393712</v>
      </c>
      <c r="AN140" s="121" t="s">
        <v>4641</v>
      </c>
    </row>
    <row r="141" spans="7:43">
      <c r="G141" s="181"/>
      <c r="H141" s="181"/>
      <c r="I141" s="181"/>
      <c r="J141" s="181"/>
      <c r="Q141" s="169">
        <v>155240512</v>
      </c>
      <c r="R141" s="213" t="s">
        <v>5663</v>
      </c>
      <c r="S141" s="213">
        <f>S140-1</f>
        <v>-5</v>
      </c>
      <c r="T141" s="213" t="s">
        <v>5665</v>
      </c>
      <c r="U141" s="213">
        <v>1174.9000000000001</v>
      </c>
      <c r="V141" s="99">
        <f t="shared" si="47"/>
        <v>1188.2520142465755</v>
      </c>
      <c r="W141" s="32">
        <f t="shared" si="48"/>
        <v>1212.017054531507</v>
      </c>
      <c r="X141" s="32">
        <f t="shared" si="49"/>
        <v>1235.7820948164385</v>
      </c>
      <c r="Y141" t="s">
        <v>25</v>
      </c>
      <c r="AA141" t="s">
        <v>25</v>
      </c>
      <c r="AH141" s="161">
        <v>121</v>
      </c>
      <c r="AI141" s="228" t="s">
        <v>4721</v>
      </c>
      <c r="AJ141" s="228">
        <v>50000000</v>
      </c>
      <c r="AK141" s="161">
        <v>11</v>
      </c>
      <c r="AL141" s="161">
        <f t="shared" si="44"/>
        <v>355</v>
      </c>
      <c r="AM141" s="228">
        <f t="shared" si="40"/>
        <v>17750000000</v>
      </c>
      <c r="AN141" s="161" t="s">
        <v>4723</v>
      </c>
      <c r="AP141" t="s">
        <v>25</v>
      </c>
    </row>
    <row r="142" spans="7:43">
      <c r="G142" s="213"/>
      <c r="H142" s="213" t="s">
        <v>5614</v>
      </c>
      <c r="I142" s="213" t="s">
        <v>5628</v>
      </c>
      <c r="J142" s="1">
        <v>150000000</v>
      </c>
      <c r="K142" t="s">
        <v>25</v>
      </c>
      <c r="Q142" s="169">
        <v>24326565</v>
      </c>
      <c r="R142" s="213" t="s">
        <v>5666</v>
      </c>
      <c r="S142" s="213">
        <f>S141-1</f>
        <v>-6</v>
      </c>
      <c r="T142" s="213" t="s">
        <v>5668</v>
      </c>
      <c r="U142" s="213">
        <v>14737.8</v>
      </c>
      <c r="V142" s="99">
        <f t="shared" si="47"/>
        <v>14893.980302465756</v>
      </c>
      <c r="W142" s="32">
        <f t="shared" si="48"/>
        <v>15191.859908515071</v>
      </c>
      <c r="X142" s="32">
        <f t="shared" si="49"/>
        <v>15489.739514564386</v>
      </c>
      <c r="Y142" t="s">
        <v>25</v>
      </c>
      <c r="AH142" s="20">
        <v>122</v>
      </c>
      <c r="AI142" s="117" t="s">
        <v>971</v>
      </c>
      <c r="AJ142" s="117">
        <v>30000</v>
      </c>
      <c r="AK142" s="20">
        <v>3</v>
      </c>
      <c r="AL142" s="20">
        <f t="shared" si="44"/>
        <v>344</v>
      </c>
      <c r="AM142" s="117">
        <f t="shared" si="40"/>
        <v>10320000</v>
      </c>
      <c r="AN142" s="20"/>
    </row>
    <row r="143" spans="7:43">
      <c r="G143" s="1">
        <f>P52</f>
        <v>1306</v>
      </c>
      <c r="H143" s="213" t="s">
        <v>4233</v>
      </c>
      <c r="I143" s="213">
        <v>0</v>
      </c>
      <c r="J143" s="1">
        <f>G143*I143</f>
        <v>0</v>
      </c>
      <c r="P143" t="s">
        <v>25</v>
      </c>
      <c r="Q143" s="169">
        <v>171808209.12273005</v>
      </c>
      <c r="R143" s="213" t="s">
        <v>5666</v>
      </c>
      <c r="S143" s="213">
        <f>S142</f>
        <v>-6</v>
      </c>
      <c r="T143" s="213" t="s">
        <v>5674</v>
      </c>
      <c r="U143" s="213">
        <v>1197.3</v>
      </c>
      <c r="V143" s="99">
        <f t="shared" si="47"/>
        <v>1209.9880997260275</v>
      </c>
      <c r="W143" s="32">
        <f t="shared" si="48"/>
        <v>1234.187861720548</v>
      </c>
      <c r="X143" s="32">
        <f t="shared" si="49"/>
        <v>1258.3876237150687</v>
      </c>
      <c r="Y143" t="s">
        <v>25</v>
      </c>
      <c r="AH143" s="20">
        <v>123</v>
      </c>
      <c r="AI143" s="117" t="s">
        <v>4783</v>
      </c>
      <c r="AJ143" s="117">
        <v>600000</v>
      </c>
      <c r="AK143" s="20">
        <v>1</v>
      </c>
      <c r="AL143" s="20">
        <f t="shared" si="44"/>
        <v>341</v>
      </c>
      <c r="AM143" s="117">
        <f t="shared" si="40"/>
        <v>204600000</v>
      </c>
      <c r="AN143" s="20"/>
    </row>
    <row r="144" spans="7:43">
      <c r="G144" s="1">
        <f>P48</f>
        <v>16644</v>
      </c>
      <c r="H144" s="213" t="s">
        <v>4382</v>
      </c>
      <c r="I144" s="213">
        <v>19479</v>
      </c>
      <c r="J144" s="1">
        <f>G144*I144</f>
        <v>324208476</v>
      </c>
      <c r="Q144" s="169">
        <v>17348540</v>
      </c>
      <c r="R144" s="213" t="s">
        <v>5672</v>
      </c>
      <c r="S144" s="213">
        <f>S143-5</f>
        <v>-11</v>
      </c>
      <c r="T144" s="213" t="s">
        <v>5673</v>
      </c>
      <c r="U144" s="213">
        <v>14201</v>
      </c>
      <c r="V144" s="99">
        <f t="shared" si="47"/>
        <v>14297.022104109592</v>
      </c>
      <c r="W144" s="32">
        <f t="shared" si="48"/>
        <v>14582.962546191784</v>
      </c>
      <c r="X144" s="32">
        <f t="shared" si="49"/>
        <v>14868.902988273976</v>
      </c>
      <c r="Y144" t="s">
        <v>25</v>
      </c>
      <c r="Z144" t="s">
        <v>25</v>
      </c>
      <c r="AH144" s="20">
        <v>124</v>
      </c>
      <c r="AI144" s="117" t="s">
        <v>4786</v>
      </c>
      <c r="AJ144" s="117">
        <v>30000</v>
      </c>
      <c r="AK144" s="20">
        <v>3</v>
      </c>
      <c r="AL144" s="20">
        <f t="shared" si="44"/>
        <v>340</v>
      </c>
      <c r="AM144" s="117">
        <f t="shared" si="40"/>
        <v>10200000</v>
      </c>
      <c r="AN144" s="20"/>
    </row>
    <row r="145" spans="5:44">
      <c r="G145" s="213"/>
      <c r="H145" s="213"/>
      <c r="I145" s="213"/>
      <c r="J145" s="1"/>
      <c r="Q145" s="169">
        <v>239980547</v>
      </c>
      <c r="R145" s="213" t="s">
        <v>5675</v>
      </c>
      <c r="S145" s="213">
        <f>S144-1</f>
        <v>-12</v>
      </c>
      <c r="T145" s="213" t="s">
        <v>5688</v>
      </c>
      <c r="U145" s="213">
        <v>16569.3</v>
      </c>
      <c r="V145" s="99">
        <f t="shared" si="47"/>
        <v>16668.62500931507</v>
      </c>
      <c r="W145" s="32">
        <f t="shared" si="48"/>
        <v>17001.997509501372</v>
      </c>
      <c r="X145" s="32">
        <f t="shared" si="49"/>
        <v>17335.370009687675</v>
      </c>
      <c r="Y145" s="122" t="s">
        <v>25</v>
      </c>
      <c r="AH145" s="20">
        <v>125</v>
      </c>
      <c r="AI145" s="117" t="s">
        <v>4792</v>
      </c>
      <c r="AJ145" s="117">
        <v>2250000</v>
      </c>
      <c r="AK145" s="20">
        <v>1</v>
      </c>
      <c r="AL145" s="20">
        <f t="shared" si="44"/>
        <v>337</v>
      </c>
      <c r="AM145" s="117">
        <f>AJ145*AL145</f>
        <v>758250000</v>
      </c>
      <c r="AN145" s="20"/>
      <c r="AR145" t="s">
        <v>25</v>
      </c>
    </row>
    <row r="146" spans="5:44">
      <c r="G146" s="213"/>
      <c r="H146" s="213"/>
      <c r="I146" s="213"/>
      <c r="J146" s="1"/>
      <c r="Q146" s="169" t="s">
        <v>25</v>
      </c>
      <c r="R146" s="213"/>
      <c r="S146" s="213"/>
      <c r="T146" s="213"/>
      <c r="U146" s="213"/>
      <c r="V146" s="99">
        <f t="shared" si="47"/>
        <v>0</v>
      </c>
      <c r="W146" s="32">
        <f t="shared" si="48"/>
        <v>0</v>
      </c>
      <c r="X146" s="32">
        <f t="shared" si="49"/>
        <v>0</v>
      </c>
      <c r="Y146" s="122" t="s">
        <v>25</v>
      </c>
      <c r="AH146" s="23">
        <v>126</v>
      </c>
      <c r="AI146" s="35" t="s">
        <v>4797</v>
      </c>
      <c r="AJ146" s="35">
        <v>-31412200</v>
      </c>
      <c r="AK146" s="23">
        <v>1</v>
      </c>
      <c r="AL146" s="20">
        <f t="shared" si="44"/>
        <v>336</v>
      </c>
      <c r="AM146" s="35">
        <f>AJ146*AL146</f>
        <v>-10554499200</v>
      </c>
      <c r="AN146" s="23" t="s">
        <v>4785</v>
      </c>
    </row>
    <row r="147" spans="5:44">
      <c r="G147" s="213"/>
      <c r="H147" s="213"/>
      <c r="I147" s="213"/>
      <c r="J147" s="1"/>
      <c r="K147" s="96"/>
      <c r="L147" s="96"/>
      <c r="M147" t="s">
        <v>25</v>
      </c>
      <c r="P147" s="114"/>
      <c r="Q147" s="169"/>
      <c r="R147" s="168"/>
      <c r="S147" s="168"/>
      <c r="T147" s="168"/>
      <c r="U147" s="168"/>
      <c r="V147" s="99">
        <f t="shared" si="47"/>
        <v>0</v>
      </c>
      <c r="W147" s="32">
        <f t="shared" si="48"/>
        <v>0</v>
      </c>
      <c r="X147" s="32">
        <f t="shared" si="49"/>
        <v>0</v>
      </c>
      <c r="Z147" s="96" t="s">
        <v>25</v>
      </c>
      <c r="AH147" s="20">
        <v>127</v>
      </c>
      <c r="AI147" s="117" t="s">
        <v>4806</v>
      </c>
      <c r="AJ147" s="117">
        <v>70000</v>
      </c>
      <c r="AK147" s="20">
        <v>9</v>
      </c>
      <c r="AL147" s="20">
        <f t="shared" si="44"/>
        <v>335</v>
      </c>
      <c r="AM147" s="117">
        <f>AJ147*AL147</f>
        <v>23450000</v>
      </c>
      <c r="AN147" s="20"/>
    </row>
    <row r="148" spans="5:44">
      <c r="G148" s="213"/>
      <c r="H148" s="113"/>
      <c r="I148" s="282">
        <f>J148-J142</f>
        <v>174208476</v>
      </c>
      <c r="J148" s="1">
        <f>SUM(J143:J145)</f>
        <v>324208476</v>
      </c>
      <c r="K148" s="96"/>
      <c r="Q148" s="113">
        <f>SUM(N44:N54)-SUM(Q91:Q147)</f>
        <v>2689378055.5571227</v>
      </c>
      <c r="R148" s="112"/>
      <c r="S148" s="112"/>
      <c r="T148" s="112"/>
      <c r="U148" s="168"/>
      <c r="V148" s="99" t="s">
        <v>25</v>
      </c>
      <c r="W148" s="32"/>
      <c r="X148" s="32"/>
      <c r="Z148" s="96" t="s">
        <v>25</v>
      </c>
      <c r="AH148" s="99">
        <v>128</v>
      </c>
      <c r="AI148" s="113" t="s">
        <v>4813</v>
      </c>
      <c r="AJ148" s="113">
        <v>20000</v>
      </c>
      <c r="AK148" s="99">
        <v>10</v>
      </c>
      <c r="AL148" s="20">
        <f t="shared" si="44"/>
        <v>326</v>
      </c>
      <c r="AM148" s="117">
        <f>AJ148*AL148</f>
        <v>6520000</v>
      </c>
      <c r="AN148" s="20"/>
      <c r="AP148" t="s">
        <v>25</v>
      </c>
    </row>
    <row r="149" spans="5:44">
      <c r="G149" s="213"/>
      <c r="H149" s="213"/>
      <c r="I149" s="213" t="s">
        <v>5569</v>
      </c>
      <c r="J149" s="213" t="s">
        <v>6</v>
      </c>
      <c r="K149" s="96"/>
      <c r="L149" s="96"/>
      <c r="Q149" s="26"/>
      <c r="R149" s="181"/>
      <c r="S149" s="181"/>
      <c r="T149" t="s">
        <v>25</v>
      </c>
      <c r="U149" s="96" t="s">
        <v>25</v>
      </c>
      <c r="V149" s="96" t="s">
        <v>25</v>
      </c>
      <c r="W149" s="96" t="s">
        <v>25</v>
      </c>
      <c r="Z149" s="96" t="s">
        <v>25</v>
      </c>
      <c r="AH149" s="99">
        <v>129</v>
      </c>
      <c r="AI149" s="113" t="s">
        <v>4833</v>
      </c>
      <c r="AJ149" s="113">
        <v>1000000</v>
      </c>
      <c r="AK149" s="99">
        <v>1</v>
      </c>
      <c r="AL149" s="20">
        <f t="shared" si="44"/>
        <v>316</v>
      </c>
      <c r="AM149" s="117">
        <f>AJ149*AL149</f>
        <v>316000000</v>
      </c>
      <c r="AN149" s="20"/>
    </row>
    <row r="150" spans="5:44">
      <c r="E150" s="123"/>
      <c r="G150" s="181"/>
      <c r="H150" s="181"/>
      <c r="I150" s="181"/>
      <c r="J150" s="181"/>
      <c r="K150" s="96"/>
      <c r="L150" s="96"/>
      <c r="M150" s="96"/>
      <c r="N150" s="96"/>
      <c r="O150" s="96"/>
      <c r="R150" s="32" t="s">
        <v>4549</v>
      </c>
      <c r="S150" s="32" t="s">
        <v>947</v>
      </c>
      <c r="T150" t="s">
        <v>25</v>
      </c>
      <c r="U150" s="96" t="s">
        <v>25</v>
      </c>
      <c r="V150" s="96" t="s">
        <v>25</v>
      </c>
      <c r="W150" s="96" t="s">
        <v>25</v>
      </c>
      <c r="X150" s="122" t="s">
        <v>25</v>
      </c>
      <c r="Y150" t="s">
        <v>25</v>
      </c>
      <c r="Z150" s="96"/>
      <c r="AA150" s="114"/>
      <c r="AC150" s="114"/>
      <c r="AD150" s="114"/>
      <c r="AH150" s="99">
        <v>130</v>
      </c>
      <c r="AI150" s="113" t="s">
        <v>4834</v>
      </c>
      <c r="AJ150" s="113">
        <v>65630227</v>
      </c>
      <c r="AK150" s="99">
        <v>0</v>
      </c>
      <c r="AL150" s="20">
        <f t="shared" si="44"/>
        <v>315</v>
      </c>
      <c r="AM150" s="117">
        <f t="shared" ref="AM150:AM177" si="50">AJ150*AL150</f>
        <v>20673521505</v>
      </c>
      <c r="AN150" s="20" t="s">
        <v>4837</v>
      </c>
      <c r="AP150" t="s">
        <v>25</v>
      </c>
      <c r="AR150" t="s">
        <v>25</v>
      </c>
    </row>
    <row r="151" spans="5:44">
      <c r="G151" s="213" t="s">
        <v>25</v>
      </c>
      <c r="H151" s="213" t="s">
        <v>5614</v>
      </c>
      <c r="I151" s="213" t="s">
        <v>5637</v>
      </c>
      <c r="J151" s="1">
        <v>50000000</v>
      </c>
      <c r="K151" s="96"/>
      <c r="L151" s="96"/>
      <c r="M151" s="96"/>
      <c r="N151" s="96"/>
      <c r="O151" s="96"/>
      <c r="R151" s="32">
        <v>13799</v>
      </c>
      <c r="S151" s="169">
        <v>161819409.7208834</v>
      </c>
      <c r="T151" t="s">
        <v>25</v>
      </c>
      <c r="U151" s="96" t="s">
        <v>25</v>
      </c>
      <c r="V151" s="122" t="s">
        <v>25</v>
      </c>
      <c r="W151" s="96" t="s">
        <v>25</v>
      </c>
      <c r="X151" t="s">
        <v>25</v>
      </c>
      <c r="Y151" t="s">
        <v>25</v>
      </c>
      <c r="Z151" s="96" t="s">
        <v>25</v>
      </c>
      <c r="AA151" s="114"/>
      <c r="AC151" s="114"/>
      <c r="AH151" s="99">
        <v>131</v>
      </c>
      <c r="AI151" s="113" t="s">
        <v>4834</v>
      </c>
      <c r="AJ151" s="113">
        <v>-3500000</v>
      </c>
      <c r="AK151" s="99">
        <v>6</v>
      </c>
      <c r="AL151" s="20">
        <f t="shared" si="44"/>
        <v>315</v>
      </c>
      <c r="AM151" s="117">
        <f t="shared" si="50"/>
        <v>-1102500000</v>
      </c>
      <c r="AN151" s="20" t="s">
        <v>4836</v>
      </c>
    </row>
    <row r="152" spans="5:44">
      <c r="G152" s="213">
        <f>P48</f>
        <v>16644</v>
      </c>
      <c r="H152" s="213" t="s">
        <v>4382</v>
      </c>
      <c r="I152" s="213">
        <v>4386</v>
      </c>
      <c r="J152" s="113">
        <f>G152*I152</f>
        <v>73000584</v>
      </c>
      <c r="K152" s="96"/>
      <c r="L152" s="96"/>
      <c r="M152" s="96"/>
      <c r="N152" s="96"/>
      <c r="O152" s="96"/>
      <c r="Q152" t="s">
        <v>25</v>
      </c>
      <c r="R152" s="32">
        <v>13774</v>
      </c>
      <c r="S152" s="1">
        <f>S151*R152/R151</f>
        <v>161526237.37194344</v>
      </c>
      <c r="T152" s="114" t="s">
        <v>25</v>
      </c>
      <c r="U152" s="96" t="s">
        <v>25</v>
      </c>
      <c r="V152" s="122" t="s">
        <v>25</v>
      </c>
      <c r="W152" s="96" t="s">
        <v>25</v>
      </c>
      <c r="X152" t="s">
        <v>25</v>
      </c>
      <c r="Y152" t="s">
        <v>25</v>
      </c>
      <c r="Z152" s="96"/>
      <c r="AA152" s="114"/>
      <c r="AC152" s="114"/>
      <c r="AD152" s="114"/>
      <c r="AH152" s="99">
        <v>132</v>
      </c>
      <c r="AI152" s="113" t="s">
        <v>4847</v>
      </c>
      <c r="AJ152" s="113">
        <v>2520000</v>
      </c>
      <c r="AK152" s="99">
        <v>12</v>
      </c>
      <c r="AL152" s="20">
        <f t="shared" si="44"/>
        <v>309</v>
      </c>
      <c r="AM152" s="117">
        <f t="shared" si="50"/>
        <v>778680000</v>
      </c>
      <c r="AN152" s="20"/>
    </row>
    <row r="153" spans="5:44">
      <c r="G153" s="213">
        <v>1</v>
      </c>
      <c r="H153" s="213" t="s">
        <v>5631</v>
      </c>
      <c r="I153" s="213">
        <v>654098</v>
      </c>
      <c r="J153" s="113">
        <f>G153*I153</f>
        <v>654098</v>
      </c>
      <c r="K153" s="96" t="s">
        <v>25</v>
      </c>
      <c r="L153" s="96"/>
      <c r="M153" s="96"/>
      <c r="N153" s="96"/>
      <c r="O153" s="96"/>
      <c r="R153" s="32">
        <f>R151-R152</f>
        <v>25</v>
      </c>
      <c r="S153" s="1">
        <f>R153*S151/R151</f>
        <v>293172.34893992933</v>
      </c>
      <c r="T153" t="s">
        <v>25</v>
      </c>
      <c r="U153" s="122" t="s">
        <v>25</v>
      </c>
      <c r="V153" s="96"/>
      <c r="W153" s="122" t="s">
        <v>25</v>
      </c>
      <c r="X153" t="s">
        <v>25</v>
      </c>
      <c r="Y153" s="96" t="s">
        <v>25</v>
      </c>
      <c r="Z153" s="96" t="s">
        <v>25</v>
      </c>
      <c r="AH153" s="99">
        <v>133</v>
      </c>
      <c r="AI153" s="113" t="s">
        <v>4882</v>
      </c>
      <c r="AJ153" s="113">
        <v>1400000</v>
      </c>
      <c r="AK153" s="99">
        <v>4</v>
      </c>
      <c r="AL153" s="20">
        <f t="shared" si="44"/>
        <v>297</v>
      </c>
      <c r="AM153" s="117">
        <f t="shared" si="50"/>
        <v>415800000</v>
      </c>
      <c r="AN153" s="20"/>
    </row>
    <row r="154" spans="5:44">
      <c r="G154" s="213"/>
      <c r="H154" s="213"/>
      <c r="I154" s="213"/>
      <c r="J154" s="113"/>
      <c r="K154" s="96"/>
      <c r="L154" s="96"/>
      <c r="M154" s="96"/>
      <c r="N154" s="96"/>
      <c r="O154" s="96"/>
      <c r="V154" s="96"/>
      <c r="W154"/>
      <c r="X154" t="s">
        <v>25</v>
      </c>
      <c r="Y154" s="122" t="s">
        <v>25</v>
      </c>
      <c r="Z154" s="122" t="s">
        <v>25</v>
      </c>
      <c r="AH154" s="99">
        <v>134</v>
      </c>
      <c r="AI154" s="113" t="s">
        <v>4906</v>
      </c>
      <c r="AJ154" s="113">
        <v>1550000</v>
      </c>
      <c r="AK154" s="99">
        <v>2</v>
      </c>
      <c r="AL154" s="20">
        <f t="shared" si="44"/>
        <v>293</v>
      </c>
      <c r="AM154" s="117">
        <f t="shared" si="50"/>
        <v>454150000</v>
      </c>
      <c r="AN154" s="20"/>
    </row>
    <row r="155" spans="5:44">
      <c r="G155" s="213"/>
      <c r="H155" s="213" t="s">
        <v>950</v>
      </c>
      <c r="I155" s="188">
        <f>J152+J153-J151</f>
        <v>23654682</v>
      </c>
      <c r="J155" s="213"/>
      <c r="K155" s="96"/>
      <c r="L155" s="96"/>
      <c r="M155" s="96"/>
      <c r="N155" s="96"/>
      <c r="O155" s="96"/>
      <c r="P155" s="96"/>
      <c r="Q155" s="96"/>
      <c r="R155" s="96"/>
      <c r="S155" s="96"/>
      <c r="T155" s="96"/>
      <c r="U155" s="322" t="s">
        <v>4433</v>
      </c>
      <c r="V155" s="322" t="s">
        <v>4446</v>
      </c>
      <c r="W155" s="322" t="s">
        <v>4447</v>
      </c>
      <c r="X155" t="s">
        <v>25</v>
      </c>
      <c r="Y155" s="122" t="s">
        <v>25</v>
      </c>
      <c r="Z155" s="96" t="s">
        <v>25</v>
      </c>
      <c r="AA155" t="s">
        <v>25</v>
      </c>
      <c r="AH155" s="99">
        <v>135</v>
      </c>
      <c r="AI155" s="113" t="s">
        <v>4854</v>
      </c>
      <c r="AJ155" s="113">
        <v>250000</v>
      </c>
      <c r="AK155" s="99">
        <v>6</v>
      </c>
      <c r="AL155" s="20">
        <f t="shared" si="44"/>
        <v>291</v>
      </c>
      <c r="AM155" s="117">
        <f t="shared" si="50"/>
        <v>72750000</v>
      </c>
      <c r="AN155" s="20"/>
    </row>
    <row r="156" spans="5:44">
      <c r="G156" s="181"/>
      <c r="H156" s="181"/>
      <c r="I156" s="181"/>
      <c r="J156" s="181"/>
      <c r="K156" s="114"/>
      <c r="P156" s="96"/>
      <c r="Q156" s="96"/>
      <c r="R156" s="96"/>
      <c r="S156" s="96"/>
      <c r="T156" s="96"/>
      <c r="U156" s="322" t="s">
        <v>749</v>
      </c>
      <c r="V156" s="322">
        <v>1512208</v>
      </c>
      <c r="W156" s="90">
        <f>V156*$T$367</f>
        <v>3246037414.3806205</v>
      </c>
      <c r="Y156" s="122" t="s">
        <v>25</v>
      </c>
      <c r="Z156" s="96"/>
      <c r="AH156" s="99">
        <v>136</v>
      </c>
      <c r="AI156" s="113" t="s">
        <v>4916</v>
      </c>
      <c r="AJ156" s="113">
        <v>-48527480</v>
      </c>
      <c r="AK156" s="99">
        <v>14</v>
      </c>
      <c r="AL156" s="20">
        <f t="shared" si="44"/>
        <v>285</v>
      </c>
      <c r="AM156" s="117">
        <f t="shared" si="50"/>
        <v>-13830331800</v>
      </c>
      <c r="AN156" s="20" t="s">
        <v>4918</v>
      </c>
    </row>
    <row r="157" spans="5:44">
      <c r="T157" s="96"/>
      <c r="U157" s="322" t="s">
        <v>4435</v>
      </c>
      <c r="V157" s="322">
        <v>1953021</v>
      </c>
      <c r="W157" s="90">
        <f>V157*$T$367</f>
        <v>4192266696.8241496</v>
      </c>
      <c r="X157" s="96" t="s">
        <v>25</v>
      </c>
      <c r="Y157" s="96"/>
      <c r="Z157" s="96"/>
      <c r="AH157" s="99">
        <v>137</v>
      </c>
      <c r="AI157" s="113" t="s">
        <v>4943</v>
      </c>
      <c r="AJ157" s="113">
        <v>2100000</v>
      </c>
      <c r="AK157" s="99">
        <v>1</v>
      </c>
      <c r="AL157" s="20">
        <f t="shared" si="44"/>
        <v>271</v>
      </c>
      <c r="AM157" s="117">
        <f t="shared" si="50"/>
        <v>569100000</v>
      </c>
      <c r="AN157" s="20"/>
    </row>
    <row r="158" spans="5:44">
      <c r="G158" s="99"/>
      <c r="H158" s="99"/>
      <c r="I158" s="99" t="s">
        <v>5558</v>
      </c>
      <c r="J158" s="1">
        <v>20000000</v>
      </c>
      <c r="K158" s="278"/>
      <c r="L158" s="290"/>
      <c r="T158" s="96">
        <f>V156-40530</f>
        <v>1471678</v>
      </c>
      <c r="U158" s="322" t="s">
        <v>4434</v>
      </c>
      <c r="V158" s="322">
        <v>51212</v>
      </c>
      <c r="W158" s="90">
        <f>V158*$T$367</f>
        <v>109929366.90274112</v>
      </c>
      <c r="X158" s="217"/>
      <c r="Y158" s="96"/>
      <c r="Z158" s="96"/>
      <c r="AH158" s="99">
        <v>138</v>
      </c>
      <c r="AI158" s="113" t="s">
        <v>4946</v>
      </c>
      <c r="AJ158" s="113">
        <v>100000</v>
      </c>
      <c r="AK158" s="99">
        <v>4</v>
      </c>
      <c r="AL158" s="20">
        <f>AL159+AK158</f>
        <v>270</v>
      </c>
      <c r="AM158" s="117">
        <f t="shared" si="50"/>
        <v>27000000</v>
      </c>
      <c r="AN158" s="20"/>
    </row>
    <row r="159" spans="5:44">
      <c r="G159" s="99">
        <f>P52</f>
        <v>1306</v>
      </c>
      <c r="H159" s="99" t="s">
        <v>4233</v>
      </c>
      <c r="I159" s="99">
        <v>30054</v>
      </c>
      <c r="J159" s="1">
        <f>G159*I159</f>
        <v>39250524</v>
      </c>
      <c r="Q159" t="s">
        <v>25</v>
      </c>
      <c r="R159" t="s">
        <v>25</v>
      </c>
      <c r="T159" s="96"/>
      <c r="U159" s="322" t="s">
        <v>1083</v>
      </c>
      <c r="V159" s="322">
        <v>115465</v>
      </c>
      <c r="W159" s="90">
        <f>V159*$T$367</f>
        <v>247851955.58511683</v>
      </c>
      <c r="X159" s="115"/>
      <c r="Y159" s="96" t="s">
        <v>25</v>
      </c>
      <c r="Z159" s="96"/>
      <c r="AH159" s="99">
        <v>139</v>
      </c>
      <c r="AI159" s="113" t="s">
        <v>4951</v>
      </c>
      <c r="AJ159" s="113">
        <v>900000</v>
      </c>
      <c r="AK159" s="99">
        <v>0</v>
      </c>
      <c r="AL159" s="20">
        <f t="shared" ref="AL159:AL168" si="51">AL160+AK159</f>
        <v>266</v>
      </c>
      <c r="AM159" s="117">
        <f t="shared" ref="AM159:AM168" si="52">AJ159*AL159</f>
        <v>239400000</v>
      </c>
      <c r="AN159" s="20"/>
      <c r="AP159" t="s">
        <v>25</v>
      </c>
    </row>
    <row r="160" spans="5:44">
      <c r="G160" s="99">
        <f>P48</f>
        <v>16644</v>
      </c>
      <c r="H160" s="99" t="s">
        <v>4382</v>
      </c>
      <c r="I160" s="99">
        <v>1150</v>
      </c>
      <c r="J160" s="1">
        <f>G160*I160</f>
        <v>19140600</v>
      </c>
      <c r="P160" s="114"/>
      <c r="T160" s="96"/>
      <c r="U160" s="322" t="s">
        <v>5463</v>
      </c>
      <c r="V160" s="322">
        <v>2394</v>
      </c>
      <c r="W160" s="90">
        <f>V160*$T$367</f>
        <v>5138852.3073725346</v>
      </c>
      <c r="X160" s="115"/>
      <c r="Y160" s="96"/>
      <c r="AH160" s="99">
        <v>140</v>
      </c>
      <c r="AI160" s="113" t="s">
        <v>4951</v>
      </c>
      <c r="AJ160" s="113">
        <v>1100000</v>
      </c>
      <c r="AK160" s="99">
        <v>0</v>
      </c>
      <c r="AL160" s="20">
        <f t="shared" si="51"/>
        <v>266</v>
      </c>
      <c r="AM160" s="117">
        <f t="shared" si="52"/>
        <v>292600000</v>
      </c>
      <c r="AN160" s="20" t="s">
        <v>4967</v>
      </c>
      <c r="AQ160" t="s">
        <v>25</v>
      </c>
    </row>
    <row r="161" spans="7:43">
      <c r="G161" s="99">
        <f>P45</f>
        <v>86860</v>
      </c>
      <c r="H161" s="99" t="s">
        <v>5323</v>
      </c>
      <c r="I161" s="99">
        <v>52</v>
      </c>
      <c r="J161" s="1">
        <f>G161*I161</f>
        <v>4516720</v>
      </c>
      <c r="P161" s="114"/>
      <c r="T161" s="96" t="s">
        <v>25</v>
      </c>
      <c r="U161" s="322"/>
      <c r="V161" s="322"/>
      <c r="W161" s="322"/>
      <c r="X161" s="115"/>
      <c r="Y161" s="96"/>
      <c r="Z161" t="s">
        <v>25</v>
      </c>
      <c r="AH161" s="99">
        <v>141</v>
      </c>
      <c r="AI161" s="113" t="s">
        <v>4951</v>
      </c>
      <c r="AJ161" s="113">
        <v>115000</v>
      </c>
      <c r="AK161" s="99"/>
      <c r="AL161" s="20">
        <f t="shared" si="51"/>
        <v>266</v>
      </c>
      <c r="AM161" s="117">
        <f t="shared" si="52"/>
        <v>30590000</v>
      </c>
      <c r="AN161" s="20"/>
      <c r="AQ161" t="s">
        <v>25</v>
      </c>
    </row>
    <row r="162" spans="7:43">
      <c r="G162" s="99">
        <v>1</v>
      </c>
      <c r="H162" s="99" t="s">
        <v>5678</v>
      </c>
      <c r="I162" s="99">
        <v>1265000</v>
      </c>
      <c r="J162" s="1">
        <f>I162</f>
        <v>1265000</v>
      </c>
      <c r="N162" s="96"/>
      <c r="O162" s="96"/>
      <c r="P162" s="114"/>
      <c r="S162" t="s">
        <v>25</v>
      </c>
      <c r="T162" s="96"/>
      <c r="U162" s="89"/>
      <c r="V162" s="89"/>
      <c r="W162" s="89"/>
      <c r="X162" s="114"/>
      <c r="Y162" s="96" t="s">
        <v>25</v>
      </c>
      <c r="AH162" s="99">
        <v>142</v>
      </c>
      <c r="AI162" s="113" t="s">
        <v>4959</v>
      </c>
      <c r="AJ162" s="113">
        <v>-1100000</v>
      </c>
      <c r="AK162" s="99"/>
      <c r="AL162" s="20">
        <f t="shared" si="51"/>
        <v>266</v>
      </c>
      <c r="AM162" s="117">
        <f t="shared" si="52"/>
        <v>-292600000</v>
      </c>
      <c r="AN162" s="20" t="s">
        <v>4968</v>
      </c>
      <c r="AQ162" t="s">
        <v>25</v>
      </c>
    </row>
    <row r="163" spans="7:43">
      <c r="G163" s="99"/>
      <c r="H163" s="99" t="s">
        <v>950</v>
      </c>
      <c r="I163" s="271">
        <f>J159+J160+J161+J162-J158</f>
        <v>44172844</v>
      </c>
      <c r="J163" s="1"/>
      <c r="N163" s="96"/>
      <c r="O163" s="96"/>
      <c r="T163" s="96"/>
      <c r="U163" s="89"/>
      <c r="V163" s="89"/>
      <c r="W163" s="89"/>
      <c r="X163" s="96"/>
      <c r="Y163" s="122" t="s">
        <v>25</v>
      </c>
      <c r="AH163" s="99">
        <v>143</v>
      </c>
      <c r="AI163" s="113" t="s">
        <v>4959</v>
      </c>
      <c r="AJ163" s="113">
        <v>900000</v>
      </c>
      <c r="AK163" s="99">
        <v>1</v>
      </c>
      <c r="AL163" s="20">
        <f t="shared" si="51"/>
        <v>266</v>
      </c>
      <c r="AM163" s="117">
        <f t="shared" si="52"/>
        <v>239400000</v>
      </c>
      <c r="AN163" s="20" t="s">
        <v>4967</v>
      </c>
    </row>
    <row r="164" spans="7:43">
      <c r="N164" s="96"/>
      <c r="O164" s="96"/>
      <c r="T164" s="96"/>
      <c r="U164" s="89"/>
      <c r="V164" s="89"/>
      <c r="W164" s="89"/>
      <c r="X164" s="96"/>
      <c r="Y164" s="96" t="s">
        <v>25</v>
      </c>
      <c r="AH164" s="99">
        <v>144</v>
      </c>
      <c r="AI164" s="113" t="s">
        <v>4965</v>
      </c>
      <c r="AJ164" s="113">
        <v>2000000</v>
      </c>
      <c r="AK164" s="99">
        <v>0</v>
      </c>
      <c r="AL164" s="20">
        <f t="shared" si="51"/>
        <v>265</v>
      </c>
      <c r="AM164" s="117">
        <f t="shared" si="52"/>
        <v>530000000</v>
      </c>
      <c r="AN164" s="20"/>
    </row>
    <row r="165" spans="7:43">
      <c r="K165" t="s">
        <v>25</v>
      </c>
      <c r="N165" s="96"/>
      <c r="O165" s="96"/>
      <c r="T165" s="96"/>
      <c r="U165" s="89"/>
      <c r="V165" s="89"/>
      <c r="W165" s="89"/>
      <c r="X165" s="96"/>
      <c r="Y165" s="96"/>
      <c r="Z165" t="s">
        <v>25</v>
      </c>
      <c r="AH165" s="99">
        <v>145</v>
      </c>
      <c r="AI165" s="113" t="s">
        <v>4965</v>
      </c>
      <c r="AJ165" s="113">
        <v>360000</v>
      </c>
      <c r="AK165" s="99">
        <v>1</v>
      </c>
      <c r="AL165" s="20">
        <f t="shared" si="51"/>
        <v>265</v>
      </c>
      <c r="AM165" s="117">
        <f t="shared" si="52"/>
        <v>95400000</v>
      </c>
      <c r="AN165" s="20"/>
    </row>
    <row r="166" spans="7:43">
      <c r="I166">
        <f>39042-I159</f>
        <v>8988</v>
      </c>
      <c r="J166" s="114">
        <f>I166*$G$159</f>
        <v>11738328</v>
      </c>
      <c r="N166" s="96"/>
      <c r="O166" s="96"/>
      <c r="P166" s="114"/>
      <c r="T166" s="96"/>
      <c r="U166" s="89"/>
      <c r="V166" s="89" t="s">
        <v>4991</v>
      </c>
      <c r="W166" s="142">
        <f>W156-R173</f>
        <v>833664863.38062048</v>
      </c>
      <c r="X166" s="96"/>
      <c r="Y166" t="s">
        <v>25</v>
      </c>
      <c r="Z166" t="s">
        <v>25</v>
      </c>
      <c r="AH166" s="99">
        <v>146</v>
      </c>
      <c r="AI166" s="113" t="s">
        <v>4966</v>
      </c>
      <c r="AJ166" s="113">
        <v>3000000</v>
      </c>
      <c r="AK166" s="99">
        <v>1</v>
      </c>
      <c r="AL166" s="20">
        <f t="shared" si="51"/>
        <v>264</v>
      </c>
      <c r="AM166" s="117">
        <f t="shared" si="52"/>
        <v>792000000</v>
      </c>
      <c r="AN166" s="20"/>
    </row>
    <row r="167" spans="7:43">
      <c r="I167">
        <v>10107.271699999999</v>
      </c>
      <c r="J167" s="114">
        <f>I167*$G$159</f>
        <v>13200096.8402</v>
      </c>
      <c r="N167" s="96"/>
      <c r="O167" s="96"/>
      <c r="Q167" s="96"/>
      <c r="R167" s="96"/>
      <c r="S167" s="96"/>
      <c r="T167" s="96"/>
      <c r="U167" s="89"/>
      <c r="V167" s="89" t="s">
        <v>4992</v>
      </c>
      <c r="W167" s="142">
        <f>W159+W158-R174</f>
        <v>90999960.487857938</v>
      </c>
      <c r="X167" s="115"/>
      <c r="Y167" t="s">
        <v>25</v>
      </c>
      <c r="AH167" s="99">
        <v>147</v>
      </c>
      <c r="AI167" s="113" t="s">
        <v>4963</v>
      </c>
      <c r="AJ167" s="113">
        <v>-658226</v>
      </c>
      <c r="AK167" s="99">
        <v>1</v>
      </c>
      <c r="AL167" s="20">
        <f t="shared" si="51"/>
        <v>263</v>
      </c>
      <c r="AM167" s="117">
        <f t="shared" si="52"/>
        <v>-173113438</v>
      </c>
      <c r="AN167" s="20"/>
    </row>
    <row r="168" spans="7:43">
      <c r="I168">
        <f>I166-I167</f>
        <v>-1119.2716999999993</v>
      </c>
      <c r="J168" s="114">
        <f>I168*$G$159</f>
        <v>-1461768.840199999</v>
      </c>
      <c r="N168" s="96"/>
      <c r="O168" s="96"/>
      <c r="P168" s="114"/>
      <c r="S168" s="96"/>
      <c r="T168" s="96"/>
      <c r="V168" s="96"/>
      <c r="Y168" t="s">
        <v>25</v>
      </c>
      <c r="Z168" t="s">
        <v>25</v>
      </c>
      <c r="AH168" s="99">
        <v>148</v>
      </c>
      <c r="AI168" s="113" t="s">
        <v>4969</v>
      </c>
      <c r="AJ168" s="113">
        <v>1000000</v>
      </c>
      <c r="AK168" s="99">
        <v>15</v>
      </c>
      <c r="AL168" s="20">
        <f t="shared" si="51"/>
        <v>262</v>
      </c>
      <c r="AM168" s="117">
        <f t="shared" si="52"/>
        <v>262000000</v>
      </c>
      <c r="AN168" s="20"/>
      <c r="AP168" t="s">
        <v>25</v>
      </c>
    </row>
    <row r="169" spans="7:43">
      <c r="L169" t="s">
        <v>25</v>
      </c>
      <c r="S169" s="96"/>
      <c r="T169" s="96" t="s">
        <v>25</v>
      </c>
      <c r="V169" s="96"/>
      <c r="Y169" t="s">
        <v>25</v>
      </c>
      <c r="AH169" s="99">
        <v>149</v>
      </c>
      <c r="AI169" s="113" t="s">
        <v>4997</v>
      </c>
      <c r="AJ169" s="113">
        <v>1130250</v>
      </c>
      <c r="AK169" s="99">
        <v>5</v>
      </c>
      <c r="AL169" s="20">
        <f t="shared" si="44"/>
        <v>247</v>
      </c>
      <c r="AM169" s="117">
        <f t="shared" si="50"/>
        <v>279171750</v>
      </c>
      <c r="AN169" s="20"/>
    </row>
    <row r="170" spans="7:43">
      <c r="J170" s="114">
        <f>J167-J161</f>
        <v>8683376.8401999995</v>
      </c>
      <c r="P170" s="114"/>
      <c r="Q170" s="96"/>
      <c r="R170" s="96"/>
      <c r="S170" s="96"/>
      <c r="T170" s="96"/>
      <c r="V170" s="96"/>
      <c r="Y170" t="s">
        <v>25</v>
      </c>
      <c r="AE170" s="96" t="s">
        <v>25</v>
      </c>
      <c r="AH170" s="99">
        <v>150</v>
      </c>
      <c r="AI170" s="113" t="s">
        <v>5005</v>
      </c>
      <c r="AJ170" s="113">
        <v>206000</v>
      </c>
      <c r="AK170" s="99">
        <v>2</v>
      </c>
      <c r="AL170" s="20">
        <f t="shared" si="44"/>
        <v>242</v>
      </c>
      <c r="AM170" s="117">
        <f t="shared" si="50"/>
        <v>49852000</v>
      </c>
      <c r="AN170" s="20"/>
    </row>
    <row r="171" spans="7:43">
      <c r="N171" s="114"/>
      <c r="O171" s="114"/>
      <c r="P171" s="114"/>
      <c r="Q171" s="96"/>
      <c r="R171" s="96"/>
      <c r="S171" s="96"/>
      <c r="T171" s="99" t="s">
        <v>180</v>
      </c>
      <c r="U171" s="99" t="s">
        <v>4463</v>
      </c>
      <c r="V171" s="99" t="s">
        <v>4464</v>
      </c>
      <c r="W171" s="99" t="s">
        <v>4474</v>
      </c>
      <c r="X171" s="99" t="s">
        <v>8</v>
      </c>
      <c r="Z171" t="s">
        <v>25</v>
      </c>
      <c r="AH171" s="99">
        <v>151</v>
      </c>
      <c r="AI171" s="113" t="s">
        <v>5012</v>
      </c>
      <c r="AJ171" s="113">
        <v>50000</v>
      </c>
      <c r="AK171" s="99">
        <v>2</v>
      </c>
      <c r="AL171" s="20">
        <f t="shared" si="44"/>
        <v>240</v>
      </c>
      <c r="AM171" s="117">
        <f t="shared" si="50"/>
        <v>12000000</v>
      </c>
      <c r="AN171" s="20"/>
    </row>
    <row r="172" spans="7:43">
      <c r="J172" t="s">
        <v>25</v>
      </c>
      <c r="P172" s="114"/>
      <c r="Q172" s="36" t="s">
        <v>4548</v>
      </c>
      <c r="R172" s="95">
        <f>SUM(N44:N54)</f>
        <v>5119319817</v>
      </c>
      <c r="T172" s="113" t="s">
        <v>4445</v>
      </c>
      <c r="U172" s="56">
        <v>1000000</v>
      </c>
      <c r="V172" s="113">
        <v>239.024</v>
      </c>
      <c r="W172" s="113">
        <f t="shared" ref="W172:W273" si="53">U172*V172</f>
        <v>239024000</v>
      </c>
      <c r="X172" s="99"/>
      <c r="Y172" t="s">
        <v>25</v>
      </c>
      <c r="AH172" s="99">
        <v>152</v>
      </c>
      <c r="AI172" s="113" t="s">
        <v>5016</v>
      </c>
      <c r="AJ172" s="113">
        <v>105000</v>
      </c>
      <c r="AK172" s="99">
        <v>4</v>
      </c>
      <c r="AL172" s="20">
        <f t="shared" si="44"/>
        <v>238</v>
      </c>
      <c r="AM172" s="117">
        <f t="shared" si="50"/>
        <v>24990000</v>
      </c>
      <c r="AN172" s="20"/>
    </row>
    <row r="173" spans="7:43">
      <c r="N173" s="114"/>
      <c r="Q173" s="99" t="s">
        <v>4436</v>
      </c>
      <c r="R173" s="95">
        <f>SUM(N21:N25)</f>
        <v>2412372551</v>
      </c>
      <c r="T173" s="168" t="s">
        <v>4427</v>
      </c>
      <c r="U173" s="56">
        <v>5904</v>
      </c>
      <c r="V173" s="113">
        <v>237.148</v>
      </c>
      <c r="W173" s="113">
        <f t="shared" si="53"/>
        <v>1400121.7919999999</v>
      </c>
      <c r="X173" s="99" t="s">
        <v>749</v>
      </c>
      <c r="Y173" t="s">
        <v>25</v>
      </c>
      <c r="AH173" s="99">
        <v>153</v>
      </c>
      <c r="AI173" s="113" t="s">
        <v>5020</v>
      </c>
      <c r="AJ173" s="113">
        <v>5000000</v>
      </c>
      <c r="AK173" s="99">
        <v>1</v>
      </c>
      <c r="AL173" s="20">
        <f t="shared" si="44"/>
        <v>234</v>
      </c>
      <c r="AM173" s="117">
        <f t="shared" si="50"/>
        <v>1170000000</v>
      </c>
      <c r="AN173" s="20"/>
    </row>
    <row r="174" spans="7:43">
      <c r="G174" s="32" t="s">
        <v>4233</v>
      </c>
      <c r="H174" s="32"/>
      <c r="I174" s="32" t="s">
        <v>4382</v>
      </c>
      <c r="K174" s="96"/>
      <c r="L174" s="96"/>
      <c r="P174" s="114"/>
      <c r="Q174" s="99" t="s">
        <v>4437</v>
      </c>
      <c r="R174" s="95">
        <f>SUM(N28:N31)</f>
        <v>266781362</v>
      </c>
      <c r="T174" s="168" t="s">
        <v>4222</v>
      </c>
      <c r="U174" s="168">
        <v>1000</v>
      </c>
      <c r="V174" s="113">
        <v>247.393</v>
      </c>
      <c r="W174" s="113">
        <f t="shared" si="53"/>
        <v>247393</v>
      </c>
      <c r="X174" s="99" t="s">
        <v>749</v>
      </c>
      <c r="Y174" t="s">
        <v>25</v>
      </c>
      <c r="Z174" t="s">
        <v>25</v>
      </c>
      <c r="AH174" s="99">
        <v>154</v>
      </c>
      <c r="AI174" s="113" t="s">
        <v>5021</v>
      </c>
      <c r="AJ174" s="113">
        <v>2500000</v>
      </c>
      <c r="AK174" s="99">
        <v>2</v>
      </c>
      <c r="AL174" s="20">
        <f t="shared" si="44"/>
        <v>233</v>
      </c>
      <c r="AM174" s="117">
        <f t="shared" si="50"/>
        <v>582500000</v>
      </c>
      <c r="AN174" s="20"/>
    </row>
    <row r="175" spans="7:43">
      <c r="G175" s="32">
        <f>O21+O31+O52+I143</f>
        <v>4603954</v>
      </c>
      <c r="H175" s="32" t="s">
        <v>5606</v>
      </c>
      <c r="I175" s="32">
        <f>O23+O28+O48+I144+O44</f>
        <v>122074</v>
      </c>
      <c r="J175" s="114">
        <f>I175*1000</f>
        <v>122074000</v>
      </c>
      <c r="K175" s="96"/>
      <c r="L175" s="96"/>
      <c r="O175" s="96"/>
      <c r="P175" s="114"/>
      <c r="Q175" s="99" t="s">
        <v>4438</v>
      </c>
      <c r="R175" s="95">
        <f>N42</f>
        <v>16537</v>
      </c>
      <c r="T175" s="168" t="s">
        <v>4475</v>
      </c>
      <c r="U175" s="168">
        <v>8071</v>
      </c>
      <c r="V175" s="113">
        <v>247.797</v>
      </c>
      <c r="W175" s="113">
        <f t="shared" si="53"/>
        <v>1999969.5870000001</v>
      </c>
      <c r="X175" s="99" t="s">
        <v>4434</v>
      </c>
      <c r="Z175" t="s">
        <v>25</v>
      </c>
      <c r="AH175" s="265">
        <v>155</v>
      </c>
      <c r="AI175" s="261" t="s">
        <v>5027</v>
      </c>
      <c r="AJ175" s="261">
        <v>-50000000</v>
      </c>
      <c r="AK175" s="265">
        <v>7</v>
      </c>
      <c r="AL175" s="265">
        <f t="shared" si="44"/>
        <v>231</v>
      </c>
      <c r="AM175" s="261">
        <f t="shared" si="50"/>
        <v>-11550000000</v>
      </c>
      <c r="AN175" s="265" t="s">
        <v>5035</v>
      </c>
    </row>
    <row r="176" spans="7:43">
      <c r="G176" s="32">
        <f>(J144+N23+N25+N28+N47+N48+N44)/P52</f>
        <v>1609699.5758039816</v>
      </c>
      <c r="H176" s="298" t="s">
        <v>5607</v>
      </c>
      <c r="I176" s="32">
        <f>(J143+N52+N47+N31+N25+N21)/P48</f>
        <v>365490.98257630377</v>
      </c>
      <c r="J176" s="114">
        <v>-87000000</v>
      </c>
      <c r="K176" s="96"/>
      <c r="L176" s="96"/>
      <c r="O176" s="96"/>
      <c r="P176" s="117"/>
      <c r="Q176" s="99" t="s">
        <v>4439</v>
      </c>
      <c r="R176" s="95">
        <f>N20</f>
        <v>4077</v>
      </c>
      <c r="T176" s="168" t="s">
        <v>4475</v>
      </c>
      <c r="U176" s="168">
        <v>53672</v>
      </c>
      <c r="V176" s="113">
        <v>247.797</v>
      </c>
      <c r="W176" s="113">
        <f t="shared" si="53"/>
        <v>13299760.584000001</v>
      </c>
      <c r="X176" s="99" t="s">
        <v>452</v>
      </c>
      <c r="Z176" t="s">
        <v>25</v>
      </c>
      <c r="AH176" s="99">
        <v>156</v>
      </c>
      <c r="AI176" s="113" t="s">
        <v>5033</v>
      </c>
      <c r="AJ176" s="113">
        <v>10000000</v>
      </c>
      <c r="AK176" s="99">
        <v>12</v>
      </c>
      <c r="AL176" s="20">
        <f t="shared" si="44"/>
        <v>224</v>
      </c>
      <c r="AM176" s="117">
        <f t="shared" si="50"/>
        <v>2240000000</v>
      </c>
      <c r="AN176" s="20" t="s">
        <v>4723</v>
      </c>
    </row>
    <row r="177" spans="5:43">
      <c r="G177" s="32">
        <f>G175+G176</f>
        <v>6213653.5758039821</v>
      </c>
      <c r="H177" s="32" t="s">
        <v>5608</v>
      </c>
      <c r="I177" s="32">
        <f>I175+I176</f>
        <v>487564.98257630377</v>
      </c>
      <c r="J177" s="114">
        <v>-10000000</v>
      </c>
      <c r="K177" s="96"/>
      <c r="L177" s="96"/>
      <c r="P177" s="114"/>
      <c r="Q177" s="99" t="s">
        <v>4440</v>
      </c>
      <c r="R177" s="95">
        <f>N27</f>
        <v>22500</v>
      </c>
      <c r="T177" s="168" t="s">
        <v>4483</v>
      </c>
      <c r="U177" s="168">
        <v>4099</v>
      </c>
      <c r="V177" s="113">
        <v>243.93</v>
      </c>
      <c r="W177" s="113">
        <f t="shared" si="53"/>
        <v>999869.07000000007</v>
      </c>
      <c r="X177" s="99" t="s">
        <v>4434</v>
      </c>
      <c r="AH177" s="99">
        <v>157</v>
      </c>
      <c r="AI177" s="113" t="s">
        <v>5040</v>
      </c>
      <c r="AJ177" s="113">
        <v>-16266000</v>
      </c>
      <c r="AK177" s="99">
        <v>1</v>
      </c>
      <c r="AL177" s="20">
        <f t="shared" si="44"/>
        <v>212</v>
      </c>
      <c r="AM177" s="117">
        <f t="shared" si="50"/>
        <v>-3448392000</v>
      </c>
      <c r="AN177" s="20" t="s">
        <v>5048</v>
      </c>
      <c r="AQ177" t="s">
        <v>25</v>
      </c>
    </row>
    <row r="178" spans="5:43">
      <c r="G178" s="32">
        <f>(W158+W159+W160)/P52</f>
        <v>277886.81071610295</v>
      </c>
      <c r="H178" s="32" t="s">
        <v>5570</v>
      </c>
      <c r="I178" s="32">
        <f>(W158+W159+W160)/P48</f>
        <v>21804.865104255616</v>
      </c>
      <c r="J178" s="114"/>
      <c r="K178" s="96"/>
      <c r="L178" s="96"/>
      <c r="P178" s="114"/>
      <c r="Q178" s="99" t="s">
        <v>5630</v>
      </c>
      <c r="R178" s="95">
        <v>0</v>
      </c>
      <c r="S178" t="s">
        <v>25</v>
      </c>
      <c r="T178" s="168" t="s">
        <v>4483</v>
      </c>
      <c r="U178" s="168">
        <v>9301</v>
      </c>
      <c r="V178" s="113">
        <v>243.93</v>
      </c>
      <c r="W178" s="113">
        <f t="shared" si="53"/>
        <v>2268792.9300000002</v>
      </c>
      <c r="X178" s="99" t="s">
        <v>452</v>
      </c>
      <c r="Y178" t="s">
        <v>25</v>
      </c>
      <c r="AH178" s="99">
        <v>158</v>
      </c>
      <c r="AI178" s="113" t="s">
        <v>5049</v>
      </c>
      <c r="AJ178" s="113">
        <v>1000000</v>
      </c>
      <c r="AK178" s="99">
        <v>6</v>
      </c>
      <c r="AL178" s="20">
        <f>AL179+AK178</f>
        <v>211</v>
      </c>
      <c r="AM178" s="117">
        <f>AJ178*AL178</f>
        <v>211000000</v>
      </c>
      <c r="AN178" s="20"/>
    </row>
    <row r="179" spans="5:43">
      <c r="G179" s="32">
        <f>W156/P52</f>
        <v>2485480.4091735226</v>
      </c>
      <c r="H179" s="32" t="s">
        <v>483</v>
      </c>
      <c r="I179" s="32">
        <f>W156/P48</f>
        <v>195027.48223868184</v>
      </c>
      <c r="J179" s="114"/>
      <c r="K179" s="96"/>
      <c r="L179" s="96"/>
      <c r="M179" t="s">
        <v>25</v>
      </c>
      <c r="P179" s="114"/>
      <c r="Q179" s="99" t="s">
        <v>5127</v>
      </c>
      <c r="R179" s="95">
        <v>0</v>
      </c>
      <c r="T179" s="168" t="s">
        <v>4489</v>
      </c>
      <c r="U179" s="168">
        <v>8334</v>
      </c>
      <c r="V179" s="113">
        <v>239.97</v>
      </c>
      <c r="W179" s="113">
        <f t="shared" si="53"/>
        <v>1999909.98</v>
      </c>
      <c r="X179" s="99" t="s">
        <v>4434</v>
      </c>
      <c r="Y179" t="s">
        <v>25</v>
      </c>
      <c r="AH179" s="99">
        <v>159</v>
      </c>
      <c r="AI179" s="113" t="s">
        <v>5057</v>
      </c>
      <c r="AJ179" s="113">
        <v>40000</v>
      </c>
      <c r="AK179" s="99">
        <v>5</v>
      </c>
      <c r="AL179" s="20">
        <f>AL180+AK179</f>
        <v>205</v>
      </c>
      <c r="AM179" s="117">
        <f>AJ179*AL179</f>
        <v>8200000</v>
      </c>
      <c r="AN179" s="20"/>
    </row>
    <row r="180" spans="5:43">
      <c r="G180" s="32">
        <f>G177-G178-G179</f>
        <v>3450286.3559143567</v>
      </c>
      <c r="H180" s="32" t="s">
        <v>5</v>
      </c>
      <c r="I180" s="32">
        <f>I177-I178-I179</f>
        <v>270732.63523336628</v>
      </c>
      <c r="J180" s="114">
        <f>SUM(J175:J178)</f>
        <v>25074000</v>
      </c>
      <c r="P180" s="114"/>
      <c r="Q180" s="99" t="s">
        <v>5597</v>
      </c>
      <c r="R180" s="95">
        <v>-3000000</v>
      </c>
      <c r="S180" s="96"/>
      <c r="T180" s="168" t="s">
        <v>4221</v>
      </c>
      <c r="U180" s="168">
        <v>29041</v>
      </c>
      <c r="V180" s="113">
        <v>233.45</v>
      </c>
      <c r="W180" s="113">
        <f t="shared" si="53"/>
        <v>6779621.4499999993</v>
      </c>
      <c r="X180" s="99" t="s">
        <v>749</v>
      </c>
      <c r="AB180" t="s">
        <v>25</v>
      </c>
      <c r="AH180" s="99">
        <v>160</v>
      </c>
      <c r="AI180" s="113" t="s">
        <v>5068</v>
      </c>
      <c r="AJ180" s="113">
        <v>120000</v>
      </c>
      <c r="AK180" s="99">
        <v>6</v>
      </c>
      <c r="AL180" s="20">
        <f>AL181+AK180</f>
        <v>200</v>
      </c>
      <c r="AM180" s="117">
        <f>AJ180*AL180</f>
        <v>24000000</v>
      </c>
      <c r="AN180" s="20"/>
    </row>
    <row r="181" spans="5:43">
      <c r="P181" s="114"/>
      <c r="Q181" s="99" t="s">
        <v>5596</v>
      </c>
      <c r="R181" s="95">
        <v>-1000000</v>
      </c>
      <c r="S181" s="96"/>
      <c r="T181" s="168" t="s">
        <v>991</v>
      </c>
      <c r="U181" s="168">
        <v>12337</v>
      </c>
      <c r="V181" s="113">
        <v>243.16300000000001</v>
      </c>
      <c r="W181" s="113">
        <f t="shared" si="53"/>
        <v>2999901.9310000003</v>
      </c>
      <c r="X181" s="99" t="s">
        <v>4434</v>
      </c>
      <c r="Y181" t="s">
        <v>25</v>
      </c>
      <c r="Z181" t="s">
        <v>25</v>
      </c>
      <c r="AH181" s="99">
        <v>161</v>
      </c>
      <c r="AI181" s="113" t="s">
        <v>5062</v>
      </c>
      <c r="AJ181" s="113">
        <v>249000</v>
      </c>
      <c r="AK181" s="99">
        <v>9</v>
      </c>
      <c r="AL181" s="20">
        <f>AL182+AK181</f>
        <v>194</v>
      </c>
      <c r="AM181" s="117">
        <f>AJ181*AL181</f>
        <v>48306000</v>
      </c>
      <c r="AN181" s="20"/>
    </row>
    <row r="182" spans="5:43">
      <c r="E182" t="s">
        <v>25</v>
      </c>
      <c r="K182" s="96"/>
      <c r="L182" s="96"/>
      <c r="P182" s="114"/>
      <c r="Q182" s="99" t="s">
        <v>5593</v>
      </c>
      <c r="R182" s="95">
        <v>-2000000</v>
      </c>
      <c r="T182" s="168" t="s">
        <v>4567</v>
      </c>
      <c r="U182" s="168">
        <v>-16118</v>
      </c>
      <c r="V182" s="113">
        <v>248.17</v>
      </c>
      <c r="W182" s="113">
        <f t="shared" si="53"/>
        <v>-4000004.0599999996</v>
      </c>
      <c r="X182" s="99" t="s">
        <v>749</v>
      </c>
      <c r="Y182" t="s">
        <v>25</v>
      </c>
      <c r="AH182" s="99">
        <v>162</v>
      </c>
      <c r="AI182" s="113" t="s">
        <v>5090</v>
      </c>
      <c r="AJ182" s="113">
        <v>65000</v>
      </c>
      <c r="AK182" s="99">
        <v>7</v>
      </c>
      <c r="AL182" s="20">
        <f>AL183+AK182</f>
        <v>185</v>
      </c>
      <c r="AM182" s="117">
        <f>AJ182*AL182</f>
        <v>12025000</v>
      </c>
      <c r="AN182" s="20"/>
    </row>
    <row r="183" spans="5:43">
      <c r="P183" s="114"/>
      <c r="Q183" s="99"/>
      <c r="R183" s="95"/>
      <c r="S183" s="96"/>
      <c r="T183" s="168" t="s">
        <v>4594</v>
      </c>
      <c r="U183" s="168">
        <v>101681</v>
      </c>
      <c r="V183" s="113">
        <v>246.5711</v>
      </c>
      <c r="W183" s="113">
        <f t="shared" si="53"/>
        <v>25071596.019099999</v>
      </c>
      <c r="X183" s="99" t="s">
        <v>452</v>
      </c>
      <c r="Z183" t="s">
        <v>25</v>
      </c>
      <c r="AH183" s="99">
        <v>163</v>
      </c>
      <c r="AI183" s="113" t="s">
        <v>5100</v>
      </c>
      <c r="AJ183" s="113">
        <v>-312598</v>
      </c>
      <c r="AK183" s="99">
        <v>0</v>
      </c>
      <c r="AL183" s="20">
        <f t="shared" ref="AL183:AL190" si="54">AL184+AK183</f>
        <v>178</v>
      </c>
      <c r="AM183" s="117">
        <f t="shared" ref="AM183:AM190" si="55">AJ183*AL183</f>
        <v>-55642444</v>
      </c>
      <c r="AN183" s="20"/>
      <c r="AO183" t="s">
        <v>25</v>
      </c>
      <c r="AQ183" t="s">
        <v>25</v>
      </c>
    </row>
    <row r="184" spans="5:43">
      <c r="G184" s="32" t="s">
        <v>180</v>
      </c>
      <c r="H184" s="32" t="s">
        <v>5609</v>
      </c>
      <c r="I184" s="213" t="s">
        <v>5610</v>
      </c>
      <c r="J184" s="213" t="s">
        <v>5611</v>
      </c>
      <c r="K184" s="32" t="s">
        <v>5612</v>
      </c>
      <c r="L184" s="99" t="s">
        <v>5626</v>
      </c>
      <c r="M184" s="99" t="s">
        <v>5627</v>
      </c>
      <c r="P184" s="114"/>
      <c r="Q184" s="99" t="s">
        <v>5128</v>
      </c>
      <c r="R184" s="95">
        <v>0</v>
      </c>
      <c r="S184" s="115" t="s">
        <v>25</v>
      </c>
      <c r="T184" s="168" t="s">
        <v>4598</v>
      </c>
      <c r="U184" s="168">
        <v>66606</v>
      </c>
      <c r="V184" s="113">
        <v>251.131</v>
      </c>
      <c r="W184" s="113">
        <f t="shared" si="53"/>
        <v>16726831.386</v>
      </c>
      <c r="X184" s="99" t="s">
        <v>749</v>
      </c>
      <c r="AH184" s="99">
        <v>164</v>
      </c>
      <c r="AI184" s="113" t="s">
        <v>5100</v>
      </c>
      <c r="AJ184" s="113">
        <v>50000</v>
      </c>
      <c r="AK184" s="99">
        <v>6</v>
      </c>
      <c r="AL184" s="20">
        <f t="shared" si="54"/>
        <v>178</v>
      </c>
      <c r="AM184" s="117">
        <f t="shared" si="55"/>
        <v>8900000</v>
      </c>
      <c r="AN184" s="20"/>
    </row>
    <row r="185" spans="5:43">
      <c r="G185" s="32" t="s">
        <v>5589</v>
      </c>
      <c r="H185" s="32">
        <v>3256760</v>
      </c>
      <c r="I185" s="213">
        <v>245992</v>
      </c>
      <c r="J185" s="213">
        <v>2544443</v>
      </c>
      <c r="K185" s="32">
        <v>192693</v>
      </c>
      <c r="L185" s="99">
        <f>H185+J185</f>
        <v>5801203</v>
      </c>
      <c r="M185" s="99">
        <f>I185+K185</f>
        <v>438685</v>
      </c>
      <c r="P185" s="114"/>
      <c r="Q185" s="99" t="s">
        <v>5565</v>
      </c>
      <c r="R185" s="95">
        <f>-4900*P52</f>
        <v>-6399400</v>
      </c>
      <c r="S185" s="122" t="s">
        <v>25</v>
      </c>
      <c r="T185" s="168" t="s">
        <v>4603</v>
      </c>
      <c r="U185" s="168">
        <v>172025</v>
      </c>
      <c r="V185" s="113">
        <v>245.52809999999999</v>
      </c>
      <c r="W185" s="113">
        <f t="shared" si="53"/>
        <v>42236971.402499996</v>
      </c>
      <c r="X185" s="99" t="s">
        <v>452</v>
      </c>
      <c r="Y185" t="s">
        <v>25</v>
      </c>
      <c r="Z185" t="s">
        <v>25</v>
      </c>
      <c r="AH185" s="99">
        <v>165</v>
      </c>
      <c r="AI185" s="113" t="s">
        <v>5110</v>
      </c>
      <c r="AJ185" s="113">
        <v>-200000</v>
      </c>
      <c r="AK185" s="99">
        <v>0</v>
      </c>
      <c r="AL185" s="20">
        <f t="shared" si="54"/>
        <v>172</v>
      </c>
      <c r="AM185" s="117">
        <f t="shared" si="55"/>
        <v>-34400000</v>
      </c>
      <c r="AN185" s="20" t="s">
        <v>5111</v>
      </c>
    </row>
    <row r="186" spans="5:43">
      <c r="G186" s="32" t="s">
        <v>5613</v>
      </c>
      <c r="H186" s="32">
        <v>3245022</v>
      </c>
      <c r="I186" s="213">
        <v>249261</v>
      </c>
      <c r="J186" s="213">
        <v>2532877</v>
      </c>
      <c r="K186" s="32">
        <v>195062</v>
      </c>
      <c r="L186" s="99">
        <f>H186+J186</f>
        <v>5777899</v>
      </c>
      <c r="M186" s="99">
        <f>I186+K186</f>
        <v>444323</v>
      </c>
      <c r="P186" s="114"/>
      <c r="Q186" s="99" t="s">
        <v>5679</v>
      </c>
      <c r="R186" s="95">
        <v>13294042</v>
      </c>
      <c r="S186" s="115"/>
      <c r="T186" s="168" t="s">
        <v>4603</v>
      </c>
      <c r="U186" s="168">
        <v>189227</v>
      </c>
      <c r="V186" s="113">
        <v>245.52809999999999</v>
      </c>
      <c r="W186" s="113">
        <f t="shared" si="53"/>
        <v>46460545.778700002</v>
      </c>
      <c r="X186" s="99" t="s">
        <v>749</v>
      </c>
      <c r="AH186" s="99">
        <v>166</v>
      </c>
      <c r="AI186" s="113" t="s">
        <v>5110</v>
      </c>
      <c r="AJ186" s="113">
        <v>200000</v>
      </c>
      <c r="AK186" s="99">
        <v>3</v>
      </c>
      <c r="AL186" s="20">
        <f t="shared" si="54"/>
        <v>172</v>
      </c>
      <c r="AM186" s="117">
        <f t="shared" si="55"/>
        <v>34400000</v>
      </c>
      <c r="AN186" s="20"/>
      <c r="AQ186" t="s">
        <v>25</v>
      </c>
    </row>
    <row r="187" spans="5:43">
      <c r="G187" s="32" t="s">
        <v>5614</v>
      </c>
      <c r="H187" s="32"/>
      <c r="I187" s="213"/>
      <c r="J187" s="213"/>
      <c r="K187" s="32"/>
      <c r="L187" s="99">
        <f t="shared" ref="L187:L196" si="56">H187+J187</f>
        <v>0</v>
      </c>
      <c r="M187" s="99">
        <f t="shared" ref="M187:M196" si="57">I187+K187</f>
        <v>0</v>
      </c>
      <c r="P187" t="s">
        <v>25</v>
      </c>
      <c r="Q187" s="99" t="s">
        <v>5680</v>
      </c>
      <c r="R187" s="95">
        <v>1812800</v>
      </c>
      <c r="S187" s="115"/>
      <c r="T187" s="168" t="s">
        <v>4604</v>
      </c>
      <c r="U187" s="168">
        <v>79720</v>
      </c>
      <c r="V187" s="113">
        <v>246.6568</v>
      </c>
      <c r="W187" s="113">
        <f t="shared" si="53"/>
        <v>19663480.096000001</v>
      </c>
      <c r="X187" s="99" t="s">
        <v>452</v>
      </c>
      <c r="Y187" t="s">
        <v>25</v>
      </c>
      <c r="Z187" t="s">
        <v>25</v>
      </c>
      <c r="AH187" s="99">
        <v>167</v>
      </c>
      <c r="AI187" s="113" t="s">
        <v>5117</v>
      </c>
      <c r="AJ187" s="113">
        <v>200000</v>
      </c>
      <c r="AK187" s="99">
        <v>3</v>
      </c>
      <c r="AL187" s="20">
        <f t="shared" si="54"/>
        <v>169</v>
      </c>
      <c r="AM187" s="117">
        <f t="shared" si="55"/>
        <v>33800000</v>
      </c>
      <c r="AN187" s="20"/>
    </row>
    <row r="188" spans="5:43">
      <c r="G188" s="32" t="s">
        <v>5615</v>
      </c>
      <c r="H188" s="32"/>
      <c r="I188" s="213"/>
      <c r="J188" s="213"/>
      <c r="K188" s="32"/>
      <c r="L188" s="99">
        <f t="shared" si="56"/>
        <v>0</v>
      </c>
      <c r="M188" s="99">
        <f t="shared" si="57"/>
        <v>0</v>
      </c>
      <c r="O188" s="96"/>
      <c r="P188" s="114"/>
      <c r="Q188" s="99" t="s">
        <v>4444</v>
      </c>
      <c r="R188" s="95">
        <f>SUM(R172:R187)</f>
        <v>7801224286</v>
      </c>
      <c r="T188" s="168" t="s">
        <v>4604</v>
      </c>
      <c r="U188" s="168">
        <v>79720</v>
      </c>
      <c r="V188" s="113">
        <v>246.6568</v>
      </c>
      <c r="W188" s="113">
        <f t="shared" si="53"/>
        <v>19663480.096000001</v>
      </c>
      <c r="X188" s="99" t="s">
        <v>749</v>
      </c>
      <c r="AH188" s="99">
        <v>168</v>
      </c>
      <c r="AI188" s="113" t="s">
        <v>5120</v>
      </c>
      <c r="AJ188" s="113">
        <v>30000</v>
      </c>
      <c r="AK188" s="99">
        <v>7</v>
      </c>
      <c r="AL188" s="20">
        <f t="shared" si="54"/>
        <v>166</v>
      </c>
      <c r="AM188" s="117">
        <f t="shared" si="55"/>
        <v>4980000</v>
      </c>
      <c r="AN188" s="20"/>
    </row>
    <row r="189" spans="5:43">
      <c r="G189" s="32" t="s">
        <v>5646</v>
      </c>
      <c r="H189" s="32">
        <v>3270584</v>
      </c>
      <c r="I189" s="213">
        <v>250916</v>
      </c>
      <c r="J189" s="213">
        <v>2496979</v>
      </c>
      <c r="K189" s="32">
        <v>203160</v>
      </c>
      <c r="L189" s="99">
        <f t="shared" si="56"/>
        <v>5767563</v>
      </c>
      <c r="M189" s="99">
        <f t="shared" si="57"/>
        <v>454076</v>
      </c>
      <c r="O189" t="s">
        <v>25</v>
      </c>
      <c r="Q189" s="96"/>
      <c r="T189" s="168" t="s">
        <v>4627</v>
      </c>
      <c r="U189" s="168">
        <v>17769</v>
      </c>
      <c r="V189" s="113">
        <v>246.17877999999999</v>
      </c>
      <c r="W189" s="113">
        <f t="shared" si="53"/>
        <v>4374350.7418200001</v>
      </c>
      <c r="X189" s="99" t="s">
        <v>749</v>
      </c>
      <c r="Y189" t="s">
        <v>25</v>
      </c>
      <c r="AH189" s="99">
        <v>169</v>
      </c>
      <c r="AI189" s="113" t="s">
        <v>5078</v>
      </c>
      <c r="AJ189" s="113">
        <v>-10000000</v>
      </c>
      <c r="AK189" s="99">
        <v>0</v>
      </c>
      <c r="AL189" s="20">
        <f t="shared" si="54"/>
        <v>159</v>
      </c>
      <c r="AM189" s="117">
        <f t="shared" si="55"/>
        <v>-1590000000</v>
      </c>
      <c r="AN189" s="20" t="s">
        <v>5035</v>
      </c>
    </row>
    <row r="190" spans="5:43">
      <c r="G190" s="32" t="s">
        <v>5648</v>
      </c>
      <c r="H190" s="32">
        <v>3225584</v>
      </c>
      <c r="I190" s="213">
        <v>260042</v>
      </c>
      <c r="J190" s="213">
        <v>2466124</v>
      </c>
      <c r="K190" s="32">
        <v>210439</v>
      </c>
      <c r="L190" s="99">
        <f t="shared" si="56"/>
        <v>5691708</v>
      </c>
      <c r="M190" s="99">
        <f t="shared" si="57"/>
        <v>470481</v>
      </c>
      <c r="P190" s="114"/>
      <c r="T190" s="168" t="s">
        <v>4627</v>
      </c>
      <c r="U190" s="168">
        <v>17769</v>
      </c>
      <c r="V190" s="113">
        <v>246.17877999999999</v>
      </c>
      <c r="W190" s="113">
        <f t="shared" si="53"/>
        <v>4374350.7418200001</v>
      </c>
      <c r="X190" s="99" t="s">
        <v>452</v>
      </c>
      <c r="Y190" t="s">
        <v>25</v>
      </c>
      <c r="AH190" s="99">
        <v>170</v>
      </c>
      <c r="AI190" s="113" t="s">
        <v>5078</v>
      </c>
      <c r="AJ190" s="113">
        <v>6000000</v>
      </c>
      <c r="AK190" s="99">
        <v>8</v>
      </c>
      <c r="AL190" s="20">
        <f t="shared" si="54"/>
        <v>159</v>
      </c>
      <c r="AM190" s="117">
        <f t="shared" si="55"/>
        <v>954000000</v>
      </c>
      <c r="AN190" s="20"/>
      <c r="AP190" t="s">
        <v>25</v>
      </c>
    </row>
    <row r="191" spans="5:43">
      <c r="G191" s="32" t="s">
        <v>5651</v>
      </c>
      <c r="H191" s="32">
        <v>3271778</v>
      </c>
      <c r="I191" s="213">
        <v>282233</v>
      </c>
      <c r="J191" s="213">
        <v>2458563</v>
      </c>
      <c r="K191" s="32">
        <v>212082</v>
      </c>
      <c r="L191" s="99">
        <f t="shared" si="56"/>
        <v>5730341</v>
      </c>
      <c r="M191" s="99">
        <f t="shared" si="57"/>
        <v>494315</v>
      </c>
      <c r="O191" t="s">
        <v>25</v>
      </c>
      <c r="P191" s="114"/>
      <c r="Q191" s="213" t="s">
        <v>8</v>
      </c>
      <c r="R191" s="213" t="s">
        <v>4434</v>
      </c>
      <c r="S191" s="213"/>
      <c r="T191" s="168" t="s">
        <v>4629</v>
      </c>
      <c r="U191" s="168">
        <v>12438</v>
      </c>
      <c r="V191" s="113">
        <v>241.20465999999999</v>
      </c>
      <c r="W191" s="113">
        <f t="shared" si="53"/>
        <v>3000103.5610799999</v>
      </c>
      <c r="X191" s="99" t="s">
        <v>4434</v>
      </c>
      <c r="Y191" t="s">
        <v>25</v>
      </c>
      <c r="AH191" s="99">
        <v>171</v>
      </c>
      <c r="AI191" s="113" t="s">
        <v>5147</v>
      </c>
      <c r="AJ191" s="113">
        <v>150000</v>
      </c>
      <c r="AK191" s="99">
        <v>7</v>
      </c>
      <c r="AL191" s="20">
        <f>AL192+AK191</f>
        <v>151</v>
      </c>
      <c r="AM191" s="117">
        <f>AJ191*AL191</f>
        <v>22650000</v>
      </c>
      <c r="AN191" s="20"/>
    </row>
    <row r="192" spans="5:43">
      <c r="G192" s="32" t="s">
        <v>5660</v>
      </c>
      <c r="H192" s="32">
        <v>3298939</v>
      </c>
      <c r="I192" s="213">
        <v>281309</v>
      </c>
      <c r="J192" s="213">
        <v>2465538</v>
      </c>
      <c r="K192" s="32">
        <v>210242</v>
      </c>
      <c r="L192" s="99">
        <f t="shared" si="56"/>
        <v>5764477</v>
      </c>
      <c r="M192" s="99">
        <f t="shared" si="57"/>
        <v>491551</v>
      </c>
      <c r="Q192" s="213"/>
      <c r="R192" s="73" t="s">
        <v>180</v>
      </c>
      <c r="S192" s="213" t="s">
        <v>267</v>
      </c>
      <c r="T192" s="168" t="s">
        <v>4638</v>
      </c>
      <c r="U192" s="168">
        <v>27363</v>
      </c>
      <c r="V192" s="113">
        <v>239.3886</v>
      </c>
      <c r="W192" s="113">
        <f t="shared" si="53"/>
        <v>6550390.2617999995</v>
      </c>
      <c r="X192" s="99" t="s">
        <v>749</v>
      </c>
      <c r="AH192" s="99">
        <v>172</v>
      </c>
      <c r="AI192" s="113" t="s">
        <v>5183</v>
      </c>
      <c r="AJ192" s="113">
        <v>400000</v>
      </c>
      <c r="AK192" s="99">
        <v>1</v>
      </c>
      <c r="AL192" s="20">
        <f>AL193+AK192</f>
        <v>144</v>
      </c>
      <c r="AM192" s="117">
        <f>AJ192*AL192</f>
        <v>57600000</v>
      </c>
      <c r="AN192" s="20"/>
    </row>
    <row r="193" spans="7:45">
      <c r="G193" s="32" t="s">
        <v>5667</v>
      </c>
      <c r="H193" s="32">
        <v>3453903</v>
      </c>
      <c r="I193" s="213">
        <v>259725</v>
      </c>
      <c r="J193" s="213">
        <v>2541096</v>
      </c>
      <c r="K193" s="32">
        <v>191084</v>
      </c>
      <c r="L193" s="99">
        <f t="shared" si="56"/>
        <v>5994999</v>
      </c>
      <c r="M193" s="99">
        <f t="shared" si="57"/>
        <v>450809</v>
      </c>
      <c r="Q193" s="213"/>
      <c r="R193" s="213" t="s">
        <v>4427</v>
      </c>
      <c r="S193" s="113">
        <v>3000000</v>
      </c>
      <c r="T193" s="168" t="s">
        <v>4638</v>
      </c>
      <c r="U193" s="168">
        <v>27363</v>
      </c>
      <c r="V193" s="113">
        <v>239.3886</v>
      </c>
      <c r="W193" s="113">
        <f t="shared" si="53"/>
        <v>6550390.2617999995</v>
      </c>
      <c r="X193" s="99" t="s">
        <v>452</v>
      </c>
      <c r="AH193" s="99">
        <v>173</v>
      </c>
      <c r="AI193" s="113" t="s">
        <v>5187</v>
      </c>
      <c r="AJ193" s="113">
        <v>-100000</v>
      </c>
      <c r="AK193" s="99">
        <v>1</v>
      </c>
      <c r="AL193" s="20">
        <f>AL194+AK193</f>
        <v>143</v>
      </c>
      <c r="AM193" s="117">
        <f>AJ193*AL193</f>
        <v>-14300000</v>
      </c>
      <c r="AN193" s="20"/>
    </row>
    <row r="194" spans="7:45">
      <c r="G194" s="32"/>
      <c r="H194" s="32"/>
      <c r="I194" s="213"/>
      <c r="J194" s="213"/>
      <c r="K194" s="32"/>
      <c r="L194" s="99"/>
      <c r="M194" s="99"/>
      <c r="Q194" s="213"/>
      <c r="R194" s="213" t="s">
        <v>4475</v>
      </c>
      <c r="S194" s="113">
        <v>2000000</v>
      </c>
      <c r="T194" s="210" t="s">
        <v>4640</v>
      </c>
      <c r="U194" s="210">
        <v>27437</v>
      </c>
      <c r="V194" s="113">
        <v>242.4015</v>
      </c>
      <c r="W194" s="113">
        <f t="shared" si="53"/>
        <v>6650769.9555000002</v>
      </c>
      <c r="X194" s="99" t="s">
        <v>749</v>
      </c>
      <c r="Y194" t="s">
        <v>25</v>
      </c>
      <c r="AH194" s="99">
        <v>174</v>
      </c>
      <c r="AI194" s="113" t="s">
        <v>5191</v>
      </c>
      <c r="AJ194" s="113">
        <v>10000000</v>
      </c>
      <c r="AK194" s="99">
        <v>1</v>
      </c>
      <c r="AL194" s="20">
        <f>AL195+AK194</f>
        <v>142</v>
      </c>
      <c r="AM194" s="117">
        <f>AJ194*AL194</f>
        <v>1420000000</v>
      </c>
      <c r="AN194" s="20" t="s">
        <v>4723</v>
      </c>
      <c r="AS194" t="s">
        <v>25</v>
      </c>
    </row>
    <row r="195" spans="7:45">
      <c r="G195" s="32"/>
      <c r="H195" s="32"/>
      <c r="I195" s="213"/>
      <c r="J195" s="213"/>
      <c r="K195" s="32"/>
      <c r="L195" s="99"/>
      <c r="M195" s="99"/>
      <c r="Q195" s="213"/>
      <c r="R195" s="213" t="s">
        <v>4483</v>
      </c>
      <c r="S195" s="113">
        <v>1000000</v>
      </c>
      <c r="T195" s="210" t="s">
        <v>4640</v>
      </c>
      <c r="U195" s="210">
        <v>29104</v>
      </c>
      <c r="V195" s="113">
        <v>242.4015</v>
      </c>
      <c r="W195" s="113">
        <f t="shared" si="53"/>
        <v>7054853.2560000001</v>
      </c>
      <c r="X195" s="99" t="s">
        <v>452</v>
      </c>
      <c r="AH195" s="99">
        <v>175</v>
      </c>
      <c r="AI195" s="113" t="s">
        <v>5196</v>
      </c>
      <c r="AJ195" s="113">
        <v>-400000</v>
      </c>
      <c r="AK195" s="99">
        <v>6</v>
      </c>
      <c r="AL195" s="20">
        <f t="shared" ref="AL195:AL203" si="58">AL196+AK195</f>
        <v>141</v>
      </c>
      <c r="AM195" s="117">
        <f t="shared" ref="AM195:AM203" si="59">AJ195*AL195</f>
        <v>-56400000</v>
      </c>
      <c r="AN195" s="20"/>
    </row>
    <row r="196" spans="7:45">
      <c r="G196" s="32"/>
      <c r="H196" s="32"/>
      <c r="I196" s="213"/>
      <c r="J196" s="213"/>
      <c r="K196" s="32"/>
      <c r="L196" s="99">
        <f t="shared" si="56"/>
        <v>0</v>
      </c>
      <c r="M196" s="99">
        <f t="shared" si="57"/>
        <v>0</v>
      </c>
      <c r="Q196" s="213"/>
      <c r="R196" s="213" t="s">
        <v>4489</v>
      </c>
      <c r="S196" s="113">
        <v>2000000</v>
      </c>
      <c r="T196" s="213" t="s">
        <v>4657</v>
      </c>
      <c r="U196" s="213">
        <v>8991</v>
      </c>
      <c r="V196" s="113">
        <v>238.64867000000001</v>
      </c>
      <c r="W196" s="113">
        <f t="shared" si="53"/>
        <v>2145690.19197</v>
      </c>
      <c r="X196" s="99" t="s">
        <v>749</v>
      </c>
      <c r="Z196" t="s">
        <v>25</v>
      </c>
      <c r="AA196" t="s">
        <v>25</v>
      </c>
      <c r="AH196" s="99">
        <v>176</v>
      </c>
      <c r="AI196" s="113" t="s">
        <v>5203</v>
      </c>
      <c r="AJ196" s="113">
        <v>1300000</v>
      </c>
      <c r="AK196" s="99">
        <v>0</v>
      </c>
      <c r="AL196" s="20">
        <f t="shared" si="58"/>
        <v>135</v>
      </c>
      <c r="AM196" s="117">
        <f t="shared" si="59"/>
        <v>175500000</v>
      </c>
      <c r="AN196" s="20"/>
      <c r="AR196" t="s">
        <v>25</v>
      </c>
    </row>
    <row r="197" spans="7:45">
      <c r="Q197" s="213"/>
      <c r="R197" s="213" t="s">
        <v>991</v>
      </c>
      <c r="S197" s="113">
        <v>3000000</v>
      </c>
      <c r="T197" s="213" t="s">
        <v>4657</v>
      </c>
      <c r="U197" s="213">
        <v>8991</v>
      </c>
      <c r="V197" s="113">
        <v>238.64867000000001</v>
      </c>
      <c r="W197" s="113">
        <f t="shared" si="53"/>
        <v>2145690.19197</v>
      </c>
      <c r="X197" s="99" t="s">
        <v>452</v>
      </c>
      <c r="Y197" t="s">
        <v>25</v>
      </c>
      <c r="AH197" s="99">
        <v>177</v>
      </c>
      <c r="AI197" s="113" t="s">
        <v>5203</v>
      </c>
      <c r="AJ197" s="113">
        <v>230000</v>
      </c>
      <c r="AK197" s="99">
        <v>1</v>
      </c>
      <c r="AL197" s="20">
        <f t="shared" si="58"/>
        <v>135</v>
      </c>
      <c r="AM197" s="117">
        <f t="shared" si="59"/>
        <v>31050000</v>
      </c>
      <c r="AN197" s="20"/>
    </row>
    <row r="198" spans="7:45">
      <c r="Q198" s="213"/>
      <c r="R198" s="213" t="s">
        <v>4629</v>
      </c>
      <c r="S198" s="113">
        <v>3000000</v>
      </c>
      <c r="T198" s="213" t="s">
        <v>4668</v>
      </c>
      <c r="U198" s="213">
        <v>18170</v>
      </c>
      <c r="V198" s="113">
        <v>240.48475999999999</v>
      </c>
      <c r="W198" s="113">
        <f t="shared" si="53"/>
        <v>4369608.0892000003</v>
      </c>
      <c r="X198" s="99" t="s">
        <v>749</v>
      </c>
      <c r="Y198" t="s">
        <v>25</v>
      </c>
      <c r="AH198" s="99">
        <v>178</v>
      </c>
      <c r="AI198" s="113" t="s">
        <v>5206</v>
      </c>
      <c r="AJ198" s="113">
        <v>880000</v>
      </c>
      <c r="AK198" s="99">
        <v>4</v>
      </c>
      <c r="AL198" s="20">
        <f t="shared" si="58"/>
        <v>134</v>
      </c>
      <c r="AM198" s="117">
        <f t="shared" si="59"/>
        <v>117920000</v>
      </c>
      <c r="AN198" s="20"/>
    </row>
    <row r="199" spans="7:45">
      <c r="K199" t="s">
        <v>25</v>
      </c>
      <c r="M199" t="s">
        <v>25</v>
      </c>
      <c r="Q199" s="213" t="s">
        <v>4802</v>
      </c>
      <c r="R199" s="213" t="s">
        <v>4797</v>
      </c>
      <c r="S199" s="113">
        <v>-800000</v>
      </c>
      <c r="T199" s="213" t="s">
        <v>4668</v>
      </c>
      <c r="U199" s="213">
        <v>18170</v>
      </c>
      <c r="V199" s="113">
        <v>240.48475999999999</v>
      </c>
      <c r="W199" s="113">
        <f t="shared" si="53"/>
        <v>4369608.0892000003</v>
      </c>
      <c r="X199" s="99" t="s">
        <v>452</v>
      </c>
      <c r="Y199" t="s">
        <v>25</v>
      </c>
      <c r="AH199" s="99">
        <v>179</v>
      </c>
      <c r="AI199" s="113" t="s">
        <v>5211</v>
      </c>
      <c r="AJ199" s="113">
        <v>-900000</v>
      </c>
      <c r="AK199" s="99">
        <v>1</v>
      </c>
      <c r="AL199" s="20">
        <f t="shared" si="58"/>
        <v>130</v>
      </c>
      <c r="AM199" s="117">
        <f t="shared" si="59"/>
        <v>-117000000</v>
      </c>
      <c r="AN199" s="20"/>
    </row>
    <row r="200" spans="7:45">
      <c r="G200" s="99" t="s">
        <v>5594</v>
      </c>
      <c r="H200" s="99"/>
      <c r="I200" s="99"/>
      <c r="P200" s="114"/>
      <c r="Q200" s="213" t="s">
        <v>4803</v>
      </c>
      <c r="R200" s="213" t="s">
        <v>4797</v>
      </c>
      <c r="S200" s="113">
        <v>-900000</v>
      </c>
      <c r="T200" s="213" t="s">
        <v>4670</v>
      </c>
      <c r="U200" s="213">
        <v>36797</v>
      </c>
      <c r="V200" s="113">
        <v>239.0822</v>
      </c>
      <c r="W200" s="113">
        <f t="shared" si="53"/>
        <v>8797507.7134000007</v>
      </c>
      <c r="X200" s="99" t="s">
        <v>749</v>
      </c>
      <c r="AH200" s="99">
        <v>180</v>
      </c>
      <c r="AI200" s="113" t="s">
        <v>989</v>
      </c>
      <c r="AJ200" s="113">
        <v>-3500000</v>
      </c>
      <c r="AK200" s="99">
        <v>1</v>
      </c>
      <c r="AL200" s="20">
        <f t="shared" si="58"/>
        <v>129</v>
      </c>
      <c r="AM200" s="117">
        <f t="shared" si="59"/>
        <v>-451500000</v>
      </c>
      <c r="AN200" s="20"/>
      <c r="AR200" t="s">
        <v>25</v>
      </c>
    </row>
    <row r="201" spans="7:45">
      <c r="G201" s="99" t="s">
        <v>452</v>
      </c>
      <c r="H201" s="99">
        <v>199</v>
      </c>
      <c r="I201" s="99" t="s">
        <v>5598</v>
      </c>
      <c r="M201" t="s">
        <v>25</v>
      </c>
      <c r="P201" s="114"/>
      <c r="Q201" s="213" t="s">
        <v>4803</v>
      </c>
      <c r="R201" s="213" t="s">
        <v>978</v>
      </c>
      <c r="S201" s="113">
        <v>-1100000</v>
      </c>
      <c r="T201" s="213" t="s">
        <v>4670</v>
      </c>
      <c r="U201" s="213">
        <v>36797</v>
      </c>
      <c r="V201" s="113">
        <v>239.0822</v>
      </c>
      <c r="W201" s="113">
        <f t="shared" si="53"/>
        <v>8797507.7134000007</v>
      </c>
      <c r="X201" s="99" t="s">
        <v>452</v>
      </c>
      <c r="Z201" t="s">
        <v>25</v>
      </c>
      <c r="AH201" s="99">
        <v>181</v>
      </c>
      <c r="AI201" s="113" t="s">
        <v>4270</v>
      </c>
      <c r="AJ201" s="113">
        <v>-1600000</v>
      </c>
      <c r="AK201" s="99">
        <v>1</v>
      </c>
      <c r="AL201" s="20">
        <f t="shared" si="58"/>
        <v>128</v>
      </c>
      <c r="AM201" s="117">
        <f t="shared" si="59"/>
        <v>-204800000</v>
      </c>
      <c r="AN201" s="20"/>
      <c r="AQ201" t="s">
        <v>25</v>
      </c>
    </row>
    <row r="202" spans="7:45">
      <c r="G202" s="99" t="s">
        <v>749</v>
      </c>
      <c r="H202" s="99">
        <v>200</v>
      </c>
      <c r="I202" s="99" t="s">
        <v>5599</v>
      </c>
      <c r="P202" s="114"/>
      <c r="Q202" s="190" t="s">
        <v>1083</v>
      </c>
      <c r="R202" s="190" t="s">
        <v>4826</v>
      </c>
      <c r="S202" s="196">
        <v>30000000</v>
      </c>
      <c r="T202" s="213" t="s">
        <v>4679</v>
      </c>
      <c r="U202" s="213">
        <v>28066</v>
      </c>
      <c r="V202" s="113">
        <v>237.56970000000001</v>
      </c>
      <c r="W202" s="113">
        <f t="shared" si="53"/>
        <v>6667631.2002000008</v>
      </c>
      <c r="X202" s="99" t="s">
        <v>749</v>
      </c>
      <c r="AH202" s="99">
        <v>182</v>
      </c>
      <c r="AI202" s="113" t="s">
        <v>5217</v>
      </c>
      <c r="AJ202" s="113">
        <v>-800000</v>
      </c>
      <c r="AK202" s="99">
        <v>7</v>
      </c>
      <c r="AL202" s="20">
        <f t="shared" si="58"/>
        <v>127</v>
      </c>
      <c r="AM202" s="117">
        <f t="shared" si="59"/>
        <v>-101600000</v>
      </c>
      <c r="AN202" s="20"/>
    </row>
    <row r="203" spans="7:45">
      <c r="G203" s="99" t="s">
        <v>5552</v>
      </c>
      <c r="H203" s="99">
        <v>200</v>
      </c>
      <c r="I203" s="99" t="s">
        <v>5656</v>
      </c>
      <c r="P203" s="114"/>
      <c r="Q203" s="19" t="s">
        <v>4910</v>
      </c>
      <c r="R203" s="19" t="s">
        <v>4908</v>
      </c>
      <c r="S203" s="117">
        <v>2000000</v>
      </c>
      <c r="T203" s="213" t="s">
        <v>4679</v>
      </c>
      <c r="U203" s="213">
        <v>28066</v>
      </c>
      <c r="V203" s="113">
        <v>237.56970000000001</v>
      </c>
      <c r="W203" s="113">
        <f t="shared" si="53"/>
        <v>6667631.2002000008</v>
      </c>
      <c r="X203" s="99" t="s">
        <v>452</v>
      </c>
      <c r="Y203" s="122" t="s">
        <v>25</v>
      </c>
      <c r="AH203" s="99">
        <v>183</v>
      </c>
      <c r="AI203" s="113" t="s">
        <v>5226</v>
      </c>
      <c r="AJ203" s="113">
        <v>50000</v>
      </c>
      <c r="AK203" s="99">
        <v>2</v>
      </c>
      <c r="AL203" s="20">
        <f t="shared" si="58"/>
        <v>120</v>
      </c>
      <c r="AM203" s="117">
        <f t="shared" si="59"/>
        <v>6000000</v>
      </c>
      <c r="AN203" s="20"/>
    </row>
    <row r="204" spans="7:45">
      <c r="G204" s="99" t="s">
        <v>1083</v>
      </c>
      <c r="H204" s="99">
        <v>200</v>
      </c>
      <c r="I204" s="99" t="s">
        <v>5600</v>
      </c>
      <c r="P204" s="114"/>
      <c r="Q204" s="189" t="s">
        <v>4935</v>
      </c>
      <c r="R204" s="189" t="s">
        <v>4934</v>
      </c>
      <c r="S204" s="188">
        <v>480105</v>
      </c>
      <c r="T204" s="213" t="s">
        <v>3680</v>
      </c>
      <c r="U204" s="213">
        <v>37457</v>
      </c>
      <c r="V204" s="113">
        <v>239.77</v>
      </c>
      <c r="W204" s="113">
        <f t="shared" si="53"/>
        <v>8981064.8900000006</v>
      </c>
      <c r="X204" s="99" t="s">
        <v>749</v>
      </c>
      <c r="AH204" s="99">
        <v>184</v>
      </c>
      <c r="AI204" s="113" t="s">
        <v>5228</v>
      </c>
      <c r="AJ204" s="113">
        <v>400000</v>
      </c>
      <c r="AK204" s="99">
        <v>8</v>
      </c>
      <c r="AL204" s="20">
        <f t="shared" ref="AL204:AL213" si="60">AL205+AK204</f>
        <v>118</v>
      </c>
      <c r="AM204" s="117">
        <f t="shared" ref="AM204:AM213" si="61">AJ204*AL204</f>
        <v>47200000</v>
      </c>
      <c r="AN204" s="20"/>
      <c r="AR204" t="s">
        <v>25</v>
      </c>
    </row>
    <row r="205" spans="7:45">
      <c r="G205" s="99"/>
      <c r="H205" s="99"/>
      <c r="I205" s="99"/>
      <c r="P205" s="114"/>
      <c r="Q205" s="189"/>
      <c r="R205" s="189" t="s">
        <v>4979</v>
      </c>
      <c r="S205" s="188">
        <v>30500000</v>
      </c>
      <c r="T205" s="213" t="s">
        <v>3680</v>
      </c>
      <c r="U205" s="213">
        <v>37457</v>
      </c>
      <c r="V205" s="113">
        <v>239.77</v>
      </c>
      <c r="W205" s="113">
        <f t="shared" si="53"/>
        <v>8981064.8900000006</v>
      </c>
      <c r="X205" s="99" t="s">
        <v>452</v>
      </c>
      <c r="Y205" t="s">
        <v>25</v>
      </c>
      <c r="AH205" s="99">
        <v>185</v>
      </c>
      <c r="AI205" s="113" t="s">
        <v>5201</v>
      </c>
      <c r="AJ205" s="113">
        <v>-10000000</v>
      </c>
      <c r="AK205" s="99">
        <v>0</v>
      </c>
      <c r="AL205" s="20">
        <f t="shared" si="60"/>
        <v>110</v>
      </c>
      <c r="AM205" s="117">
        <f t="shared" si="61"/>
        <v>-1100000000</v>
      </c>
      <c r="AN205" s="20" t="s">
        <v>5035</v>
      </c>
    </row>
    <row r="206" spans="7:45">
      <c r="G206" s="99"/>
      <c r="H206" s="99"/>
      <c r="I206" s="99"/>
      <c r="K206" t="s">
        <v>25</v>
      </c>
      <c r="M206" t="s">
        <v>25</v>
      </c>
      <c r="P206" s="114"/>
      <c r="Q206" s="19" t="s">
        <v>5010</v>
      </c>
      <c r="R206" s="19" t="s">
        <v>5005</v>
      </c>
      <c r="S206" s="117">
        <v>-400000</v>
      </c>
      <c r="T206" s="213" t="s">
        <v>4691</v>
      </c>
      <c r="U206" s="213">
        <v>38412</v>
      </c>
      <c r="V206" s="113">
        <v>239.03</v>
      </c>
      <c r="W206" s="113">
        <f t="shared" si="53"/>
        <v>9181620.3599999994</v>
      </c>
      <c r="X206" s="99" t="s">
        <v>749</v>
      </c>
      <c r="AH206" s="99">
        <v>186</v>
      </c>
      <c r="AI206" s="113" t="s">
        <v>5201</v>
      </c>
      <c r="AJ206" s="113">
        <v>3000000</v>
      </c>
      <c r="AK206" s="99">
        <v>1</v>
      </c>
      <c r="AL206" s="20">
        <f t="shared" si="60"/>
        <v>110</v>
      </c>
      <c r="AM206" s="117">
        <f t="shared" si="61"/>
        <v>330000000</v>
      </c>
      <c r="AN206" s="20"/>
    </row>
    <row r="207" spans="7:45">
      <c r="G207" s="99"/>
      <c r="H207" s="99"/>
      <c r="I207" s="99"/>
      <c r="P207" s="114"/>
      <c r="Q207" s="189" t="s">
        <v>5123</v>
      </c>
      <c r="R207" s="189" t="s">
        <v>5040</v>
      </c>
      <c r="S207" s="188">
        <v>-349550</v>
      </c>
      <c r="T207" s="213" t="s">
        <v>4691</v>
      </c>
      <c r="U207" s="213">
        <v>38412</v>
      </c>
      <c r="V207" s="113">
        <v>239.03</v>
      </c>
      <c r="W207" s="113">
        <f t="shared" si="53"/>
        <v>9181620.3599999994</v>
      </c>
      <c r="X207" s="99" t="s">
        <v>452</v>
      </c>
      <c r="AH207" s="99">
        <v>187</v>
      </c>
      <c r="AI207" s="113" t="s">
        <v>5240</v>
      </c>
      <c r="AJ207" s="113">
        <v>500000</v>
      </c>
      <c r="AK207" s="99">
        <v>23</v>
      </c>
      <c r="AL207" s="20">
        <f t="shared" si="60"/>
        <v>109</v>
      </c>
      <c r="AM207" s="117">
        <f t="shared" si="61"/>
        <v>54500000</v>
      </c>
      <c r="AN207" s="20"/>
      <c r="AR207" t="s">
        <v>25</v>
      </c>
    </row>
    <row r="208" spans="7:45">
      <c r="G208" s="99"/>
      <c r="H208" s="99"/>
      <c r="I208" s="99"/>
      <c r="Q208" s="189" t="s">
        <v>5153</v>
      </c>
      <c r="R208" s="189" t="s">
        <v>5150</v>
      </c>
      <c r="S208" s="188">
        <v>11500000</v>
      </c>
      <c r="T208" s="213" t="s">
        <v>4694</v>
      </c>
      <c r="U208" s="213">
        <v>49555</v>
      </c>
      <c r="V208" s="113">
        <v>238.345</v>
      </c>
      <c r="W208" s="113">
        <f t="shared" si="53"/>
        <v>11811186.475</v>
      </c>
      <c r="X208" s="99" t="s">
        <v>749</v>
      </c>
      <c r="AH208" s="99">
        <v>188</v>
      </c>
      <c r="AI208" s="113" t="s">
        <v>5264</v>
      </c>
      <c r="AJ208" s="113">
        <v>101268</v>
      </c>
      <c r="AK208" s="99">
        <v>1</v>
      </c>
      <c r="AL208" s="20">
        <f t="shared" si="60"/>
        <v>86</v>
      </c>
      <c r="AM208" s="117">
        <f t="shared" si="61"/>
        <v>8709048</v>
      </c>
      <c r="AN208" s="20"/>
      <c r="AR208" t="s">
        <v>25</v>
      </c>
    </row>
    <row r="209" spans="7:46">
      <c r="O209" t="s">
        <v>25</v>
      </c>
      <c r="P209" s="114"/>
      <c r="Q209" s="189" t="s">
        <v>5182</v>
      </c>
      <c r="R209" s="189" t="s">
        <v>5181</v>
      </c>
      <c r="S209" s="188">
        <v>6000000</v>
      </c>
      <c r="T209" s="213" t="s">
        <v>4694</v>
      </c>
      <c r="U209" s="213">
        <v>49555</v>
      </c>
      <c r="V209" s="113">
        <v>238.345</v>
      </c>
      <c r="W209" s="113">
        <f t="shared" si="53"/>
        <v>11811186.475</v>
      </c>
      <c r="X209" s="99" t="s">
        <v>452</v>
      </c>
      <c r="AH209" s="99">
        <v>189</v>
      </c>
      <c r="AI209" s="113" t="s">
        <v>5267</v>
      </c>
      <c r="AJ209" s="113">
        <v>101000</v>
      </c>
      <c r="AK209" s="99">
        <v>34</v>
      </c>
      <c r="AL209" s="20">
        <f t="shared" si="60"/>
        <v>85</v>
      </c>
      <c r="AM209" s="117">
        <f t="shared" si="61"/>
        <v>8585000</v>
      </c>
      <c r="AN209" s="20"/>
      <c r="AP209" t="s">
        <v>25</v>
      </c>
      <c r="AT209" s="96" t="s">
        <v>25</v>
      </c>
    </row>
    <row r="210" spans="7:46">
      <c r="G210" s="213" t="s">
        <v>180</v>
      </c>
      <c r="H210" s="213" t="s">
        <v>5625</v>
      </c>
      <c r="I210" t="s">
        <v>5618</v>
      </c>
      <c r="P210" s="114"/>
      <c r="Q210" s="189" t="s">
        <v>5184</v>
      </c>
      <c r="R210" s="189" t="s">
        <v>5183</v>
      </c>
      <c r="S210" s="188">
        <v>1500000</v>
      </c>
      <c r="T210" s="213" t="s">
        <v>4708</v>
      </c>
      <c r="U210" s="213">
        <v>160187</v>
      </c>
      <c r="V210" s="113">
        <v>257.49799999999999</v>
      </c>
      <c r="W210" s="113">
        <f t="shared" si="53"/>
        <v>41247832.126000002</v>
      </c>
      <c r="X210" s="99" t="s">
        <v>749</v>
      </c>
      <c r="Y210" s="8" t="s">
        <v>25</v>
      </c>
      <c r="Z210" t="s">
        <v>25</v>
      </c>
      <c r="AH210" s="99">
        <v>190</v>
      </c>
      <c r="AI210" s="113" t="s">
        <v>5292</v>
      </c>
      <c r="AJ210" s="113">
        <v>-488602</v>
      </c>
      <c r="AK210" s="99">
        <v>5</v>
      </c>
      <c r="AL210" s="20">
        <f t="shared" si="60"/>
        <v>51</v>
      </c>
      <c r="AM210" s="117">
        <f t="shared" si="61"/>
        <v>-24918702</v>
      </c>
      <c r="AN210" s="20"/>
      <c r="AR210" t="s">
        <v>25</v>
      </c>
    </row>
    <row r="211" spans="7:46">
      <c r="G211" s="213" t="s">
        <v>5575</v>
      </c>
      <c r="H211" s="1">
        <v>30000000</v>
      </c>
      <c r="I211" t="s">
        <v>5619</v>
      </c>
      <c r="Q211" s="19" t="s">
        <v>5010</v>
      </c>
      <c r="R211" s="19" t="s">
        <v>5191</v>
      </c>
      <c r="S211" s="117">
        <v>-200000</v>
      </c>
      <c r="T211" s="213" t="s">
        <v>4708</v>
      </c>
      <c r="U211" s="213">
        <v>160187</v>
      </c>
      <c r="V211" s="113">
        <v>257.49799999999999</v>
      </c>
      <c r="W211" s="113">
        <f t="shared" si="53"/>
        <v>41247832.126000002</v>
      </c>
      <c r="X211" s="99" t="s">
        <v>452</v>
      </c>
      <c r="AH211" s="99">
        <v>191</v>
      </c>
      <c r="AI211" s="113" t="s">
        <v>5306</v>
      </c>
      <c r="AJ211" s="113">
        <v>360000</v>
      </c>
      <c r="AK211" s="99">
        <v>10</v>
      </c>
      <c r="AL211" s="20">
        <f t="shared" si="60"/>
        <v>46</v>
      </c>
      <c r="AM211" s="117">
        <f t="shared" si="61"/>
        <v>16560000</v>
      </c>
      <c r="AN211" s="20"/>
      <c r="AR211" t="s">
        <v>25</v>
      </c>
    </row>
    <row r="212" spans="7:46">
      <c r="G212" s="213" t="s">
        <v>5576</v>
      </c>
      <c r="H212" s="1">
        <v>550000</v>
      </c>
      <c r="I212" t="s">
        <v>5620</v>
      </c>
      <c r="P212" s="114"/>
      <c r="Q212" s="190" t="s">
        <v>5212</v>
      </c>
      <c r="R212" s="190" t="s">
        <v>5211</v>
      </c>
      <c r="S212" s="196">
        <v>1000000</v>
      </c>
      <c r="T212" s="213" t="s">
        <v>4715</v>
      </c>
      <c r="U212" s="213">
        <v>144401</v>
      </c>
      <c r="V212" s="113">
        <v>258.5061</v>
      </c>
      <c r="W212" s="113">
        <f t="shared" si="53"/>
        <v>37328539.346100003</v>
      </c>
      <c r="X212" s="99" t="s">
        <v>749</v>
      </c>
      <c r="AH212" s="99">
        <v>192</v>
      </c>
      <c r="AI212" s="113" t="s">
        <v>5318</v>
      </c>
      <c r="AJ212" s="113">
        <v>-3600000</v>
      </c>
      <c r="AK212" s="99">
        <v>4</v>
      </c>
      <c r="AL212" s="20">
        <f t="shared" si="60"/>
        <v>36</v>
      </c>
      <c r="AM212" s="117">
        <f t="shared" si="61"/>
        <v>-129600000</v>
      </c>
      <c r="AN212" s="20"/>
      <c r="AS212" t="s">
        <v>25</v>
      </c>
    </row>
    <row r="213" spans="7:46">
      <c r="G213" s="213" t="s">
        <v>5577</v>
      </c>
      <c r="H213" s="1">
        <v>70370000</v>
      </c>
      <c r="I213" t="s">
        <v>4097</v>
      </c>
      <c r="P213" s="114"/>
      <c r="Q213" s="19" t="s">
        <v>5010</v>
      </c>
      <c r="R213" s="19" t="s">
        <v>5226</v>
      </c>
      <c r="S213" s="117">
        <v>-122000</v>
      </c>
      <c r="T213" s="213" t="s">
        <v>4715</v>
      </c>
      <c r="U213" s="213">
        <v>144401</v>
      </c>
      <c r="V213" s="113">
        <v>258.5061</v>
      </c>
      <c r="W213" s="113">
        <f t="shared" si="53"/>
        <v>37328539.346100003</v>
      </c>
      <c r="X213" s="99" t="s">
        <v>452</v>
      </c>
      <c r="AH213" s="99">
        <v>193</v>
      </c>
      <c r="AI213" s="113" t="s">
        <v>5327</v>
      </c>
      <c r="AJ213" s="113">
        <v>-1000000</v>
      </c>
      <c r="AK213" s="99">
        <v>5</v>
      </c>
      <c r="AL213" s="20">
        <f t="shared" si="60"/>
        <v>32</v>
      </c>
      <c r="AM213" s="117">
        <f t="shared" si="61"/>
        <v>-32000000</v>
      </c>
      <c r="AN213" s="20"/>
      <c r="AR213" t="s">
        <v>25</v>
      </c>
    </row>
    <row r="214" spans="7:46">
      <c r="G214" s="213" t="s">
        <v>5581</v>
      </c>
      <c r="H214" s="1">
        <v>1215000</v>
      </c>
      <c r="I214" t="s">
        <v>5621</v>
      </c>
      <c r="Q214" s="19" t="s">
        <v>5010</v>
      </c>
      <c r="R214" s="19" t="s">
        <v>5234</v>
      </c>
      <c r="S214" s="117">
        <v>-700000</v>
      </c>
      <c r="T214" s="168" t="s">
        <v>4721</v>
      </c>
      <c r="U214" s="168">
        <v>196500</v>
      </c>
      <c r="V214" s="113">
        <v>254.452</v>
      </c>
      <c r="W214" s="113">
        <f t="shared" si="53"/>
        <v>49999818</v>
      </c>
      <c r="X214" s="99" t="s">
        <v>4725</v>
      </c>
      <c r="AH214" s="99">
        <v>194</v>
      </c>
      <c r="AI214" s="113" t="s">
        <v>5333</v>
      </c>
      <c r="AJ214" s="113">
        <v>360000</v>
      </c>
      <c r="AK214" s="99">
        <v>2</v>
      </c>
      <c r="AL214" s="20">
        <f>AL215+AK214</f>
        <v>27</v>
      </c>
      <c r="AM214" s="117">
        <f t="shared" ref="AM214:AM219" si="62">AJ214*AL214</f>
        <v>9720000</v>
      </c>
      <c r="AN214" s="20"/>
      <c r="AQ214" t="s">
        <v>25</v>
      </c>
    </row>
    <row r="215" spans="7:46">
      <c r="G215" s="213" t="s">
        <v>5582</v>
      </c>
      <c r="H215" s="1">
        <v>15350000</v>
      </c>
      <c r="I215" t="s">
        <v>5622</v>
      </c>
      <c r="P215" s="114"/>
      <c r="Q215" s="19" t="s">
        <v>5010</v>
      </c>
      <c r="R215" s="19" t="s">
        <v>5244</v>
      </c>
      <c r="S215" s="117">
        <v>-60000</v>
      </c>
      <c r="T215" s="213" t="s">
        <v>4721</v>
      </c>
      <c r="U215" s="213">
        <v>2561</v>
      </c>
      <c r="V215" s="113">
        <v>254.536</v>
      </c>
      <c r="W215" s="113">
        <f t="shared" si="53"/>
        <v>651866.696</v>
      </c>
      <c r="X215" s="99" t="s">
        <v>4726</v>
      </c>
      <c r="AH215" s="99">
        <v>195</v>
      </c>
      <c r="AI215" s="113" t="s">
        <v>5338</v>
      </c>
      <c r="AJ215" s="113">
        <v>2000000</v>
      </c>
      <c r="AK215" s="99">
        <v>1</v>
      </c>
      <c r="AL215" s="20">
        <f>AL216+AK215</f>
        <v>25</v>
      </c>
      <c r="AM215" s="117">
        <f t="shared" si="62"/>
        <v>50000000</v>
      </c>
      <c r="AN215" s="20"/>
    </row>
    <row r="216" spans="7:46">
      <c r="G216" s="213" t="s">
        <v>5584</v>
      </c>
      <c r="H216" s="1">
        <v>70000</v>
      </c>
      <c r="I216" t="s">
        <v>5623</v>
      </c>
      <c r="Q216" s="19" t="s">
        <v>4434</v>
      </c>
      <c r="R216" s="19" t="s">
        <v>5306</v>
      </c>
      <c r="S216" s="117">
        <v>700000</v>
      </c>
      <c r="T216" s="213" t="s">
        <v>4769</v>
      </c>
      <c r="U216" s="213">
        <v>-11795</v>
      </c>
      <c r="V216" s="113">
        <v>254.334</v>
      </c>
      <c r="W216" s="113">
        <f t="shared" si="53"/>
        <v>-2999869.5300000003</v>
      </c>
      <c r="X216" s="99" t="s">
        <v>4770</v>
      </c>
      <c r="AH216" s="99">
        <v>196</v>
      </c>
      <c r="AI216" s="113" t="s">
        <v>5341</v>
      </c>
      <c r="AJ216" s="113">
        <v>20000000</v>
      </c>
      <c r="AK216" s="99">
        <v>0</v>
      </c>
      <c r="AL216" s="20">
        <f>AL217+AK216</f>
        <v>24</v>
      </c>
      <c r="AM216" s="117">
        <f t="shared" si="62"/>
        <v>480000000</v>
      </c>
      <c r="AN216" s="20" t="s">
        <v>4723</v>
      </c>
      <c r="AR216" t="s">
        <v>25</v>
      </c>
    </row>
    <row r="217" spans="7:46">
      <c r="G217" s="213" t="s">
        <v>5589</v>
      </c>
      <c r="H217" s="1">
        <v>800000</v>
      </c>
      <c r="I217" t="s">
        <v>5624</v>
      </c>
      <c r="P217" t="s">
        <v>25</v>
      </c>
      <c r="Q217" s="189" t="s">
        <v>5316</v>
      </c>
      <c r="R217" s="189" t="s">
        <v>5315</v>
      </c>
      <c r="S217" s="188">
        <v>-2000000</v>
      </c>
      <c r="T217" s="213" t="s">
        <v>4769</v>
      </c>
      <c r="U217" s="213">
        <v>11795</v>
      </c>
      <c r="V217" s="113">
        <v>254.334</v>
      </c>
      <c r="W217" s="113">
        <f t="shared" si="53"/>
        <v>2999869.5300000003</v>
      </c>
      <c r="X217" s="99" t="s">
        <v>4771</v>
      </c>
      <c r="AH217" s="99">
        <v>197</v>
      </c>
      <c r="AI217" s="113" t="s">
        <v>5341</v>
      </c>
      <c r="AJ217" s="113">
        <v>-4700000</v>
      </c>
      <c r="AK217" s="99">
        <v>1</v>
      </c>
      <c r="AL217" s="20">
        <f>AL218+AK217</f>
        <v>24</v>
      </c>
      <c r="AM217" s="117">
        <f t="shared" si="62"/>
        <v>-112800000</v>
      </c>
      <c r="AN217" s="20"/>
    </row>
    <row r="218" spans="7:46">
      <c r="G218" s="213" t="s">
        <v>5613</v>
      </c>
      <c r="H218" s="1">
        <v>1948000</v>
      </c>
      <c r="Q218" s="189" t="s">
        <v>5324</v>
      </c>
      <c r="R218" s="189" t="s">
        <v>5318</v>
      </c>
      <c r="S218" s="188">
        <v>2000000</v>
      </c>
      <c r="T218" s="213" t="s">
        <v>4783</v>
      </c>
      <c r="U218" s="213">
        <v>260</v>
      </c>
      <c r="V218" s="113">
        <v>263.19</v>
      </c>
      <c r="W218" s="113">
        <f t="shared" si="53"/>
        <v>68429.399999999994</v>
      </c>
      <c r="X218" s="99" t="s">
        <v>452</v>
      </c>
      <c r="AH218" s="99">
        <v>198</v>
      </c>
      <c r="AI218" s="113" t="s">
        <v>5345</v>
      </c>
      <c r="AJ218" s="113">
        <v>3000000</v>
      </c>
      <c r="AK218" s="99">
        <v>4</v>
      </c>
      <c r="AL218" s="20">
        <f>AL219+AK218</f>
        <v>23</v>
      </c>
      <c r="AM218" s="117">
        <f t="shared" si="62"/>
        <v>69000000</v>
      </c>
      <c r="AN218" s="20"/>
      <c r="AS218" t="s">
        <v>25</v>
      </c>
    </row>
    <row r="219" spans="7:46">
      <c r="G219" s="213" t="s">
        <v>5657</v>
      </c>
      <c r="H219" s="1">
        <v>5745697.3157000002</v>
      </c>
      <c r="P219" s="114"/>
      <c r="Q219" s="189" t="s">
        <v>1083</v>
      </c>
      <c r="R219" s="189" t="s">
        <v>5330</v>
      </c>
      <c r="S219" s="188">
        <v>40000000</v>
      </c>
      <c r="T219" s="213" t="s">
        <v>4792</v>
      </c>
      <c r="U219" s="213">
        <v>15257</v>
      </c>
      <c r="V219" s="113">
        <v>262.19018</v>
      </c>
      <c r="W219" s="113">
        <f t="shared" si="53"/>
        <v>4000235.57626</v>
      </c>
      <c r="X219" s="99" t="s">
        <v>452</v>
      </c>
      <c r="AH219" s="99">
        <v>199</v>
      </c>
      <c r="AI219" s="113" t="s">
        <v>5348</v>
      </c>
      <c r="AJ219" s="113">
        <v>1500000</v>
      </c>
      <c r="AK219" s="99">
        <v>1</v>
      </c>
      <c r="AL219" s="20">
        <f>AL226+AK219</f>
        <v>19</v>
      </c>
      <c r="AM219" s="117">
        <f t="shared" si="62"/>
        <v>28500000</v>
      </c>
      <c r="AN219" s="20"/>
    </row>
    <row r="220" spans="7:46">
      <c r="G220" s="213" t="s">
        <v>5658</v>
      </c>
      <c r="H220" s="1">
        <v>908158.17935999995</v>
      </c>
      <c r="P220" s="114"/>
      <c r="Q220" s="19" t="s">
        <v>4434</v>
      </c>
      <c r="R220" s="19" t="s">
        <v>5335</v>
      </c>
      <c r="S220" s="117">
        <v>-800000</v>
      </c>
      <c r="T220" s="213" t="s">
        <v>4792</v>
      </c>
      <c r="U220" s="213">
        <v>8444</v>
      </c>
      <c r="V220" s="113">
        <v>266.43029999999999</v>
      </c>
      <c r="W220" s="113">
        <f t="shared" si="53"/>
        <v>2249737.4531999999</v>
      </c>
      <c r="X220" s="99" t="s">
        <v>452</v>
      </c>
      <c r="AH220" s="99">
        <v>200</v>
      </c>
      <c r="AI220" s="113" t="s">
        <v>5351</v>
      </c>
      <c r="AJ220" s="113">
        <v>30000000</v>
      </c>
      <c r="AK220" s="99">
        <v>33</v>
      </c>
      <c r="AL220" s="20">
        <f t="shared" ref="AL220:AL229" si="63">AL235+AK220</f>
        <v>33</v>
      </c>
      <c r="AM220" s="117">
        <f t="shared" ref="AM220:AM225" si="64">AJ220*AL220</f>
        <v>990000000</v>
      </c>
      <c r="AN220" s="20"/>
    </row>
    <row r="221" spans="7:46">
      <c r="G221" s="213" t="s">
        <v>5660</v>
      </c>
      <c r="H221" s="1">
        <v>12642697.648548001</v>
      </c>
      <c r="P221" s="114"/>
      <c r="Q221" s="213" t="s">
        <v>4434</v>
      </c>
      <c r="R221" s="213" t="s">
        <v>5426</v>
      </c>
      <c r="S221" s="117">
        <v>700000</v>
      </c>
      <c r="T221" s="213" t="s">
        <v>4797</v>
      </c>
      <c r="U221" s="213">
        <v>-6209</v>
      </c>
      <c r="V221" s="113">
        <v>273.79649999999998</v>
      </c>
      <c r="W221" s="113">
        <f t="shared" si="53"/>
        <v>-1700002.4685</v>
      </c>
      <c r="X221" s="99" t="s">
        <v>4808</v>
      </c>
      <c r="AH221" s="99">
        <v>201</v>
      </c>
      <c r="AI221" s="113" t="s">
        <v>5430</v>
      </c>
      <c r="AJ221" s="113">
        <v>3000000</v>
      </c>
      <c r="AK221" s="99">
        <v>1</v>
      </c>
      <c r="AL221" s="20">
        <f t="shared" si="63"/>
        <v>1</v>
      </c>
      <c r="AM221" s="117">
        <f t="shared" si="64"/>
        <v>3000000</v>
      </c>
      <c r="AN221" s="20"/>
    </row>
    <row r="222" spans="7:46">
      <c r="G222" s="213" t="s">
        <v>5662</v>
      </c>
      <c r="H222" s="1">
        <v>12297318</v>
      </c>
      <c r="I222" t="s">
        <v>25</v>
      </c>
      <c r="P222" s="114"/>
      <c r="Q222" s="189" t="s">
        <v>5447</v>
      </c>
      <c r="R222" s="189" t="s">
        <v>5445</v>
      </c>
      <c r="S222" s="188">
        <v>-26000000</v>
      </c>
      <c r="T222" s="213" t="s">
        <v>4797</v>
      </c>
      <c r="U222" s="213">
        <v>-8014</v>
      </c>
      <c r="V222" s="113">
        <v>273.79649999999998</v>
      </c>
      <c r="W222" s="113">
        <f t="shared" si="53"/>
        <v>-2194205.1510000001</v>
      </c>
      <c r="X222" s="99" t="s">
        <v>749</v>
      </c>
      <c r="AH222" s="99">
        <v>202</v>
      </c>
      <c r="AI222" s="113" t="s">
        <v>5431</v>
      </c>
      <c r="AJ222" s="113">
        <v>7000000</v>
      </c>
      <c r="AK222" s="99">
        <v>4</v>
      </c>
      <c r="AL222" s="20">
        <f t="shared" si="63"/>
        <v>4</v>
      </c>
      <c r="AM222" s="117">
        <f t="shared" si="64"/>
        <v>28000000</v>
      </c>
      <c r="AN222" s="20"/>
    </row>
    <row r="223" spans="7:46">
      <c r="G223" s="213" t="s">
        <v>5663</v>
      </c>
      <c r="H223" s="1">
        <v>8959644</v>
      </c>
      <c r="P223" s="114"/>
      <c r="Q223" s="189" t="s">
        <v>5447</v>
      </c>
      <c r="R223" s="189" t="s">
        <v>5451</v>
      </c>
      <c r="S223" s="188">
        <v>-95900000</v>
      </c>
      <c r="T223" s="213" t="s">
        <v>4806</v>
      </c>
      <c r="U223" s="213">
        <v>-9176</v>
      </c>
      <c r="V223" s="113">
        <v>273.79649999999998</v>
      </c>
      <c r="W223" s="113">
        <f t="shared" si="53"/>
        <v>-2512356.6839999999</v>
      </c>
      <c r="X223" s="99" t="s">
        <v>452</v>
      </c>
      <c r="AH223" s="99">
        <v>203</v>
      </c>
      <c r="AI223" s="113" t="s">
        <v>5444</v>
      </c>
      <c r="AJ223" s="113">
        <v>8800000</v>
      </c>
      <c r="AK223" s="99">
        <v>2</v>
      </c>
      <c r="AL223" s="20">
        <f t="shared" si="63"/>
        <v>2</v>
      </c>
      <c r="AM223" s="117">
        <f t="shared" si="64"/>
        <v>17600000</v>
      </c>
      <c r="AN223" s="20"/>
    </row>
    <row r="224" spans="7:46">
      <c r="G224" s="213" t="s">
        <v>5666</v>
      </c>
      <c r="H224" s="113">
        <v>15154095.839328</v>
      </c>
      <c r="P224" s="114"/>
      <c r="Q224" s="189" t="s">
        <v>5447</v>
      </c>
      <c r="R224" s="189" t="s">
        <v>5452</v>
      </c>
      <c r="S224" s="188">
        <v>-28950000</v>
      </c>
      <c r="T224" s="213" t="s">
        <v>4806</v>
      </c>
      <c r="U224" s="213">
        <v>1087</v>
      </c>
      <c r="V224" s="113">
        <v>273.79649999999998</v>
      </c>
      <c r="W224" s="113">
        <f t="shared" si="53"/>
        <v>297616.79550000001</v>
      </c>
      <c r="X224" s="99" t="s">
        <v>452</v>
      </c>
      <c r="Z224" t="s">
        <v>25</v>
      </c>
      <c r="AH224" s="99">
        <v>204</v>
      </c>
      <c r="AI224" s="113" t="s">
        <v>5451</v>
      </c>
      <c r="AJ224" s="113">
        <v>40000000</v>
      </c>
      <c r="AK224" s="99">
        <v>8</v>
      </c>
      <c r="AL224" s="20">
        <f t="shared" si="63"/>
        <v>8</v>
      </c>
      <c r="AM224" s="117">
        <f t="shared" si="64"/>
        <v>320000000</v>
      </c>
      <c r="AN224" s="20" t="s">
        <v>4723</v>
      </c>
    </row>
    <row r="225" spans="4:45">
      <c r="G225" s="213" t="s">
        <v>5675</v>
      </c>
      <c r="H225" s="113">
        <v>4108143</v>
      </c>
      <c r="P225" s="114"/>
      <c r="Q225" s="172" t="s">
        <v>5463</v>
      </c>
      <c r="R225" s="172" t="s">
        <v>5461</v>
      </c>
      <c r="S225" s="170">
        <v>2000000</v>
      </c>
      <c r="T225" s="213" t="s">
        <v>978</v>
      </c>
      <c r="U225" s="213">
        <v>-4017</v>
      </c>
      <c r="V225" s="113">
        <v>273.79649999999998</v>
      </c>
      <c r="W225" s="113">
        <f t="shared" si="53"/>
        <v>-1099840.5404999999</v>
      </c>
      <c r="X225" s="99" t="s">
        <v>4434</v>
      </c>
      <c r="AH225" s="99">
        <v>205</v>
      </c>
      <c r="AI225" s="113" t="s">
        <v>5467</v>
      </c>
      <c r="AJ225" s="113">
        <v>400000</v>
      </c>
      <c r="AK225" s="99">
        <v>17</v>
      </c>
      <c r="AL225" s="20">
        <f t="shared" si="63"/>
        <v>17</v>
      </c>
      <c r="AM225" s="117">
        <f t="shared" si="64"/>
        <v>6800000</v>
      </c>
      <c r="AN225" s="20"/>
      <c r="AR225" t="s">
        <v>25</v>
      </c>
    </row>
    <row r="226" spans="4:45">
      <c r="G226" s="213"/>
      <c r="H226" s="113"/>
      <c r="P226" s="114"/>
      <c r="Q226" s="213" t="s">
        <v>5469</v>
      </c>
      <c r="R226" s="213" t="s">
        <v>5467</v>
      </c>
      <c r="S226" s="113">
        <v>1896188</v>
      </c>
      <c r="T226" s="213" t="s">
        <v>978</v>
      </c>
      <c r="U226" s="213">
        <v>4017</v>
      </c>
      <c r="V226" s="113">
        <v>273.79649999999998</v>
      </c>
      <c r="W226" s="113">
        <f t="shared" si="53"/>
        <v>1099840.5404999999</v>
      </c>
      <c r="X226" s="99" t="s">
        <v>452</v>
      </c>
      <c r="Y226" t="s">
        <v>25</v>
      </c>
      <c r="AH226" s="99">
        <v>206</v>
      </c>
      <c r="AI226" s="113" t="s">
        <v>5490</v>
      </c>
      <c r="AJ226" s="113">
        <v>-20000000</v>
      </c>
      <c r="AK226" s="99">
        <v>18</v>
      </c>
      <c r="AL226" s="20">
        <f t="shared" si="63"/>
        <v>18</v>
      </c>
      <c r="AM226" s="117">
        <f t="shared" ref="AM226:AM229" si="65">AJ226*AL226</f>
        <v>-360000000</v>
      </c>
      <c r="AN226" s="20" t="s">
        <v>5035</v>
      </c>
    </row>
    <row r="227" spans="4:45">
      <c r="D227" s="96"/>
      <c r="E227" s="96"/>
      <c r="F227" s="96"/>
      <c r="G227" s="213"/>
      <c r="H227" s="113"/>
      <c r="I227" t="s">
        <v>25</v>
      </c>
      <c r="P227" s="114"/>
      <c r="Q227" s="189" t="s">
        <v>5560</v>
      </c>
      <c r="R227" s="189" t="s">
        <v>5557</v>
      </c>
      <c r="S227" s="188">
        <v>0</v>
      </c>
      <c r="T227" s="213" t="s">
        <v>4813</v>
      </c>
      <c r="U227" s="213">
        <v>3137</v>
      </c>
      <c r="V227" s="113">
        <v>283.69110000000001</v>
      </c>
      <c r="W227" s="113">
        <f t="shared" si="53"/>
        <v>889938.98070000007</v>
      </c>
      <c r="X227" s="99" t="s">
        <v>452</v>
      </c>
      <c r="AH227" s="99">
        <v>207</v>
      </c>
      <c r="AI227" s="113" t="s">
        <v>5516</v>
      </c>
      <c r="AJ227" s="113">
        <v>3006000</v>
      </c>
      <c r="AK227" s="99">
        <v>19</v>
      </c>
      <c r="AL227" s="20">
        <f t="shared" si="63"/>
        <v>19</v>
      </c>
      <c r="AM227" s="117">
        <f t="shared" si="65"/>
        <v>57114000</v>
      </c>
      <c r="AN227" s="20"/>
    </row>
    <row r="228" spans="4:45">
      <c r="D228" s="96"/>
      <c r="E228" s="96"/>
      <c r="F228" s="96"/>
      <c r="G228" s="213"/>
      <c r="H228" s="113"/>
      <c r="J228" t="s">
        <v>25</v>
      </c>
      <c r="Q228" s="213"/>
      <c r="R228" s="213"/>
      <c r="S228" s="113"/>
      <c r="T228" s="213" t="s">
        <v>4826</v>
      </c>
      <c r="U228" s="213">
        <v>101933</v>
      </c>
      <c r="V228" s="113">
        <v>294.30973999999998</v>
      </c>
      <c r="W228" s="113">
        <f t="shared" si="53"/>
        <v>29999874.727419998</v>
      </c>
      <c r="X228" s="99" t="s">
        <v>1083</v>
      </c>
      <c r="Y228" s="96"/>
      <c r="AH228" s="99">
        <v>208</v>
      </c>
      <c r="AI228" s="113" t="s">
        <v>5392</v>
      </c>
      <c r="AJ228" s="113">
        <v>-130382924</v>
      </c>
      <c r="AK228" s="99">
        <v>0</v>
      </c>
      <c r="AL228" s="20">
        <f t="shared" si="63"/>
        <v>0</v>
      </c>
      <c r="AM228" s="117">
        <f t="shared" si="65"/>
        <v>0</v>
      </c>
      <c r="AN228" s="20" t="s">
        <v>5551</v>
      </c>
      <c r="AR228" t="s">
        <v>25</v>
      </c>
    </row>
    <row r="229" spans="4:45">
      <c r="D229" s="96"/>
      <c r="E229" s="96"/>
      <c r="F229" s="96"/>
      <c r="G229" s="213"/>
      <c r="H229" s="113"/>
      <c r="K229" t="s">
        <v>25</v>
      </c>
      <c r="Q229" s="213"/>
      <c r="R229" s="213"/>
      <c r="S229" s="113">
        <f>SUM(S193:S227)</f>
        <v>-14005257</v>
      </c>
      <c r="T229" s="213" t="s">
        <v>4833</v>
      </c>
      <c r="U229" s="213">
        <v>3407</v>
      </c>
      <c r="V229" s="113">
        <v>293.43799999999999</v>
      </c>
      <c r="W229" s="113">
        <f t="shared" si="53"/>
        <v>999743.26599999995</v>
      </c>
      <c r="X229" s="99" t="s">
        <v>452</v>
      </c>
      <c r="Y229" t="s">
        <v>25</v>
      </c>
      <c r="AH229" s="99">
        <v>209</v>
      </c>
      <c r="AI229" s="113" t="s">
        <v>5392</v>
      </c>
      <c r="AJ229" s="113">
        <v>125000000</v>
      </c>
      <c r="AK229" s="99">
        <v>1</v>
      </c>
      <c r="AL229" s="20">
        <f t="shared" si="63"/>
        <v>1</v>
      </c>
      <c r="AM229" s="117">
        <f t="shared" si="65"/>
        <v>125000000</v>
      </c>
      <c r="AN229" s="20"/>
      <c r="AR229" t="s">
        <v>25</v>
      </c>
    </row>
    <row r="230" spans="4:45">
      <c r="D230" s="96"/>
      <c r="E230" s="96"/>
      <c r="F230" s="96"/>
      <c r="G230" s="213"/>
      <c r="H230" s="113"/>
      <c r="P230" s="114" t="s">
        <v>25</v>
      </c>
      <c r="Q230" s="41"/>
      <c r="R230" s="213"/>
      <c r="S230" s="213" t="s">
        <v>6</v>
      </c>
      <c r="T230" s="213" t="s">
        <v>4834</v>
      </c>
      <c r="U230" s="213">
        <v>68796</v>
      </c>
      <c r="V230" s="113">
        <v>293.53250000000003</v>
      </c>
      <c r="W230" s="113">
        <f t="shared" si="53"/>
        <v>20193861.870000001</v>
      </c>
      <c r="X230" s="99" t="s">
        <v>749</v>
      </c>
      <c r="AH230" s="99">
        <v>210</v>
      </c>
      <c r="AI230" s="113" t="s">
        <v>5549</v>
      </c>
      <c r="AJ230" s="113">
        <v>7200000</v>
      </c>
      <c r="AK230" s="99">
        <v>15</v>
      </c>
      <c r="AL230" s="20">
        <f t="shared" ref="AL230:AL236" si="66">AL245+AK230</f>
        <v>15</v>
      </c>
      <c r="AM230" s="117">
        <f t="shared" ref="AM230:AM236" si="67">AJ230*AL230</f>
        <v>108000000</v>
      </c>
      <c r="AN230" s="20"/>
      <c r="AQ230" t="s">
        <v>25</v>
      </c>
      <c r="AS230" t="s">
        <v>25</v>
      </c>
    </row>
    <row r="231" spans="4:45">
      <c r="D231" s="96"/>
      <c r="E231" s="96"/>
      <c r="F231" s="96"/>
      <c r="G231" s="213"/>
      <c r="H231" s="113"/>
      <c r="P231" s="114"/>
      <c r="Q231" s="96"/>
      <c r="T231" s="213" t="s">
        <v>4834</v>
      </c>
      <c r="U231" s="213">
        <v>154791</v>
      </c>
      <c r="V231" s="113">
        <v>293.53250000000003</v>
      </c>
      <c r="W231" s="113">
        <f t="shared" si="53"/>
        <v>45436189.207500003</v>
      </c>
      <c r="X231" s="99" t="s">
        <v>452</v>
      </c>
      <c r="AH231" s="99">
        <v>211</v>
      </c>
      <c r="AI231" s="113" t="s">
        <v>5584</v>
      </c>
      <c r="AJ231" s="113">
        <v>2050000</v>
      </c>
      <c r="AK231" s="99">
        <v>7</v>
      </c>
      <c r="AL231" s="20">
        <f t="shared" si="66"/>
        <v>7</v>
      </c>
      <c r="AM231" s="117">
        <f t="shared" si="67"/>
        <v>14350000</v>
      </c>
      <c r="AN231" s="20"/>
      <c r="AR231" t="s">
        <v>25</v>
      </c>
      <c r="AS231" t="s">
        <v>25</v>
      </c>
    </row>
    <row r="232" spans="4:45">
      <c r="D232" s="96"/>
      <c r="E232" s="96"/>
      <c r="F232" s="96"/>
      <c r="G232" s="213" t="s">
        <v>5670</v>
      </c>
      <c r="H232" s="113">
        <v>-87000000</v>
      </c>
      <c r="I232" s="96"/>
      <c r="J232" t="s">
        <v>25</v>
      </c>
      <c r="Q232" s="96" t="s">
        <v>25</v>
      </c>
      <c r="R232" s="96" t="s">
        <v>25</v>
      </c>
      <c r="T232" s="213" t="s">
        <v>4834</v>
      </c>
      <c r="U232" s="213">
        <v>-11923</v>
      </c>
      <c r="V232" s="113">
        <v>293.53250000000003</v>
      </c>
      <c r="W232" s="113">
        <f t="shared" si="53"/>
        <v>-3499787.9975000005</v>
      </c>
      <c r="X232" s="99" t="s">
        <v>452</v>
      </c>
      <c r="AH232" s="99">
        <v>212</v>
      </c>
      <c r="AI232" s="113" t="s">
        <v>5614</v>
      </c>
      <c r="AJ232" s="113">
        <v>50000000</v>
      </c>
      <c r="AK232" s="99">
        <v>24</v>
      </c>
      <c r="AL232" s="20">
        <f t="shared" si="66"/>
        <v>24</v>
      </c>
      <c r="AM232" s="117">
        <f t="shared" si="67"/>
        <v>1200000000</v>
      </c>
      <c r="AN232" s="20" t="s">
        <v>4723</v>
      </c>
    </row>
    <row r="233" spans="4:45">
      <c r="D233" s="96"/>
      <c r="E233" s="96"/>
      <c r="F233" s="96"/>
      <c r="G233" s="213"/>
      <c r="H233" s="113"/>
      <c r="I233" s="96"/>
      <c r="Q233" s="96"/>
      <c r="R233" s="96" t="s">
        <v>25</v>
      </c>
      <c r="S233" t="s">
        <v>25</v>
      </c>
      <c r="T233" s="213" t="s">
        <v>4847</v>
      </c>
      <c r="U233" s="213">
        <v>8424</v>
      </c>
      <c r="V233" s="113">
        <v>299.15170000000001</v>
      </c>
      <c r="W233" s="113">
        <f t="shared" si="53"/>
        <v>2520053.9208</v>
      </c>
      <c r="X233" s="99" t="s">
        <v>452</v>
      </c>
      <c r="Y233" t="s">
        <v>25</v>
      </c>
      <c r="AH233" s="99">
        <v>213</v>
      </c>
      <c r="AI233" s="113" t="s">
        <v>5685</v>
      </c>
      <c r="AJ233" s="113">
        <v>-58196600</v>
      </c>
      <c r="AK233" s="99">
        <v>1</v>
      </c>
      <c r="AL233" s="20">
        <f t="shared" si="66"/>
        <v>1</v>
      </c>
      <c r="AM233" s="117">
        <f t="shared" si="67"/>
        <v>-58196600</v>
      </c>
      <c r="AN233" s="20" t="s">
        <v>4918</v>
      </c>
    </row>
    <row r="234" spans="4:45">
      <c r="G234" s="213"/>
      <c r="H234" s="1"/>
      <c r="I234" s="96"/>
      <c r="S234" t="s">
        <v>25</v>
      </c>
      <c r="T234" s="213" t="s">
        <v>4882</v>
      </c>
      <c r="U234" s="213">
        <v>15943</v>
      </c>
      <c r="V234" s="113">
        <v>307.34415000000001</v>
      </c>
      <c r="W234" s="113">
        <f t="shared" si="53"/>
        <v>4899987.78345</v>
      </c>
      <c r="X234" s="99" t="s">
        <v>452</v>
      </c>
      <c r="AH234" s="99"/>
      <c r="AI234" s="113"/>
      <c r="AJ234" s="113"/>
      <c r="AK234" s="99"/>
      <c r="AL234" s="20">
        <f t="shared" si="66"/>
        <v>0</v>
      </c>
      <c r="AM234" s="117">
        <f t="shared" si="67"/>
        <v>0</v>
      </c>
      <c r="AN234" s="20"/>
    </row>
    <row r="235" spans="4:45">
      <c r="G235" s="213"/>
      <c r="H235" s="1"/>
      <c r="I235" s="96"/>
      <c r="Q235" s="99" t="s">
        <v>749</v>
      </c>
      <c r="R235" s="99"/>
      <c r="T235" s="213" t="s">
        <v>4902</v>
      </c>
      <c r="U235" s="213">
        <v>3741</v>
      </c>
      <c r="V235" s="113">
        <v>307.34415000000001</v>
      </c>
      <c r="W235" s="113">
        <f t="shared" si="53"/>
        <v>1149774.4651500001</v>
      </c>
      <c r="X235" s="99" t="s">
        <v>452</v>
      </c>
      <c r="Z235" t="s">
        <v>25</v>
      </c>
      <c r="AA235" t="s">
        <v>25</v>
      </c>
      <c r="AH235" s="99"/>
      <c r="AI235" s="113"/>
      <c r="AJ235" s="113"/>
      <c r="AK235" s="99"/>
      <c r="AL235" s="20">
        <f t="shared" si="66"/>
        <v>0</v>
      </c>
      <c r="AM235" s="117">
        <f t="shared" si="67"/>
        <v>0</v>
      </c>
      <c r="AN235" s="20"/>
    </row>
    <row r="236" spans="4:45">
      <c r="G236" s="213"/>
      <c r="H236" s="1"/>
      <c r="Q236" s="99" t="s">
        <v>4427</v>
      </c>
      <c r="R236" s="95">
        <v>172908000</v>
      </c>
      <c r="T236" s="213" t="s">
        <v>4908</v>
      </c>
      <c r="U236" s="213">
        <v>-6207</v>
      </c>
      <c r="V236" s="113">
        <v>322.214</v>
      </c>
      <c r="W236" s="113">
        <f t="shared" si="53"/>
        <v>-1999982.298</v>
      </c>
      <c r="X236" s="99" t="s">
        <v>749</v>
      </c>
      <c r="AH236" s="99"/>
      <c r="AI236" s="113"/>
      <c r="AJ236" s="113"/>
      <c r="AK236" s="99"/>
      <c r="AL236" s="20">
        <f t="shared" si="66"/>
        <v>0</v>
      </c>
      <c r="AM236" s="117">
        <f t="shared" si="67"/>
        <v>0</v>
      </c>
      <c r="AN236" s="20"/>
      <c r="AR236" t="s">
        <v>25</v>
      </c>
    </row>
    <row r="237" spans="4:45">
      <c r="G237" s="213" t="s">
        <v>6</v>
      </c>
      <c r="H237" s="1">
        <f>SUM(H211:H236)</f>
        <v>93118753.982935995</v>
      </c>
      <c r="Q237" s="99" t="s">
        <v>4462</v>
      </c>
      <c r="R237" s="95">
        <v>1400000</v>
      </c>
      <c r="T237" s="213" t="s">
        <v>4908</v>
      </c>
      <c r="U237" s="213">
        <v>6207</v>
      </c>
      <c r="V237" s="113">
        <v>322.214</v>
      </c>
      <c r="W237" s="113">
        <f t="shared" si="53"/>
        <v>1999982.298</v>
      </c>
      <c r="X237" s="99" t="s">
        <v>4434</v>
      </c>
      <c r="Y237" t="s">
        <v>25</v>
      </c>
      <c r="AH237" s="99"/>
      <c r="AI237" s="99"/>
      <c r="AJ237" s="95">
        <f>SUM(AJ20:AJ236)</f>
        <v>576340201</v>
      </c>
      <c r="AK237" s="99"/>
      <c r="AL237" s="99"/>
      <c r="AM237" s="95">
        <f>SUM(AM20:AM236)</f>
        <v>233997354558</v>
      </c>
      <c r="AN237" s="95">
        <f>AM237*AN240/31</f>
        <v>125807545.43284471</v>
      </c>
      <c r="AS237" t="s">
        <v>25</v>
      </c>
    </row>
    <row r="238" spans="4:45">
      <c r="G238" s="326"/>
      <c r="H238" s="1"/>
      <c r="Q238" s="99" t="s">
        <v>4222</v>
      </c>
      <c r="R238" s="95">
        <v>247393</v>
      </c>
      <c r="S238" t="s">
        <v>25</v>
      </c>
      <c r="T238" s="213" t="s">
        <v>4854</v>
      </c>
      <c r="U238" s="213">
        <v>776</v>
      </c>
      <c r="V238" s="113">
        <v>322.214</v>
      </c>
      <c r="W238" s="113">
        <f t="shared" si="53"/>
        <v>250038.06400000001</v>
      </c>
      <c r="X238" s="99" t="s">
        <v>452</v>
      </c>
      <c r="AH238" s="99"/>
      <c r="AI238" s="99"/>
      <c r="AJ238" s="99" t="s">
        <v>4055</v>
      </c>
      <c r="AK238" s="99"/>
      <c r="AL238" s="99"/>
      <c r="AM238" s="99" t="s">
        <v>284</v>
      </c>
      <c r="AN238" s="99" t="s">
        <v>940</v>
      </c>
      <c r="AR238" t="s">
        <v>25</v>
      </c>
    </row>
    <row r="239" spans="4:45">
      <c r="Q239" s="99" t="s">
        <v>4221</v>
      </c>
      <c r="R239" s="95">
        <v>6780000</v>
      </c>
      <c r="T239" s="213" t="s">
        <v>4934</v>
      </c>
      <c r="U239" s="213">
        <v>1524</v>
      </c>
      <c r="V239" s="113">
        <v>314.95999999999998</v>
      </c>
      <c r="W239" s="113">
        <f t="shared" si="53"/>
        <v>479999.04</v>
      </c>
      <c r="X239" s="99" t="s">
        <v>1083</v>
      </c>
      <c r="AH239" s="99"/>
      <c r="AI239" s="99"/>
      <c r="AJ239" s="99"/>
      <c r="AK239" s="99"/>
      <c r="AL239" s="99"/>
      <c r="AM239" s="99"/>
      <c r="AN239" s="99"/>
      <c r="AR239" t="s">
        <v>25</v>
      </c>
    </row>
    <row r="240" spans="4:45">
      <c r="Q240" s="99" t="s">
        <v>4567</v>
      </c>
      <c r="R240" s="95">
        <v>-4000000</v>
      </c>
      <c r="T240" s="213" t="s">
        <v>4943</v>
      </c>
      <c r="U240" s="213">
        <v>4435</v>
      </c>
      <c r="V240" s="113">
        <v>316.4375</v>
      </c>
      <c r="W240" s="113">
        <f t="shared" si="53"/>
        <v>1403400.3125</v>
      </c>
      <c r="X240" s="99" t="s">
        <v>452</v>
      </c>
      <c r="AH240" s="99"/>
      <c r="AI240" s="99"/>
      <c r="AJ240" s="99"/>
      <c r="AK240" s="99"/>
      <c r="AL240" s="99"/>
      <c r="AM240" s="99" t="s">
        <v>4056</v>
      </c>
      <c r="AN240" s="99">
        <v>1.6667000000000001E-2</v>
      </c>
    </row>
    <row r="241" spans="7:43">
      <c r="G241" s="96"/>
      <c r="H241" s="96"/>
      <c r="Q241" s="99" t="s">
        <v>4598</v>
      </c>
      <c r="R241" s="95">
        <v>16727037</v>
      </c>
      <c r="T241" s="213" t="s">
        <v>4946</v>
      </c>
      <c r="U241" s="213">
        <v>624</v>
      </c>
      <c r="V241" s="113">
        <v>320.5</v>
      </c>
      <c r="W241" s="113">
        <f t="shared" si="53"/>
        <v>199992</v>
      </c>
      <c r="X241" s="99" t="s">
        <v>452</v>
      </c>
      <c r="AH241" s="99"/>
      <c r="AI241" s="99"/>
      <c r="AJ241" s="99"/>
      <c r="AK241" s="99"/>
      <c r="AL241" s="99"/>
      <c r="AM241" s="99"/>
      <c r="AN241" s="99"/>
    </row>
    <row r="242" spans="7:43">
      <c r="G242" s="96"/>
      <c r="H242" s="96"/>
      <c r="Q242" s="99" t="s">
        <v>4603</v>
      </c>
      <c r="R242" s="95">
        <v>46460683</v>
      </c>
      <c r="S242" t="s">
        <v>25</v>
      </c>
      <c r="T242" s="213" t="s">
        <v>4951</v>
      </c>
      <c r="U242" s="213">
        <v>1086</v>
      </c>
      <c r="V242" s="113">
        <v>317.55</v>
      </c>
      <c r="W242" s="113">
        <f t="shared" si="53"/>
        <v>344859.3</v>
      </c>
      <c r="X242" s="99" t="s">
        <v>452</v>
      </c>
      <c r="AH242" s="99"/>
      <c r="AI242" s="99" t="s">
        <v>4057</v>
      </c>
      <c r="AJ242" s="95">
        <f>AJ237+AN237</f>
        <v>702147746.43284476</v>
      </c>
      <c r="AK242" s="99"/>
      <c r="AL242" s="99"/>
      <c r="AM242" s="99"/>
      <c r="AN242" s="99"/>
    </row>
    <row r="243" spans="7:43">
      <c r="G243" s="96"/>
      <c r="H243" s="96"/>
      <c r="Q243" s="99" t="s">
        <v>4604</v>
      </c>
      <c r="R243" s="95">
        <v>19663646</v>
      </c>
      <c r="T243" s="213" t="s">
        <v>4956</v>
      </c>
      <c r="U243" s="213">
        <v>2820</v>
      </c>
      <c r="V243" s="113">
        <v>319.1096</v>
      </c>
      <c r="W243" s="113">
        <f t="shared" si="53"/>
        <v>899889.07200000004</v>
      </c>
      <c r="X243" s="99" t="s">
        <v>452</v>
      </c>
      <c r="AI243" t="s">
        <v>4060</v>
      </c>
      <c r="AJ243" s="114">
        <f>SUM(N42:N54)</f>
        <v>5119336354</v>
      </c>
      <c r="AM243" t="s">
        <v>25</v>
      </c>
    </row>
    <row r="244" spans="7:43">
      <c r="G244" s="96"/>
      <c r="H244" s="96"/>
      <c r="Q244" s="99" t="s">
        <v>4627</v>
      </c>
      <c r="R244" s="95">
        <v>4374525</v>
      </c>
      <c r="T244" s="213" t="s">
        <v>4959</v>
      </c>
      <c r="U244" s="213">
        <v>1145</v>
      </c>
      <c r="V244" s="113">
        <v>325.44</v>
      </c>
      <c r="W244" s="113">
        <f t="shared" si="53"/>
        <v>372628.8</v>
      </c>
      <c r="X244" s="99" t="s">
        <v>452</v>
      </c>
      <c r="AI244" t="s">
        <v>4132</v>
      </c>
      <c r="AJ244" s="114">
        <f>AJ243-AJ237</f>
        <v>4542996153</v>
      </c>
      <c r="AM244" t="s">
        <v>25</v>
      </c>
    </row>
    <row r="245" spans="7:43">
      <c r="Q245" s="99" t="s">
        <v>4638</v>
      </c>
      <c r="R245" s="95">
        <v>6550580</v>
      </c>
      <c r="T245" s="213" t="s">
        <v>4969</v>
      </c>
      <c r="U245" s="213">
        <v>20153</v>
      </c>
      <c r="V245" s="113">
        <v>322</v>
      </c>
      <c r="W245" s="113">
        <f t="shared" si="53"/>
        <v>6489266</v>
      </c>
      <c r="X245" s="99" t="s">
        <v>452</v>
      </c>
      <c r="AI245" t="s">
        <v>940</v>
      </c>
      <c r="AJ245" s="114">
        <f>AN237</f>
        <v>125807545.43284471</v>
      </c>
      <c r="AN245" t="s">
        <v>25</v>
      </c>
    </row>
    <row r="246" spans="7:43">
      <c r="Q246" s="99" t="s">
        <v>4640</v>
      </c>
      <c r="R246" s="95">
        <v>6650895</v>
      </c>
      <c r="T246" s="213" t="s">
        <v>4979</v>
      </c>
      <c r="U246" s="213">
        <v>93720</v>
      </c>
      <c r="V246" s="113">
        <v>325.435</v>
      </c>
      <c r="W246" s="113">
        <f t="shared" si="53"/>
        <v>30499768.199999999</v>
      </c>
      <c r="X246" s="99" t="s">
        <v>1083</v>
      </c>
      <c r="AI246" t="s">
        <v>4061</v>
      </c>
      <c r="AJ246" s="114">
        <f>AJ243-AJ242</f>
        <v>4417188607.5671549</v>
      </c>
      <c r="AN246" t="s">
        <v>25</v>
      </c>
    </row>
    <row r="247" spans="7:43">
      <c r="Q247" s="99" t="s">
        <v>4657</v>
      </c>
      <c r="R247" s="95">
        <v>2145814</v>
      </c>
      <c r="T247" s="213" t="s">
        <v>4979</v>
      </c>
      <c r="U247" s="213">
        <v>20895</v>
      </c>
      <c r="V247" s="113">
        <v>325.435</v>
      </c>
      <c r="W247" s="113">
        <f t="shared" si="53"/>
        <v>6799964.3250000002</v>
      </c>
      <c r="X247" s="99" t="s">
        <v>749</v>
      </c>
      <c r="AM247" t="s">
        <v>25</v>
      </c>
    </row>
    <row r="248" spans="7:43">
      <c r="P248" t="s">
        <v>25</v>
      </c>
      <c r="Q248" s="99" t="s">
        <v>4668</v>
      </c>
      <c r="R248" s="95">
        <v>4369730</v>
      </c>
      <c r="T248" s="213" t="s">
        <v>4988</v>
      </c>
      <c r="U248" s="213">
        <v>2611</v>
      </c>
      <c r="V248" s="113">
        <v>325.435</v>
      </c>
      <c r="W248" s="113">
        <f t="shared" si="53"/>
        <v>849710.78500000003</v>
      </c>
      <c r="X248" s="99" t="s">
        <v>749</v>
      </c>
      <c r="AJ248" t="s">
        <v>25</v>
      </c>
    </row>
    <row r="249" spans="7:43">
      <c r="Q249" s="99" t="s">
        <v>4670</v>
      </c>
      <c r="R249" s="95">
        <v>8739459</v>
      </c>
      <c r="S249" t="s">
        <v>25</v>
      </c>
      <c r="T249" s="213" t="s">
        <v>4997</v>
      </c>
      <c r="U249" s="213">
        <v>6750</v>
      </c>
      <c r="V249" s="113">
        <v>339.3</v>
      </c>
      <c r="W249" s="113">
        <f t="shared" si="53"/>
        <v>2290275</v>
      </c>
      <c r="X249" s="99" t="s">
        <v>749</v>
      </c>
      <c r="AP249" t="s">
        <v>25</v>
      </c>
    </row>
    <row r="250" spans="7:43">
      <c r="Q250" s="99" t="s">
        <v>4679</v>
      </c>
      <c r="R250" s="95">
        <v>6667654</v>
      </c>
      <c r="T250" s="213" t="s">
        <v>5005</v>
      </c>
      <c r="U250" s="213">
        <v>1850</v>
      </c>
      <c r="V250" s="113">
        <v>334.10050000000001</v>
      </c>
      <c r="W250" s="113">
        <f t="shared" si="53"/>
        <v>618085.92500000005</v>
      </c>
      <c r="X250" s="99" t="s">
        <v>452</v>
      </c>
      <c r="Y250" t="s">
        <v>25</v>
      </c>
    </row>
    <row r="251" spans="7:43">
      <c r="Q251" s="99" t="s">
        <v>4687</v>
      </c>
      <c r="R251" s="95">
        <v>8981245</v>
      </c>
      <c r="T251" s="213" t="s">
        <v>5005</v>
      </c>
      <c r="U251" s="213">
        <v>-1194</v>
      </c>
      <c r="V251" s="113">
        <v>335</v>
      </c>
      <c r="W251" s="113">
        <f t="shared" si="53"/>
        <v>-399990</v>
      </c>
      <c r="X251" s="99" t="s">
        <v>4434</v>
      </c>
      <c r="Y251" t="s">
        <v>25</v>
      </c>
    </row>
    <row r="252" spans="7:43">
      <c r="Q252" s="99" t="s">
        <v>4691</v>
      </c>
      <c r="R252" s="95">
        <v>9181756</v>
      </c>
      <c r="T252" s="213" t="s">
        <v>5005</v>
      </c>
      <c r="U252" s="213">
        <v>1194</v>
      </c>
      <c r="V252" s="113">
        <v>335</v>
      </c>
      <c r="W252" s="113">
        <f t="shared" si="53"/>
        <v>399990</v>
      </c>
      <c r="X252" s="99" t="s">
        <v>749</v>
      </c>
    </row>
    <row r="253" spans="7:43">
      <c r="O253" t="s">
        <v>25</v>
      </c>
      <c r="Q253" s="99" t="s">
        <v>4694</v>
      </c>
      <c r="R253" s="95">
        <v>11811208</v>
      </c>
      <c r="S253" t="s">
        <v>25</v>
      </c>
      <c r="T253" s="213" t="s">
        <v>5012</v>
      </c>
      <c r="U253" s="213">
        <v>433</v>
      </c>
      <c r="V253" s="113">
        <v>345.68</v>
      </c>
      <c r="W253" s="113">
        <f t="shared" si="53"/>
        <v>149679.44</v>
      </c>
      <c r="X253" s="99" t="s">
        <v>749</v>
      </c>
      <c r="AH253" s="99" t="s">
        <v>3637</v>
      </c>
      <c r="AI253" s="99" t="s">
        <v>180</v>
      </c>
      <c r="AJ253" s="99" t="s">
        <v>267</v>
      </c>
      <c r="AK253" s="99" t="s">
        <v>4054</v>
      </c>
      <c r="AL253" s="99" t="s">
        <v>4046</v>
      </c>
      <c r="AM253" s="99" t="s">
        <v>282</v>
      </c>
      <c r="AN253" s="99" t="s">
        <v>4282</v>
      </c>
      <c r="AQ253" t="s">
        <v>25</v>
      </c>
    </row>
    <row r="254" spans="7:43">
      <c r="Q254" s="99" t="s">
        <v>4708</v>
      </c>
      <c r="R254" s="95">
        <v>41248054</v>
      </c>
      <c r="S254" t="s">
        <v>25</v>
      </c>
      <c r="T254" s="213" t="s">
        <v>5016</v>
      </c>
      <c r="U254" s="213">
        <v>55459</v>
      </c>
      <c r="V254" s="113">
        <v>362.51978000000003</v>
      </c>
      <c r="W254" s="113">
        <f t="shared" si="53"/>
        <v>20104984.479020003</v>
      </c>
      <c r="X254" s="99" t="s">
        <v>452</v>
      </c>
      <c r="AH254" s="99">
        <v>1</v>
      </c>
      <c r="AI254" s="99" t="s">
        <v>3945</v>
      </c>
      <c r="AJ254" s="117">
        <v>3555820</v>
      </c>
      <c r="AK254" s="99">
        <v>2</v>
      </c>
      <c r="AL254" s="99">
        <f>AK254+AL255</f>
        <v>703</v>
      </c>
      <c r="AM254" s="99">
        <f>AJ254*AL254</f>
        <v>2499741460</v>
      </c>
      <c r="AN254" s="99" t="s">
        <v>4302</v>
      </c>
    </row>
    <row r="255" spans="7:43">
      <c r="P255" t="s">
        <v>25</v>
      </c>
      <c r="Q255" s="99" t="s">
        <v>4715</v>
      </c>
      <c r="R255" s="95">
        <v>37328780</v>
      </c>
      <c r="T255" s="213" t="s">
        <v>5020</v>
      </c>
      <c r="U255" s="213">
        <v>-57212</v>
      </c>
      <c r="V255" s="113">
        <v>368.45400000000001</v>
      </c>
      <c r="W255" s="113">
        <f t="shared" si="53"/>
        <v>-21079990.248</v>
      </c>
      <c r="X255" s="99" t="s">
        <v>452</v>
      </c>
      <c r="AH255" s="99">
        <v>2</v>
      </c>
      <c r="AI255" s="99" t="s">
        <v>4020</v>
      </c>
      <c r="AJ255" s="117">
        <v>1720837</v>
      </c>
      <c r="AK255" s="99">
        <v>51</v>
      </c>
      <c r="AL255" s="99">
        <f t="shared" ref="AL255:AL264" si="68">AK255+AL256</f>
        <v>701</v>
      </c>
      <c r="AM255" s="99">
        <f t="shared" ref="AM255:AM283" si="69">AJ255*AL255</f>
        <v>1206306737</v>
      </c>
      <c r="AN255" s="99" t="s">
        <v>4303</v>
      </c>
    </row>
    <row r="256" spans="7:43">
      <c r="Q256" s="99" t="s">
        <v>4797</v>
      </c>
      <c r="R256" s="95">
        <v>-2194100</v>
      </c>
      <c r="T256" s="213" t="s">
        <v>5021</v>
      </c>
      <c r="U256" s="213">
        <v>-15881</v>
      </c>
      <c r="V256" s="113">
        <v>374.61599999999999</v>
      </c>
      <c r="W256" s="113">
        <f t="shared" si="53"/>
        <v>-5949276.6959999995</v>
      </c>
      <c r="X256" s="99" t="s">
        <v>452</v>
      </c>
      <c r="AH256" s="99">
        <v>3</v>
      </c>
      <c r="AI256" s="99" t="s">
        <v>4126</v>
      </c>
      <c r="AJ256" s="117">
        <v>150000</v>
      </c>
      <c r="AK256" s="99">
        <v>3</v>
      </c>
      <c r="AL256" s="99">
        <f t="shared" si="68"/>
        <v>650</v>
      </c>
      <c r="AM256" s="99">
        <f t="shared" si="69"/>
        <v>97500000</v>
      </c>
      <c r="AN256" s="99"/>
    </row>
    <row r="257" spans="17:45">
      <c r="Q257" s="99" t="s">
        <v>4834</v>
      </c>
      <c r="R257" s="95">
        <v>20193916</v>
      </c>
      <c r="T257" s="213" t="s">
        <v>5027</v>
      </c>
      <c r="U257" s="213">
        <v>-41289</v>
      </c>
      <c r="V257" s="113">
        <v>372.27</v>
      </c>
      <c r="W257" s="113">
        <f t="shared" si="53"/>
        <v>-15370656.029999999</v>
      </c>
      <c r="X257" s="99" t="s">
        <v>452</v>
      </c>
      <c r="AH257" s="99">
        <v>4</v>
      </c>
      <c r="AI257" s="99" t="s">
        <v>4141</v>
      </c>
      <c r="AJ257" s="117">
        <v>-95000</v>
      </c>
      <c r="AK257" s="99">
        <v>8</v>
      </c>
      <c r="AL257" s="99">
        <f t="shared" si="68"/>
        <v>647</v>
      </c>
      <c r="AM257" s="99">
        <f t="shared" si="69"/>
        <v>-61465000</v>
      </c>
      <c r="AN257" s="99"/>
    </row>
    <row r="258" spans="17:45">
      <c r="Q258" s="99" t="s">
        <v>4908</v>
      </c>
      <c r="R258" s="95">
        <v>-2000000</v>
      </c>
      <c r="T258" s="213" t="s">
        <v>5033</v>
      </c>
      <c r="U258" s="213">
        <v>13563</v>
      </c>
      <c r="V258" s="113">
        <v>365.69799999999998</v>
      </c>
      <c r="W258" s="113">
        <f t="shared" si="53"/>
        <v>4959961.9739999995</v>
      </c>
      <c r="X258" s="99" t="s">
        <v>452</v>
      </c>
      <c r="Z258" t="s">
        <v>25</v>
      </c>
      <c r="AH258" s="99">
        <v>5</v>
      </c>
      <c r="AI258" s="99" t="s">
        <v>4166</v>
      </c>
      <c r="AJ258" s="117">
        <v>3150000</v>
      </c>
      <c r="AK258" s="99">
        <v>16</v>
      </c>
      <c r="AL258" s="99">
        <f t="shared" si="68"/>
        <v>639</v>
      </c>
      <c r="AM258" s="99">
        <f t="shared" si="69"/>
        <v>2012850000</v>
      </c>
      <c r="AN258" s="99"/>
    </row>
    <row r="259" spans="17:45">
      <c r="Q259" s="99" t="s">
        <v>4979</v>
      </c>
      <c r="R259" s="95">
        <v>6800000</v>
      </c>
      <c r="S259" t="s">
        <v>25</v>
      </c>
      <c r="T259" s="213" t="s">
        <v>5033</v>
      </c>
      <c r="U259" s="213">
        <v>27344</v>
      </c>
      <c r="V259" s="113">
        <v>365.69799999999998</v>
      </c>
      <c r="W259" s="113">
        <f t="shared" si="53"/>
        <v>9999646.1119999997</v>
      </c>
      <c r="X259" s="99" t="s">
        <v>452</v>
      </c>
      <c r="AH259" s="99">
        <v>6</v>
      </c>
      <c r="AI259" s="99" t="s">
        <v>4231</v>
      </c>
      <c r="AJ259" s="117">
        <v>-65000</v>
      </c>
      <c r="AK259" s="99">
        <v>1</v>
      </c>
      <c r="AL259" s="99">
        <f t="shared" si="68"/>
        <v>623</v>
      </c>
      <c r="AM259" s="99">
        <f t="shared" si="69"/>
        <v>-40495000</v>
      </c>
      <c r="AN259" s="99"/>
    </row>
    <row r="260" spans="17:45" ht="30">
      <c r="Q260" s="99" t="s">
        <v>4988</v>
      </c>
      <c r="R260" s="95">
        <v>850000</v>
      </c>
      <c r="T260" s="213" t="s">
        <v>5040</v>
      </c>
      <c r="U260" s="213">
        <v>-103145</v>
      </c>
      <c r="V260" s="113">
        <v>393.334</v>
      </c>
      <c r="W260" s="113">
        <f t="shared" si="53"/>
        <v>-40570435.43</v>
      </c>
      <c r="X260" s="36" t="s">
        <v>5045</v>
      </c>
      <c r="AH260" s="99">
        <v>7</v>
      </c>
      <c r="AI260" s="99" t="s">
        <v>4304</v>
      </c>
      <c r="AJ260" s="117">
        <v>-95000</v>
      </c>
      <c r="AK260" s="99">
        <v>6</v>
      </c>
      <c r="AL260" s="99">
        <f t="shared" si="68"/>
        <v>622</v>
      </c>
      <c r="AM260" s="99">
        <f t="shared" si="69"/>
        <v>-59090000</v>
      </c>
      <c r="AN260" s="99"/>
    </row>
    <row r="261" spans="17:45">
      <c r="Q261" s="99" t="s">
        <v>4997</v>
      </c>
      <c r="R261" s="95">
        <v>2290500</v>
      </c>
      <c r="T261" s="213" t="s">
        <v>5040</v>
      </c>
      <c r="U261" s="213">
        <v>-369</v>
      </c>
      <c r="V261" s="113">
        <v>393.334</v>
      </c>
      <c r="W261" s="113">
        <f t="shared" si="53"/>
        <v>-145140.24600000001</v>
      </c>
      <c r="X261" s="36" t="s">
        <v>5121</v>
      </c>
      <c r="AH261" s="99">
        <v>8</v>
      </c>
      <c r="AI261" s="99" t="s">
        <v>4305</v>
      </c>
      <c r="AJ261" s="117">
        <v>232000</v>
      </c>
      <c r="AK261" s="99">
        <v>7</v>
      </c>
      <c r="AL261" s="99">
        <f t="shared" si="68"/>
        <v>616</v>
      </c>
      <c r="AM261" s="99">
        <f t="shared" si="69"/>
        <v>142912000</v>
      </c>
      <c r="AN261" s="99"/>
    </row>
    <row r="262" spans="17:45">
      <c r="Q262" s="99" t="s">
        <v>5005</v>
      </c>
      <c r="R262" s="95">
        <v>400000</v>
      </c>
      <c r="S262" t="s">
        <v>25</v>
      </c>
      <c r="T262" s="213" t="s">
        <v>5040</v>
      </c>
      <c r="U262" s="213">
        <v>-889</v>
      </c>
      <c r="V262" s="113">
        <v>393.334</v>
      </c>
      <c r="W262" s="113">
        <f t="shared" si="53"/>
        <v>-349673.92599999998</v>
      </c>
      <c r="X262" s="36" t="s">
        <v>5122</v>
      </c>
      <c r="AH262" s="99">
        <v>9</v>
      </c>
      <c r="AI262" s="99" t="s">
        <v>4281</v>
      </c>
      <c r="AJ262" s="117">
        <v>13000000</v>
      </c>
      <c r="AK262" s="99">
        <v>2</v>
      </c>
      <c r="AL262" s="99">
        <f t="shared" si="68"/>
        <v>609</v>
      </c>
      <c r="AM262" s="99">
        <f t="shared" si="69"/>
        <v>7917000000</v>
      </c>
      <c r="AN262" s="99"/>
    </row>
    <row r="263" spans="17:45">
      <c r="Q263" s="99" t="s">
        <v>5012</v>
      </c>
      <c r="R263" s="95">
        <v>150000</v>
      </c>
      <c r="T263" s="213" t="s">
        <v>5049</v>
      </c>
      <c r="U263" s="213">
        <v>2546</v>
      </c>
      <c r="V263" s="113">
        <v>393</v>
      </c>
      <c r="W263" s="113">
        <f t="shared" si="53"/>
        <v>1000578</v>
      </c>
      <c r="X263" s="36" t="s">
        <v>452</v>
      </c>
      <c r="AH263" s="99">
        <v>10</v>
      </c>
      <c r="AI263" s="99" t="s">
        <v>4306</v>
      </c>
      <c r="AJ263" s="117">
        <v>10000000</v>
      </c>
      <c r="AK263" s="99">
        <v>3</v>
      </c>
      <c r="AL263" s="99">
        <f t="shared" si="68"/>
        <v>607</v>
      </c>
      <c r="AM263" s="99">
        <f t="shared" si="69"/>
        <v>6070000000</v>
      </c>
      <c r="AN263" s="99"/>
    </row>
    <row r="264" spans="17:45">
      <c r="Q264" s="99" t="s">
        <v>5040</v>
      </c>
      <c r="R264" s="95">
        <v>-144950</v>
      </c>
      <c r="T264" s="213" t="s">
        <v>5050</v>
      </c>
      <c r="U264" s="213">
        <v>1034</v>
      </c>
      <c r="V264" s="113">
        <v>386.608</v>
      </c>
      <c r="W264" s="113">
        <f t="shared" si="53"/>
        <v>399752.67200000002</v>
      </c>
      <c r="X264" s="36" t="s">
        <v>452</v>
      </c>
      <c r="AH264" s="99">
        <v>11</v>
      </c>
      <c r="AI264" s="99" t="s">
        <v>4294</v>
      </c>
      <c r="AJ264" s="117">
        <v>3400000</v>
      </c>
      <c r="AK264" s="99">
        <v>9</v>
      </c>
      <c r="AL264" s="99">
        <f t="shared" si="68"/>
        <v>604</v>
      </c>
      <c r="AM264" s="99">
        <f t="shared" si="69"/>
        <v>2053600000</v>
      </c>
      <c r="AN264" s="99"/>
    </row>
    <row r="265" spans="17:45">
      <c r="Q265" s="99" t="s">
        <v>5068</v>
      </c>
      <c r="R265" s="95">
        <v>320000</v>
      </c>
      <c r="T265" s="213" t="s">
        <v>5057</v>
      </c>
      <c r="U265" s="213">
        <v>300</v>
      </c>
      <c r="V265" s="113">
        <v>400</v>
      </c>
      <c r="W265" s="113">
        <f t="shared" si="53"/>
        <v>120000</v>
      </c>
      <c r="X265" s="36" t="s">
        <v>452</v>
      </c>
      <c r="AH265" s="99">
        <v>12</v>
      </c>
      <c r="AI265" s="99" t="s">
        <v>4335</v>
      </c>
      <c r="AJ265" s="117">
        <v>-8736514</v>
      </c>
      <c r="AK265" s="99">
        <v>1</v>
      </c>
      <c r="AL265" s="99">
        <f>AK265+AL266</f>
        <v>595</v>
      </c>
      <c r="AM265" s="99">
        <f t="shared" si="69"/>
        <v>-5198225830</v>
      </c>
      <c r="AN265" s="99"/>
    </row>
    <row r="266" spans="17:45">
      <c r="Q266" s="99" t="s">
        <v>5072</v>
      </c>
      <c r="R266" s="95">
        <v>500000</v>
      </c>
      <c r="S266" t="s">
        <v>25</v>
      </c>
      <c r="T266" s="213" t="s">
        <v>5068</v>
      </c>
      <c r="U266" s="213">
        <v>782</v>
      </c>
      <c r="V266" s="113">
        <v>409</v>
      </c>
      <c r="W266" s="113">
        <f t="shared" si="53"/>
        <v>319838</v>
      </c>
      <c r="X266" s="36" t="s">
        <v>749</v>
      </c>
      <c r="AH266" s="99">
        <v>13</v>
      </c>
      <c r="AI266" s="99" t="s">
        <v>4336</v>
      </c>
      <c r="AJ266" s="117">
        <v>555000</v>
      </c>
      <c r="AK266" s="99">
        <v>5</v>
      </c>
      <c r="AL266" s="99">
        <f t="shared" ref="AL266:AL282" si="70">AK266+AL267</f>
        <v>594</v>
      </c>
      <c r="AM266" s="99">
        <f t="shared" si="69"/>
        <v>329670000</v>
      </c>
      <c r="AN266" s="99"/>
    </row>
    <row r="267" spans="17:45">
      <c r="Q267" s="99" t="s">
        <v>5117</v>
      </c>
      <c r="R267" s="95">
        <v>400000</v>
      </c>
      <c r="S267" t="s">
        <v>25</v>
      </c>
      <c r="T267" s="213" t="s">
        <v>5072</v>
      </c>
      <c r="U267" s="213">
        <v>1220</v>
      </c>
      <c r="V267" s="113">
        <v>409.9</v>
      </c>
      <c r="W267" s="113">
        <f t="shared" si="53"/>
        <v>500078</v>
      </c>
      <c r="X267" s="36" t="s">
        <v>749</v>
      </c>
      <c r="Y267" t="s">
        <v>25</v>
      </c>
      <c r="AH267" s="99">
        <v>14</v>
      </c>
      <c r="AI267" s="99" t="s">
        <v>4360</v>
      </c>
      <c r="AJ267" s="117">
        <v>-448308</v>
      </c>
      <c r="AK267" s="99">
        <v>6</v>
      </c>
      <c r="AL267" s="99">
        <f t="shared" si="70"/>
        <v>589</v>
      </c>
      <c r="AM267" s="99">
        <f t="shared" si="69"/>
        <v>-264053412</v>
      </c>
      <c r="AN267" s="99"/>
      <c r="AS267" t="s">
        <v>25</v>
      </c>
    </row>
    <row r="268" spans="17:45">
      <c r="Q268" s="99" t="s">
        <v>5120</v>
      </c>
      <c r="R268" s="95">
        <v>50000</v>
      </c>
      <c r="S268" t="s">
        <v>25</v>
      </c>
      <c r="T268" s="213" t="s">
        <v>5074</v>
      </c>
      <c r="U268" s="213">
        <v>1285</v>
      </c>
      <c r="V268" s="113">
        <v>388.84</v>
      </c>
      <c r="W268" s="113">
        <f t="shared" si="53"/>
        <v>499659.39999999997</v>
      </c>
      <c r="X268" s="36" t="s">
        <v>452</v>
      </c>
      <c r="AA268" t="s">
        <v>25</v>
      </c>
      <c r="AH268" s="99">
        <v>15</v>
      </c>
      <c r="AI268" s="99" t="s">
        <v>4390</v>
      </c>
      <c r="AJ268" s="117">
        <v>33225</v>
      </c>
      <c r="AK268" s="99">
        <v>0</v>
      </c>
      <c r="AL268" s="99">
        <f t="shared" si="70"/>
        <v>583</v>
      </c>
      <c r="AM268" s="99">
        <f t="shared" si="69"/>
        <v>19370175</v>
      </c>
      <c r="AN268" s="99"/>
    </row>
    <row r="269" spans="17:45">
      <c r="Q269" s="99" t="s">
        <v>5130</v>
      </c>
      <c r="R269" s="95">
        <v>300000</v>
      </c>
      <c r="T269" s="213" t="s">
        <v>5062</v>
      </c>
      <c r="U269" s="213">
        <v>1924</v>
      </c>
      <c r="V269" s="113">
        <v>386.69600000000003</v>
      </c>
      <c r="W269" s="113">
        <f t="shared" si="53"/>
        <v>744003.10400000005</v>
      </c>
      <c r="X269" s="36" t="s">
        <v>452</v>
      </c>
      <c r="AH269" s="149">
        <v>16</v>
      </c>
      <c r="AI269" s="149" t="s">
        <v>4390</v>
      </c>
      <c r="AJ269" s="188">
        <v>4098523</v>
      </c>
      <c r="AK269" s="149">
        <v>2</v>
      </c>
      <c r="AL269" s="149">
        <f t="shared" si="70"/>
        <v>583</v>
      </c>
      <c r="AM269" s="149">
        <f t="shared" si="69"/>
        <v>2389438909</v>
      </c>
      <c r="AN269" s="149" t="s">
        <v>655</v>
      </c>
    </row>
    <row r="270" spans="17:45">
      <c r="Q270" s="99" t="s">
        <v>5156</v>
      </c>
      <c r="R270" s="95">
        <v>250000</v>
      </c>
      <c r="T270" s="213" t="s">
        <v>5090</v>
      </c>
      <c r="U270" s="213">
        <v>165</v>
      </c>
      <c r="V270" s="113">
        <v>393.5</v>
      </c>
      <c r="W270" s="113">
        <f t="shared" si="53"/>
        <v>64927.5</v>
      </c>
      <c r="X270" s="36" t="s">
        <v>452</v>
      </c>
      <c r="AH270" s="149">
        <v>17</v>
      </c>
      <c r="AI270" s="149" t="s">
        <v>4403</v>
      </c>
      <c r="AJ270" s="188">
        <v>-1000000</v>
      </c>
      <c r="AK270" s="149">
        <v>7</v>
      </c>
      <c r="AL270" s="149">
        <f t="shared" si="70"/>
        <v>581</v>
      </c>
      <c r="AM270" s="149">
        <f t="shared" si="69"/>
        <v>-581000000</v>
      </c>
      <c r="AN270" s="149" t="s">
        <v>655</v>
      </c>
    </row>
    <row r="271" spans="17:45" ht="30">
      <c r="Q271" s="99" t="s">
        <v>5191</v>
      </c>
      <c r="R271" s="95">
        <v>200000</v>
      </c>
      <c r="T271" s="213" t="s">
        <v>5096</v>
      </c>
      <c r="U271" s="213">
        <v>-34859</v>
      </c>
      <c r="V271" s="113">
        <v>403.1585</v>
      </c>
      <c r="W271" s="113">
        <f t="shared" si="53"/>
        <v>-14053702.1515</v>
      </c>
      <c r="X271" s="36" t="s">
        <v>5099</v>
      </c>
      <c r="AH271" s="149">
        <v>18</v>
      </c>
      <c r="AI271" s="149" t="s">
        <v>4423</v>
      </c>
      <c r="AJ271" s="188">
        <v>750000</v>
      </c>
      <c r="AK271" s="149">
        <v>1</v>
      </c>
      <c r="AL271" s="149">
        <f t="shared" si="70"/>
        <v>574</v>
      </c>
      <c r="AM271" s="149">
        <f t="shared" si="69"/>
        <v>430500000</v>
      </c>
      <c r="AN271" s="149" t="s">
        <v>655</v>
      </c>
      <c r="AR271" t="s">
        <v>25</v>
      </c>
    </row>
    <row r="272" spans="17:45">
      <c r="Q272" s="99" t="s">
        <v>5226</v>
      </c>
      <c r="R272" s="95">
        <v>122000</v>
      </c>
      <c r="T272" s="213" t="s">
        <v>5063</v>
      </c>
      <c r="U272" s="213">
        <v>8476</v>
      </c>
      <c r="V272" s="113">
        <v>419.49900000000002</v>
      </c>
      <c r="W272" s="113">
        <f t="shared" si="53"/>
        <v>3555673.5240000002</v>
      </c>
      <c r="X272" s="36" t="s">
        <v>5105</v>
      </c>
      <c r="AH272" s="195">
        <v>19</v>
      </c>
      <c r="AI272" s="195" t="s">
        <v>4425</v>
      </c>
      <c r="AJ272" s="196">
        <v>-604152</v>
      </c>
      <c r="AK272" s="195">
        <v>0</v>
      </c>
      <c r="AL272" s="195">
        <f t="shared" si="70"/>
        <v>573</v>
      </c>
      <c r="AM272" s="195">
        <f t="shared" si="69"/>
        <v>-346179096</v>
      </c>
      <c r="AN272" s="195" t="s">
        <v>655</v>
      </c>
    </row>
    <row r="273" spans="17:40">
      <c r="Q273" s="99" t="s">
        <v>5234</v>
      </c>
      <c r="R273" s="95">
        <v>200000</v>
      </c>
      <c r="S273" t="s">
        <v>25</v>
      </c>
      <c r="T273" s="213" t="s">
        <v>5117</v>
      </c>
      <c r="U273" s="213">
        <v>903</v>
      </c>
      <c r="V273" s="113">
        <v>442.77379999999999</v>
      </c>
      <c r="W273" s="113">
        <f t="shared" si="53"/>
        <v>399824.7414</v>
      </c>
      <c r="X273" s="36" t="s">
        <v>749</v>
      </c>
      <c r="Y273" t="s">
        <v>25</v>
      </c>
      <c r="AH273" s="99">
        <v>20</v>
      </c>
      <c r="AI273" s="99" t="s">
        <v>4426</v>
      </c>
      <c r="AJ273" s="117">
        <v>-587083</v>
      </c>
      <c r="AK273" s="99">
        <v>4</v>
      </c>
      <c r="AL273" s="99">
        <f t="shared" si="70"/>
        <v>573</v>
      </c>
      <c r="AM273" s="99">
        <f t="shared" si="69"/>
        <v>-336398559</v>
      </c>
      <c r="AN273" s="99"/>
    </row>
    <row r="274" spans="17:40">
      <c r="Q274" s="99" t="s">
        <v>5244</v>
      </c>
      <c r="R274" s="95">
        <v>60000</v>
      </c>
      <c r="T274" s="213" t="s">
        <v>5120</v>
      </c>
      <c r="U274" s="213">
        <v>113</v>
      </c>
      <c r="V274" s="113">
        <v>442.48200000000003</v>
      </c>
      <c r="W274" s="113">
        <f t="shared" ref="W274:W356" si="71">U274*V274</f>
        <v>50000.466</v>
      </c>
      <c r="X274" s="36" t="s">
        <v>749</v>
      </c>
      <c r="Y274" t="s">
        <v>25</v>
      </c>
      <c r="AH274" s="195">
        <v>21</v>
      </c>
      <c r="AI274" s="195" t="s">
        <v>4427</v>
      </c>
      <c r="AJ274" s="196">
        <v>-754351</v>
      </c>
      <c r="AK274" s="195">
        <v>0</v>
      </c>
      <c r="AL274" s="149">
        <f t="shared" si="70"/>
        <v>569</v>
      </c>
      <c r="AM274" s="195">
        <f t="shared" si="69"/>
        <v>-429225719</v>
      </c>
      <c r="AN274" s="195" t="s">
        <v>655</v>
      </c>
    </row>
    <row r="275" spans="17:40">
      <c r="Q275" s="99" t="s">
        <v>5306</v>
      </c>
      <c r="R275" s="95">
        <v>-200000</v>
      </c>
      <c r="S275" t="s">
        <v>25</v>
      </c>
      <c r="T275" s="213" t="s">
        <v>5130</v>
      </c>
      <c r="U275" s="213">
        <v>671</v>
      </c>
      <c r="V275" s="113">
        <v>447</v>
      </c>
      <c r="W275" s="113">
        <f t="shared" si="71"/>
        <v>299937</v>
      </c>
      <c r="X275" s="36" t="s">
        <v>749</v>
      </c>
      <c r="AH275" s="99">
        <v>22</v>
      </c>
      <c r="AI275" s="99" t="s">
        <v>4427</v>
      </c>
      <c r="AJ275" s="117">
        <v>-189619</v>
      </c>
      <c r="AK275" s="99">
        <v>15</v>
      </c>
      <c r="AL275" s="99">
        <f t="shared" si="70"/>
        <v>569</v>
      </c>
      <c r="AM275" s="99">
        <f t="shared" si="69"/>
        <v>-107893211</v>
      </c>
      <c r="AN275" s="99"/>
    </row>
    <row r="276" spans="17:40">
      <c r="Q276" s="99" t="s">
        <v>5381</v>
      </c>
      <c r="R276" s="95">
        <v>-9000000</v>
      </c>
      <c r="T276" s="213" t="s">
        <v>5132</v>
      </c>
      <c r="U276" s="213">
        <v>7</v>
      </c>
      <c r="V276" s="113">
        <v>465.31200000000001</v>
      </c>
      <c r="W276" s="113">
        <f t="shared" si="71"/>
        <v>3257.1840000000002</v>
      </c>
      <c r="X276" s="36" t="s">
        <v>452</v>
      </c>
      <c r="AH276" s="195">
        <v>23</v>
      </c>
      <c r="AI276" s="195" t="s">
        <v>4493</v>
      </c>
      <c r="AJ276" s="188">
        <v>7100</v>
      </c>
      <c r="AK276" s="195">
        <v>0</v>
      </c>
      <c r="AL276" s="149">
        <f t="shared" si="70"/>
        <v>554</v>
      </c>
      <c r="AM276" s="195">
        <f t="shared" si="69"/>
        <v>3933400</v>
      </c>
      <c r="AN276" s="195" t="s">
        <v>655</v>
      </c>
    </row>
    <row r="277" spans="17:40">
      <c r="Q277" s="99" t="s">
        <v>5445</v>
      </c>
      <c r="R277" s="95">
        <v>-26000000</v>
      </c>
      <c r="T277" s="213" t="s">
        <v>5138</v>
      </c>
      <c r="U277" s="213">
        <v>12950</v>
      </c>
      <c r="V277" s="113">
        <v>463.31599999999997</v>
      </c>
      <c r="W277" s="113">
        <f t="shared" si="71"/>
        <v>5999942.1999999993</v>
      </c>
      <c r="X277" s="36" t="s">
        <v>452</v>
      </c>
      <c r="AH277" s="20">
        <v>24</v>
      </c>
      <c r="AI277" s="20" t="s">
        <v>4493</v>
      </c>
      <c r="AJ277" s="117">
        <v>-147902</v>
      </c>
      <c r="AK277" s="20">
        <v>3</v>
      </c>
      <c r="AL277" s="99">
        <f t="shared" si="70"/>
        <v>554</v>
      </c>
      <c r="AM277" s="20">
        <f t="shared" si="69"/>
        <v>-81937708</v>
      </c>
      <c r="AN277" s="20"/>
    </row>
    <row r="278" spans="17:40">
      <c r="Q278" s="99" t="s">
        <v>5451</v>
      </c>
      <c r="R278" s="95">
        <v>-95900000</v>
      </c>
      <c r="T278" s="213" t="s">
        <v>5141</v>
      </c>
      <c r="U278" s="213">
        <v>37</v>
      </c>
      <c r="V278" s="113">
        <v>463.315</v>
      </c>
      <c r="W278" s="113">
        <f t="shared" si="71"/>
        <v>17142.654999999999</v>
      </c>
      <c r="X278" s="36" t="s">
        <v>452</v>
      </c>
      <c r="AH278" s="149">
        <v>25</v>
      </c>
      <c r="AI278" s="149" t="s">
        <v>4501</v>
      </c>
      <c r="AJ278" s="188">
        <v>-37200</v>
      </c>
      <c r="AK278" s="149">
        <v>4</v>
      </c>
      <c r="AL278" s="149">
        <f t="shared" si="70"/>
        <v>551</v>
      </c>
      <c r="AM278" s="195">
        <f t="shared" si="69"/>
        <v>-20497200</v>
      </c>
      <c r="AN278" s="149" t="s">
        <v>655</v>
      </c>
    </row>
    <row r="279" spans="17:40">
      <c r="Q279" s="99" t="s">
        <v>5452</v>
      </c>
      <c r="R279" s="95">
        <v>-28950000</v>
      </c>
      <c r="S279" t="s">
        <v>25</v>
      </c>
      <c r="T279" s="213" t="s">
        <v>5142</v>
      </c>
      <c r="U279" s="213">
        <v>19</v>
      </c>
      <c r="V279" s="113">
        <v>434.3</v>
      </c>
      <c r="W279" s="113">
        <f t="shared" si="71"/>
        <v>8251.7000000000007</v>
      </c>
      <c r="X279" s="36" t="s">
        <v>452</v>
      </c>
      <c r="AH279" s="99">
        <v>26</v>
      </c>
      <c r="AI279" s="99" t="s">
        <v>4532</v>
      </c>
      <c r="AJ279" s="117">
        <v>-372326</v>
      </c>
      <c r="AK279" s="99">
        <v>21</v>
      </c>
      <c r="AL279" s="99">
        <f t="shared" si="70"/>
        <v>547</v>
      </c>
      <c r="AM279" s="20">
        <f t="shared" si="69"/>
        <v>-203662322</v>
      </c>
      <c r="AN279" s="99"/>
    </row>
    <row r="280" spans="17:40">
      <c r="Q280" s="99" t="s">
        <v>5685</v>
      </c>
      <c r="R280" s="95">
        <v>-87000000</v>
      </c>
      <c r="S280" t="s">
        <v>25</v>
      </c>
      <c r="T280" s="213" t="s">
        <v>5144</v>
      </c>
      <c r="U280" s="213">
        <v>16</v>
      </c>
      <c r="V280" s="113">
        <v>439</v>
      </c>
      <c r="W280" s="113">
        <f t="shared" si="71"/>
        <v>7024</v>
      </c>
      <c r="X280" s="36" t="s">
        <v>452</v>
      </c>
      <c r="AH280" s="99">
        <v>27</v>
      </c>
      <c r="AI280" s="99" t="s">
        <v>4581</v>
      </c>
      <c r="AJ280" s="117">
        <v>235062</v>
      </c>
      <c r="AK280" s="99">
        <v>0</v>
      </c>
      <c r="AL280" s="99">
        <f t="shared" si="70"/>
        <v>526</v>
      </c>
      <c r="AM280" s="20">
        <f t="shared" si="69"/>
        <v>123642612</v>
      </c>
      <c r="AN280" s="99"/>
    </row>
    <row r="281" spans="17:40" ht="45">
      <c r="Q281" s="99"/>
      <c r="R281" s="95"/>
      <c r="T281" s="213" t="s">
        <v>5144</v>
      </c>
      <c r="U281" s="213">
        <v>9191</v>
      </c>
      <c r="V281" s="113">
        <v>440.24630000000002</v>
      </c>
      <c r="W281" s="113">
        <f t="shared" si="71"/>
        <v>4046303.7433000002</v>
      </c>
      <c r="X281" s="36" t="s">
        <v>5145</v>
      </c>
      <c r="AH281" s="149">
        <v>28</v>
      </c>
      <c r="AI281" s="149" t="s">
        <v>4581</v>
      </c>
      <c r="AJ281" s="188">
        <v>235062</v>
      </c>
      <c r="AK281" s="149">
        <v>9</v>
      </c>
      <c r="AL281" s="99">
        <f t="shared" si="70"/>
        <v>526</v>
      </c>
      <c r="AM281" s="149">
        <f t="shared" si="69"/>
        <v>123642612</v>
      </c>
      <c r="AN281" s="149" t="s">
        <v>655</v>
      </c>
    </row>
    <row r="282" spans="17:40">
      <c r="Q282" s="99"/>
      <c r="R282" s="95">
        <f>SUM(R236:R281)</f>
        <v>189933825</v>
      </c>
      <c r="T282" s="213" t="s">
        <v>5147</v>
      </c>
      <c r="U282" s="213">
        <v>-8792</v>
      </c>
      <c r="V282" s="113">
        <v>441.90665999999999</v>
      </c>
      <c r="W282" s="113">
        <f t="shared" si="71"/>
        <v>-3885243.3547199997</v>
      </c>
      <c r="X282" s="36" t="s">
        <v>5148</v>
      </c>
      <c r="AH282" s="149">
        <v>29</v>
      </c>
      <c r="AI282" s="149" t="s">
        <v>4604</v>
      </c>
      <c r="AJ282" s="188">
        <v>450000</v>
      </c>
      <c r="AK282" s="149">
        <v>0</v>
      </c>
      <c r="AL282" s="99">
        <f t="shared" si="70"/>
        <v>517</v>
      </c>
      <c r="AM282" s="149">
        <f t="shared" si="69"/>
        <v>232650000</v>
      </c>
      <c r="AN282" s="149" t="s">
        <v>655</v>
      </c>
    </row>
    <row r="283" spans="17:40">
      <c r="Q283" s="99"/>
      <c r="R283" s="99" t="s">
        <v>6</v>
      </c>
      <c r="T283" s="189" t="s">
        <v>5151</v>
      </c>
      <c r="U283" s="189">
        <v>24374</v>
      </c>
      <c r="V283" s="188">
        <v>471.81700000000001</v>
      </c>
      <c r="W283" s="188">
        <f t="shared" si="71"/>
        <v>11500067.558</v>
      </c>
      <c r="X283" s="279" t="s">
        <v>5154</v>
      </c>
      <c r="AH283" s="20">
        <v>30</v>
      </c>
      <c r="AI283" s="20" t="s">
        <v>4604</v>
      </c>
      <c r="AJ283" s="117">
        <v>450000</v>
      </c>
      <c r="AK283" s="20">
        <v>22</v>
      </c>
      <c r="AL283" s="99">
        <f>AK283+AL284</f>
        <v>517</v>
      </c>
      <c r="AM283" s="20">
        <f t="shared" si="69"/>
        <v>232650000</v>
      </c>
      <c r="AN283" s="20"/>
    </row>
    <row r="284" spans="17:40">
      <c r="R284" t="s">
        <v>25</v>
      </c>
      <c r="T284" s="213" t="s">
        <v>5156</v>
      </c>
      <c r="U284" s="213">
        <v>530</v>
      </c>
      <c r="V284" s="113">
        <v>472</v>
      </c>
      <c r="W284" s="113">
        <f t="shared" si="71"/>
        <v>250160</v>
      </c>
      <c r="X284" s="36" t="s">
        <v>749</v>
      </c>
      <c r="AH284" s="149">
        <v>31</v>
      </c>
      <c r="AI284" s="149" t="s">
        <v>4670</v>
      </c>
      <c r="AJ284" s="188">
        <v>300000</v>
      </c>
      <c r="AK284" s="149">
        <v>0</v>
      </c>
      <c r="AL284" s="149">
        <f t="shared" ref="AL284:AL299" si="72">AK284+AL285</f>
        <v>495</v>
      </c>
      <c r="AM284" s="149">
        <f t="shared" ref="AM284:AM293" si="73">AJ284*AL284</f>
        <v>148500000</v>
      </c>
      <c r="AN284" s="149"/>
    </row>
    <row r="285" spans="17:40" ht="30">
      <c r="S285" t="s">
        <v>25</v>
      </c>
      <c r="T285" s="213" t="s">
        <v>5156</v>
      </c>
      <c r="U285" s="213">
        <v>12</v>
      </c>
      <c r="V285" s="113">
        <v>481.86</v>
      </c>
      <c r="W285" s="113">
        <f t="shared" si="71"/>
        <v>5782.32</v>
      </c>
      <c r="X285" s="36" t="s">
        <v>5158</v>
      </c>
      <c r="AH285" s="121">
        <v>32</v>
      </c>
      <c r="AI285" s="121" t="s">
        <v>4670</v>
      </c>
      <c r="AJ285" s="79">
        <v>288936</v>
      </c>
      <c r="AK285" s="121">
        <v>3</v>
      </c>
      <c r="AL285" s="121">
        <f t="shared" si="72"/>
        <v>495</v>
      </c>
      <c r="AM285" s="121">
        <f t="shared" si="73"/>
        <v>143023320</v>
      </c>
      <c r="AN285" s="205" t="s">
        <v>4681</v>
      </c>
    </row>
    <row r="286" spans="17:40">
      <c r="Q286" s="99" t="s">
        <v>452</v>
      </c>
      <c r="R286" s="99"/>
      <c r="T286" s="189" t="s">
        <v>5181</v>
      </c>
      <c r="U286" s="189">
        <v>12330</v>
      </c>
      <c r="V286" s="188">
        <v>486.63443869999998</v>
      </c>
      <c r="W286" s="188">
        <f t="shared" si="71"/>
        <v>6000202.6291709999</v>
      </c>
      <c r="X286" s="279" t="s">
        <v>5154</v>
      </c>
      <c r="AH286" s="121">
        <v>33</v>
      </c>
      <c r="AI286" s="121" t="s">
        <v>4679</v>
      </c>
      <c r="AJ286" s="79">
        <v>17962491</v>
      </c>
      <c r="AK286" s="121">
        <v>1</v>
      </c>
      <c r="AL286" s="121">
        <f t="shared" si="72"/>
        <v>492</v>
      </c>
      <c r="AM286" s="121">
        <f t="shared" si="73"/>
        <v>8837545572</v>
      </c>
      <c r="AN286" s="121" t="s">
        <v>4686</v>
      </c>
    </row>
    <row r="287" spans="17:40">
      <c r="Q287" s="99" t="s">
        <v>4427</v>
      </c>
      <c r="R287" s="95">
        <v>63115000</v>
      </c>
      <c r="T287" s="213" t="s">
        <v>5183</v>
      </c>
      <c r="U287" s="213">
        <v>846</v>
      </c>
      <c r="V287" s="113">
        <v>472.7</v>
      </c>
      <c r="W287" s="113">
        <f t="shared" si="71"/>
        <v>399904.2</v>
      </c>
      <c r="X287" s="36" t="s">
        <v>452</v>
      </c>
      <c r="AH287" s="121">
        <v>34</v>
      </c>
      <c r="AI287" s="121" t="s">
        <v>3680</v>
      </c>
      <c r="AJ287" s="79">
        <v>18363511</v>
      </c>
      <c r="AK287" s="121">
        <v>1</v>
      </c>
      <c r="AL287" s="121">
        <f t="shared" si="72"/>
        <v>491</v>
      </c>
      <c r="AM287" s="121">
        <f t="shared" si="73"/>
        <v>9016483901</v>
      </c>
      <c r="AN287" s="121" t="s">
        <v>4686</v>
      </c>
    </row>
    <row r="288" spans="17:40">
      <c r="Q288" s="99" t="s">
        <v>4475</v>
      </c>
      <c r="R288" s="95">
        <v>13300000</v>
      </c>
      <c r="T288" s="189" t="s">
        <v>5183</v>
      </c>
      <c r="U288" s="189">
        <v>3173</v>
      </c>
      <c r="V288" s="188">
        <v>472.7</v>
      </c>
      <c r="W288" s="188">
        <f t="shared" si="71"/>
        <v>1499877.0999999999</v>
      </c>
      <c r="X288" s="279" t="s">
        <v>5317</v>
      </c>
      <c r="AH288" s="121">
        <v>35</v>
      </c>
      <c r="AI288" s="121" t="s">
        <v>4691</v>
      </c>
      <c r="AJ288" s="79">
        <v>23622417</v>
      </c>
      <c r="AK288" s="121">
        <v>5</v>
      </c>
      <c r="AL288" s="121">
        <f t="shared" si="72"/>
        <v>490</v>
      </c>
      <c r="AM288" s="121">
        <f t="shared" si="73"/>
        <v>11574984330</v>
      </c>
      <c r="AN288" s="121" t="s">
        <v>4693</v>
      </c>
    </row>
    <row r="289" spans="15:44">
      <c r="Q289" s="99" t="s">
        <v>4483</v>
      </c>
      <c r="R289" s="95">
        <v>2269000</v>
      </c>
      <c r="T289" s="213" t="s">
        <v>5187</v>
      </c>
      <c r="U289" s="213">
        <v>191</v>
      </c>
      <c r="V289" s="113">
        <v>484.572</v>
      </c>
      <c r="W289" s="113">
        <f t="shared" si="71"/>
        <v>92553.252000000008</v>
      </c>
      <c r="X289" s="36" t="s">
        <v>5188</v>
      </c>
      <c r="AH289" s="121">
        <v>36</v>
      </c>
      <c r="AI289" s="121" t="s">
        <v>4706</v>
      </c>
      <c r="AJ289" s="79">
        <v>82496108</v>
      </c>
      <c r="AK289" s="121">
        <v>1</v>
      </c>
      <c r="AL289" s="121">
        <f t="shared" si="72"/>
        <v>485</v>
      </c>
      <c r="AM289" s="121">
        <f t="shared" si="73"/>
        <v>40010612380</v>
      </c>
      <c r="AN289" s="121" t="s">
        <v>4709</v>
      </c>
    </row>
    <row r="290" spans="15:44">
      <c r="Q290" s="99" t="s">
        <v>4594</v>
      </c>
      <c r="R290" s="95">
        <v>25071612</v>
      </c>
      <c r="T290" s="213" t="s">
        <v>5187</v>
      </c>
      <c r="U290" s="213">
        <v>-206</v>
      </c>
      <c r="V290" s="113">
        <v>484.572</v>
      </c>
      <c r="W290" s="113">
        <f t="shared" si="71"/>
        <v>-99821.831999999995</v>
      </c>
      <c r="X290" s="36" t="s">
        <v>5190</v>
      </c>
      <c r="AH290" s="121">
        <v>37</v>
      </c>
      <c r="AI290" s="121" t="s">
        <v>4708</v>
      </c>
      <c r="AJ290" s="79">
        <v>74657561</v>
      </c>
      <c r="AK290" s="121">
        <v>16</v>
      </c>
      <c r="AL290" s="121">
        <f t="shared" si="72"/>
        <v>484</v>
      </c>
      <c r="AM290" s="121">
        <f t="shared" si="73"/>
        <v>36134259524</v>
      </c>
      <c r="AN290" s="121" t="s">
        <v>4714</v>
      </c>
    </row>
    <row r="291" spans="15:44">
      <c r="Q291" s="99" t="s">
        <v>4603</v>
      </c>
      <c r="R291" s="95">
        <v>42236984</v>
      </c>
      <c r="T291" s="213" t="s">
        <v>5191</v>
      </c>
      <c r="U291" s="213">
        <v>20685</v>
      </c>
      <c r="V291" s="113">
        <v>483.43312200000003</v>
      </c>
      <c r="W291" s="113">
        <f t="shared" si="71"/>
        <v>9999814.1285699997</v>
      </c>
      <c r="X291" s="36" t="s">
        <v>5193</v>
      </c>
      <c r="AH291" s="99">
        <v>38</v>
      </c>
      <c r="AI291" s="99" t="s">
        <v>4783</v>
      </c>
      <c r="AJ291" s="117">
        <v>665000</v>
      </c>
      <c r="AK291" s="99">
        <v>0</v>
      </c>
      <c r="AL291" s="99">
        <f t="shared" si="72"/>
        <v>468</v>
      </c>
      <c r="AM291" s="20">
        <f t="shared" si="73"/>
        <v>311220000</v>
      </c>
      <c r="AN291" s="99"/>
    </row>
    <row r="292" spans="15:44">
      <c r="Q292" s="99" t="s">
        <v>4604</v>
      </c>
      <c r="R292" s="95">
        <v>19663646</v>
      </c>
      <c r="T292" s="213" t="s">
        <v>5191</v>
      </c>
      <c r="U292" s="213">
        <v>-413</v>
      </c>
      <c r="V292" s="113">
        <v>483.40199999999999</v>
      </c>
      <c r="W292" s="113">
        <f t="shared" si="71"/>
        <v>-199645.02599999998</v>
      </c>
      <c r="X292" s="36" t="s">
        <v>4434</v>
      </c>
      <c r="AH292" s="149">
        <v>39</v>
      </c>
      <c r="AI292" s="149" t="s">
        <v>4783</v>
      </c>
      <c r="AJ292" s="188">
        <v>665000</v>
      </c>
      <c r="AK292" s="149">
        <v>4</v>
      </c>
      <c r="AL292" s="195">
        <f t="shared" si="72"/>
        <v>468</v>
      </c>
      <c r="AM292" s="195">
        <f t="shared" si="73"/>
        <v>311220000</v>
      </c>
      <c r="AN292" s="195"/>
    </row>
    <row r="293" spans="15:44">
      <c r="O293" t="s">
        <v>25</v>
      </c>
      <c r="Q293" s="99" t="s">
        <v>4627</v>
      </c>
      <c r="R293" s="95">
        <v>4374525</v>
      </c>
      <c r="T293" s="213" t="s">
        <v>5191</v>
      </c>
      <c r="U293" s="213">
        <v>413</v>
      </c>
      <c r="V293" s="113">
        <v>483.40199999999999</v>
      </c>
      <c r="W293" s="113">
        <f t="shared" si="71"/>
        <v>199645.02599999998</v>
      </c>
      <c r="X293" s="36" t="s">
        <v>749</v>
      </c>
      <c r="AH293" s="20">
        <v>40</v>
      </c>
      <c r="AI293" s="20" t="s">
        <v>4792</v>
      </c>
      <c r="AJ293" s="117">
        <v>2000000</v>
      </c>
      <c r="AK293" s="20">
        <v>1</v>
      </c>
      <c r="AL293" s="99">
        <f t="shared" si="72"/>
        <v>464</v>
      </c>
      <c r="AM293" s="20">
        <f t="shared" si="73"/>
        <v>928000000</v>
      </c>
      <c r="AN293" s="99"/>
    </row>
    <row r="294" spans="15:44">
      <c r="Q294" s="99" t="s">
        <v>4638</v>
      </c>
      <c r="R294" s="95">
        <v>6550580</v>
      </c>
      <c r="T294" s="213" t="s">
        <v>5196</v>
      </c>
      <c r="U294" s="213">
        <v>-828</v>
      </c>
      <c r="V294" s="113">
        <v>483.43312200000003</v>
      </c>
      <c r="W294" s="113">
        <f t="shared" si="71"/>
        <v>-400282.62501600001</v>
      </c>
      <c r="X294" s="36" t="s">
        <v>452</v>
      </c>
      <c r="AH294" s="20">
        <v>41</v>
      </c>
      <c r="AI294" s="20" t="s">
        <v>4797</v>
      </c>
      <c r="AJ294" s="117">
        <v>-2060725</v>
      </c>
      <c r="AK294" s="20">
        <v>0</v>
      </c>
      <c r="AL294" s="99">
        <f t="shared" si="72"/>
        <v>463</v>
      </c>
      <c r="AM294" s="20">
        <f t="shared" ref="AM294:AM299" si="74">AJ294*AL294</f>
        <v>-954115675</v>
      </c>
      <c r="AN294" s="99" t="s">
        <v>4798</v>
      </c>
    </row>
    <row r="295" spans="15:44">
      <c r="Q295" s="99" t="s">
        <v>4640</v>
      </c>
      <c r="R295" s="95">
        <v>7054895</v>
      </c>
      <c r="T295" s="213" t="s">
        <v>5199</v>
      </c>
      <c r="U295" s="213">
        <v>12</v>
      </c>
      <c r="V295" s="113">
        <v>473.61898300000001</v>
      </c>
      <c r="W295" s="113">
        <f t="shared" si="71"/>
        <v>5683.4277959999999</v>
      </c>
      <c r="X295" s="36" t="s">
        <v>452</v>
      </c>
      <c r="AH295" s="149">
        <v>42</v>
      </c>
      <c r="AI295" s="149" t="s">
        <v>4797</v>
      </c>
      <c r="AJ295" s="188">
        <v>-433375</v>
      </c>
      <c r="AK295" s="149">
        <v>0</v>
      </c>
      <c r="AL295" s="149">
        <f t="shared" si="72"/>
        <v>463</v>
      </c>
      <c r="AM295" s="149">
        <f t="shared" si="74"/>
        <v>-200652625</v>
      </c>
      <c r="AN295" s="149" t="s">
        <v>4799</v>
      </c>
    </row>
    <row r="296" spans="15:44">
      <c r="Q296" s="99" t="s">
        <v>4657</v>
      </c>
      <c r="R296" s="95">
        <v>2145814</v>
      </c>
      <c r="T296" s="213" t="s">
        <v>5202</v>
      </c>
      <c r="U296" s="213">
        <v>963</v>
      </c>
      <c r="V296" s="113">
        <v>477.92200000000003</v>
      </c>
      <c r="W296" s="113">
        <f t="shared" si="71"/>
        <v>460238.886</v>
      </c>
      <c r="X296" s="36" t="s">
        <v>452</v>
      </c>
      <c r="AH296" s="20">
        <v>43</v>
      </c>
      <c r="AI296" s="20" t="s">
        <v>4797</v>
      </c>
      <c r="AJ296" s="117">
        <v>28000000</v>
      </c>
      <c r="AK296" s="20">
        <v>1</v>
      </c>
      <c r="AL296" s="99">
        <f t="shared" si="72"/>
        <v>463</v>
      </c>
      <c r="AM296" s="20">
        <f t="shared" si="74"/>
        <v>12964000000</v>
      </c>
      <c r="AN296" s="99" t="s">
        <v>3887</v>
      </c>
    </row>
    <row r="297" spans="15:44">
      <c r="Q297" s="99" t="s">
        <v>4668</v>
      </c>
      <c r="R297" s="95">
        <v>4369730</v>
      </c>
      <c r="T297" s="213" t="s">
        <v>5203</v>
      </c>
      <c r="U297" s="213">
        <v>2815</v>
      </c>
      <c r="V297" s="113">
        <v>461.79</v>
      </c>
      <c r="W297" s="113">
        <f t="shared" si="71"/>
        <v>1299938.8500000001</v>
      </c>
      <c r="X297" s="36" t="s">
        <v>452</v>
      </c>
      <c r="AH297" s="20">
        <v>44</v>
      </c>
      <c r="AI297" s="20" t="s">
        <v>4806</v>
      </c>
      <c r="AJ297" s="117">
        <v>160000</v>
      </c>
      <c r="AK297" s="20">
        <v>0</v>
      </c>
      <c r="AL297" s="99">
        <f t="shared" si="72"/>
        <v>462</v>
      </c>
      <c r="AM297" s="20">
        <f t="shared" si="74"/>
        <v>73920000</v>
      </c>
      <c r="AN297" s="99"/>
    </row>
    <row r="298" spans="15:44">
      <c r="Q298" s="99" t="s">
        <v>4670</v>
      </c>
      <c r="R298" s="95">
        <v>8739459</v>
      </c>
      <c r="T298" s="213" t="s">
        <v>5203</v>
      </c>
      <c r="U298" s="213">
        <v>1581</v>
      </c>
      <c r="V298" s="113">
        <v>461.79</v>
      </c>
      <c r="W298" s="113">
        <f t="shared" si="71"/>
        <v>730089.99</v>
      </c>
      <c r="X298" s="36" t="s">
        <v>452</v>
      </c>
      <c r="AH298" s="149">
        <v>45</v>
      </c>
      <c r="AI298" s="149" t="s">
        <v>4806</v>
      </c>
      <c r="AJ298" s="188">
        <v>70000</v>
      </c>
      <c r="AK298" s="149">
        <v>9</v>
      </c>
      <c r="AL298" s="149">
        <f t="shared" si="72"/>
        <v>462</v>
      </c>
      <c r="AM298" s="149">
        <f t="shared" si="74"/>
        <v>32340000</v>
      </c>
      <c r="AN298" s="149"/>
    </row>
    <row r="299" spans="15:44">
      <c r="Q299" s="99" t="s">
        <v>4679</v>
      </c>
      <c r="R299" s="95">
        <v>6667654</v>
      </c>
      <c r="T299" s="189" t="s">
        <v>5211</v>
      </c>
      <c r="U299" s="189">
        <v>1916</v>
      </c>
      <c r="V299" s="188">
        <v>521.70000000000005</v>
      </c>
      <c r="W299" s="188">
        <f t="shared" si="71"/>
        <v>999577.20000000007</v>
      </c>
      <c r="X299" s="279" t="s">
        <v>5317</v>
      </c>
      <c r="AH299" s="20">
        <v>46</v>
      </c>
      <c r="AI299" s="20" t="s">
        <v>4813</v>
      </c>
      <c r="AJ299" s="117">
        <v>850000</v>
      </c>
      <c r="AK299" s="20">
        <v>0</v>
      </c>
      <c r="AL299" s="99">
        <f t="shared" si="72"/>
        <v>453</v>
      </c>
      <c r="AM299" s="20">
        <f t="shared" si="74"/>
        <v>385050000</v>
      </c>
      <c r="AN299" s="99"/>
    </row>
    <row r="300" spans="15:44">
      <c r="Q300" s="99" t="s">
        <v>3680</v>
      </c>
      <c r="R300" s="95">
        <v>8981245</v>
      </c>
      <c r="T300" s="213" t="s">
        <v>989</v>
      </c>
      <c r="U300" s="213">
        <v>41</v>
      </c>
      <c r="V300" s="113">
        <v>514.48099999999999</v>
      </c>
      <c r="W300" s="113">
        <f t="shared" si="71"/>
        <v>21093.721000000001</v>
      </c>
      <c r="X300" s="36" t="s">
        <v>5188</v>
      </c>
      <c r="AH300" s="195">
        <v>47</v>
      </c>
      <c r="AI300" s="195" t="s">
        <v>4813</v>
      </c>
      <c r="AJ300" s="196">
        <v>20000</v>
      </c>
      <c r="AK300" s="195">
        <v>4</v>
      </c>
      <c r="AL300" s="195">
        <f t="shared" ref="AL300:AL308" si="75">AK300+AL301</f>
        <v>453</v>
      </c>
      <c r="AM300" s="195">
        <f t="shared" ref="AM300:AM308" si="76">AJ300*AL300</f>
        <v>9060000</v>
      </c>
      <c r="AN300" s="195"/>
      <c r="AR300" t="s">
        <v>25</v>
      </c>
    </row>
    <row r="301" spans="15:44">
      <c r="P301" t="s">
        <v>25</v>
      </c>
      <c r="Q301" s="99" t="s">
        <v>4691</v>
      </c>
      <c r="R301" s="95">
        <v>9181756</v>
      </c>
      <c r="T301" s="213" t="s">
        <v>4270</v>
      </c>
      <c r="U301" s="213">
        <v>71</v>
      </c>
      <c r="V301" s="113">
        <v>482.57</v>
      </c>
      <c r="W301" s="113">
        <f t="shared" si="71"/>
        <v>34262.47</v>
      </c>
      <c r="X301" s="36" t="s">
        <v>5188</v>
      </c>
      <c r="AH301" s="195">
        <v>48</v>
      </c>
      <c r="AI301" s="195" t="s">
        <v>4826</v>
      </c>
      <c r="AJ301" s="196">
        <v>30000000</v>
      </c>
      <c r="AK301" s="195">
        <v>27</v>
      </c>
      <c r="AL301" s="195">
        <f t="shared" si="75"/>
        <v>449</v>
      </c>
      <c r="AM301" s="195">
        <f t="shared" si="76"/>
        <v>13470000000</v>
      </c>
      <c r="AN301" s="195" t="s">
        <v>4827</v>
      </c>
    </row>
    <row r="302" spans="15:44">
      <c r="Q302" s="99" t="s">
        <v>4694</v>
      </c>
      <c r="R302" s="95">
        <v>11811208</v>
      </c>
      <c r="T302" s="213" t="s">
        <v>5226</v>
      </c>
      <c r="U302" s="213">
        <v>-250</v>
      </c>
      <c r="V302" s="113">
        <v>487.125</v>
      </c>
      <c r="W302" s="113">
        <f t="shared" si="71"/>
        <v>-121781.25</v>
      </c>
      <c r="X302" s="36" t="s">
        <v>4434</v>
      </c>
      <c r="Y302" t="s">
        <v>25</v>
      </c>
      <c r="AH302" s="20">
        <v>49</v>
      </c>
      <c r="AI302" s="20" t="s">
        <v>4902</v>
      </c>
      <c r="AJ302" s="117">
        <v>1100000</v>
      </c>
      <c r="AK302" s="20">
        <v>1</v>
      </c>
      <c r="AL302" s="20">
        <f t="shared" si="75"/>
        <v>422</v>
      </c>
      <c r="AM302" s="20">
        <f t="shared" si="76"/>
        <v>464200000</v>
      </c>
      <c r="AN302" s="20"/>
    </row>
    <row r="303" spans="15:44">
      <c r="Q303" s="99" t="s">
        <v>4708</v>
      </c>
      <c r="R303" s="95">
        <v>41248054</v>
      </c>
      <c r="T303" s="213" t="s">
        <v>5226</v>
      </c>
      <c r="U303" s="213">
        <v>250</v>
      </c>
      <c r="V303" s="113">
        <v>487.125</v>
      </c>
      <c r="W303" s="113">
        <f t="shared" si="71"/>
        <v>121781.25</v>
      </c>
      <c r="X303" s="36" t="s">
        <v>749</v>
      </c>
      <c r="Y303" t="s">
        <v>25</v>
      </c>
      <c r="AH303" s="20">
        <v>50</v>
      </c>
      <c r="AI303" s="20" t="s">
        <v>4904</v>
      </c>
      <c r="AJ303" s="117">
        <v>450000</v>
      </c>
      <c r="AK303" s="20">
        <v>0</v>
      </c>
      <c r="AL303" s="20">
        <f t="shared" si="75"/>
        <v>421</v>
      </c>
      <c r="AM303" s="20">
        <f t="shared" si="76"/>
        <v>189450000</v>
      </c>
      <c r="AN303" s="20"/>
    </row>
    <row r="304" spans="15:44">
      <c r="Q304" s="99" t="s">
        <v>4715</v>
      </c>
      <c r="R304" s="95">
        <v>37328780</v>
      </c>
      <c r="T304" s="213" t="s">
        <v>5234</v>
      </c>
      <c r="U304" s="213">
        <v>-1439</v>
      </c>
      <c r="V304" s="113">
        <v>486.53068999999999</v>
      </c>
      <c r="W304" s="113">
        <f t="shared" si="71"/>
        <v>-700117.66290999996</v>
      </c>
      <c r="X304" s="36" t="s">
        <v>4434</v>
      </c>
      <c r="AH304" s="149">
        <v>51</v>
      </c>
      <c r="AI304" s="149" t="s">
        <v>4904</v>
      </c>
      <c r="AJ304" s="188">
        <v>550000</v>
      </c>
      <c r="AK304" s="149">
        <v>1</v>
      </c>
      <c r="AL304" s="149">
        <f t="shared" si="75"/>
        <v>421</v>
      </c>
      <c r="AM304" s="149">
        <f t="shared" si="76"/>
        <v>231550000</v>
      </c>
      <c r="AN304" s="149"/>
    </row>
    <row r="305" spans="16:40">
      <c r="Q305" s="99" t="s">
        <v>4721</v>
      </c>
      <c r="R305" s="95">
        <v>50000000</v>
      </c>
      <c r="T305" s="213" t="s">
        <v>5234</v>
      </c>
      <c r="U305" s="213">
        <v>411</v>
      </c>
      <c r="V305" s="113">
        <v>486.53068999999999</v>
      </c>
      <c r="W305" s="113">
        <f t="shared" si="71"/>
        <v>199964.11358999999</v>
      </c>
      <c r="X305" s="36" t="s">
        <v>749</v>
      </c>
      <c r="AH305" s="149">
        <v>52</v>
      </c>
      <c r="AI305" s="149" t="s">
        <v>4906</v>
      </c>
      <c r="AJ305" s="188">
        <v>1000000</v>
      </c>
      <c r="AK305" s="149">
        <v>8</v>
      </c>
      <c r="AL305" s="149">
        <f t="shared" si="75"/>
        <v>420</v>
      </c>
      <c r="AM305" s="149">
        <f t="shared" si="76"/>
        <v>420000000</v>
      </c>
      <c r="AN305" s="149"/>
    </row>
    <row r="306" spans="16:40">
      <c r="Q306" s="99" t="s">
        <v>4783</v>
      </c>
      <c r="R306" s="95">
        <v>68656</v>
      </c>
      <c r="T306" s="213" t="s">
        <v>5201</v>
      </c>
      <c r="U306" s="213">
        <v>-4290</v>
      </c>
      <c r="V306" s="113">
        <v>497.57670000000002</v>
      </c>
      <c r="W306" s="113">
        <f t="shared" si="71"/>
        <v>-2134604.0430000001</v>
      </c>
      <c r="X306" s="36" t="s">
        <v>452</v>
      </c>
      <c r="AH306" s="20">
        <v>53</v>
      </c>
      <c r="AI306" s="20" t="s">
        <v>4916</v>
      </c>
      <c r="AJ306" s="117">
        <v>-2668880</v>
      </c>
      <c r="AK306" s="20">
        <v>0</v>
      </c>
      <c r="AL306" s="20">
        <f t="shared" si="75"/>
        <v>412</v>
      </c>
      <c r="AM306" s="20">
        <f t="shared" si="76"/>
        <v>-1099578560</v>
      </c>
      <c r="AN306" s="20" t="s">
        <v>4918</v>
      </c>
    </row>
    <row r="307" spans="16:40">
      <c r="Q307" s="99" t="s">
        <v>4792</v>
      </c>
      <c r="R307" s="95">
        <v>4000236</v>
      </c>
      <c r="T307" s="213" t="s">
        <v>5241</v>
      </c>
      <c r="U307" s="213">
        <v>-644</v>
      </c>
      <c r="V307" s="113">
        <v>494.76464499999997</v>
      </c>
      <c r="W307" s="113">
        <f t="shared" si="71"/>
        <v>-318628.43137999997</v>
      </c>
      <c r="X307" s="36" t="s">
        <v>452</v>
      </c>
      <c r="AH307" s="149">
        <v>54</v>
      </c>
      <c r="AI307" s="149" t="s">
        <v>4916</v>
      </c>
      <c r="AJ307" s="188">
        <v>-1528620</v>
      </c>
      <c r="AK307" s="149">
        <v>0</v>
      </c>
      <c r="AL307" s="149">
        <f t="shared" si="75"/>
        <v>412</v>
      </c>
      <c r="AM307" s="149">
        <f t="shared" si="76"/>
        <v>-629791440</v>
      </c>
      <c r="AN307" s="149" t="s">
        <v>4918</v>
      </c>
    </row>
    <row r="308" spans="16:40">
      <c r="Q308" s="99" t="s">
        <v>4792</v>
      </c>
      <c r="R308" s="95">
        <v>2250000</v>
      </c>
      <c r="T308" s="213" t="s">
        <v>5244</v>
      </c>
      <c r="U308" s="213">
        <v>-112</v>
      </c>
      <c r="V308" s="113">
        <v>485.78</v>
      </c>
      <c r="W308" s="113">
        <f t="shared" si="71"/>
        <v>-54407.360000000001</v>
      </c>
      <c r="X308" s="36" t="s">
        <v>452</v>
      </c>
      <c r="AH308" s="20">
        <v>55</v>
      </c>
      <c r="AI308" s="20" t="s">
        <v>4916</v>
      </c>
      <c r="AJ308" s="117">
        <v>50000000</v>
      </c>
      <c r="AK308" s="20">
        <v>4</v>
      </c>
      <c r="AL308" s="20">
        <f t="shared" si="75"/>
        <v>412</v>
      </c>
      <c r="AM308" s="20">
        <f t="shared" si="76"/>
        <v>20600000000</v>
      </c>
      <c r="AN308" s="20"/>
    </row>
    <row r="309" spans="16:40">
      <c r="Q309" s="99" t="s">
        <v>4797</v>
      </c>
      <c r="R309" s="95">
        <v>-2512200</v>
      </c>
      <c r="T309" s="213" t="s">
        <v>5244</v>
      </c>
      <c r="U309" s="213">
        <v>123</v>
      </c>
      <c r="V309" s="113">
        <v>485.78</v>
      </c>
      <c r="W309" s="113">
        <f t="shared" si="71"/>
        <v>59750.939999999995</v>
      </c>
      <c r="X309" s="36" t="s">
        <v>749</v>
      </c>
      <c r="AH309" s="20">
        <v>56</v>
      </c>
      <c r="AI309" s="20" t="s">
        <v>4922</v>
      </c>
      <c r="AJ309" s="117">
        <v>400000</v>
      </c>
      <c r="AK309" s="20">
        <v>4</v>
      </c>
      <c r="AL309" s="20">
        <f t="shared" ref="AL309:AL318" si="77">AK309+AL310</f>
        <v>408</v>
      </c>
      <c r="AM309" s="20">
        <f t="shared" ref="AM309:AM318" si="78">AJ309*AL309</f>
        <v>163200000</v>
      </c>
      <c r="AN309" s="20"/>
    </row>
    <row r="310" spans="16:40">
      <c r="Q310" s="99" t="s">
        <v>4806</v>
      </c>
      <c r="R310" s="95">
        <v>300000</v>
      </c>
      <c r="T310" s="213" t="s">
        <v>5244</v>
      </c>
      <c r="U310" s="213">
        <v>-123</v>
      </c>
      <c r="V310" s="113">
        <v>485.78</v>
      </c>
      <c r="W310" s="113">
        <f t="shared" si="71"/>
        <v>-59750.939999999995</v>
      </c>
      <c r="X310" s="36" t="s">
        <v>4434</v>
      </c>
      <c r="AH310" s="20">
        <v>57</v>
      </c>
      <c r="AI310" s="20" t="s">
        <v>4934</v>
      </c>
      <c r="AJ310" s="117">
        <v>2000000</v>
      </c>
      <c r="AK310" s="20">
        <v>3</v>
      </c>
      <c r="AL310" s="20">
        <f t="shared" si="77"/>
        <v>404</v>
      </c>
      <c r="AM310" s="20">
        <f t="shared" si="78"/>
        <v>808000000</v>
      </c>
      <c r="AN310" s="20"/>
    </row>
    <row r="311" spans="16:40">
      <c r="P311" t="s">
        <v>25</v>
      </c>
      <c r="Q311" s="99" t="s">
        <v>978</v>
      </c>
      <c r="R311" s="95">
        <v>1100000</v>
      </c>
      <c r="S311" s="114"/>
      <c r="T311" s="213" t="s">
        <v>5290</v>
      </c>
      <c r="U311" s="213">
        <v>32367</v>
      </c>
      <c r="V311" s="113">
        <v>556.12900000000002</v>
      </c>
      <c r="W311" s="113">
        <f t="shared" si="71"/>
        <v>18000227.343000002</v>
      </c>
      <c r="X311" s="36" t="s">
        <v>452</v>
      </c>
      <c r="AH311" s="20">
        <v>58</v>
      </c>
      <c r="AI311" s="20" t="s">
        <v>4937</v>
      </c>
      <c r="AJ311" s="117">
        <v>100000</v>
      </c>
      <c r="AK311" s="20">
        <v>4</v>
      </c>
      <c r="AL311" s="20">
        <f t="shared" si="77"/>
        <v>401</v>
      </c>
      <c r="AM311" s="20">
        <f t="shared" si="78"/>
        <v>40100000</v>
      </c>
      <c r="AN311" s="20" t="s">
        <v>3887</v>
      </c>
    </row>
    <row r="312" spans="16:40">
      <c r="P312" t="s">
        <v>25</v>
      </c>
      <c r="Q312" s="99" t="s">
        <v>4813</v>
      </c>
      <c r="R312" s="95">
        <v>890000</v>
      </c>
      <c r="T312" s="213" t="s">
        <v>5306</v>
      </c>
      <c r="U312" s="213">
        <v>1254</v>
      </c>
      <c r="V312" s="113">
        <v>558.24400000000003</v>
      </c>
      <c r="W312" s="113">
        <f t="shared" si="71"/>
        <v>700037.97600000002</v>
      </c>
      <c r="X312" s="36" t="s">
        <v>4434</v>
      </c>
      <c r="AH312" s="20">
        <v>59</v>
      </c>
      <c r="AI312" s="20" t="s">
        <v>4946</v>
      </c>
      <c r="AJ312" s="117">
        <v>100000</v>
      </c>
      <c r="AK312" s="20">
        <v>7</v>
      </c>
      <c r="AL312" s="20">
        <f t="shared" si="77"/>
        <v>397</v>
      </c>
      <c r="AM312" s="20">
        <f t="shared" si="78"/>
        <v>39700000</v>
      </c>
      <c r="AN312" s="20"/>
    </row>
    <row r="313" spans="16:40">
      <c r="Q313" s="99" t="s">
        <v>4833</v>
      </c>
      <c r="R313" s="95">
        <v>1000000</v>
      </c>
      <c r="T313" s="168" t="s">
        <v>5306</v>
      </c>
      <c r="U313" s="213">
        <v>-358</v>
      </c>
      <c r="V313" s="113">
        <v>558.24400000000003</v>
      </c>
      <c r="W313" s="113">
        <f t="shared" si="71"/>
        <v>-199851.35200000001</v>
      </c>
      <c r="X313" s="36" t="s">
        <v>749</v>
      </c>
      <c r="AH313" s="20">
        <v>60</v>
      </c>
      <c r="AI313" s="20" t="s">
        <v>4959</v>
      </c>
      <c r="AJ313" s="117">
        <v>50000</v>
      </c>
      <c r="AK313" s="20">
        <v>0</v>
      </c>
      <c r="AL313" s="20">
        <f t="shared" si="77"/>
        <v>390</v>
      </c>
      <c r="AM313" s="20">
        <f t="shared" si="78"/>
        <v>19500000</v>
      </c>
      <c r="AN313" s="20"/>
    </row>
    <row r="314" spans="16:40">
      <c r="Q314" s="99" t="s">
        <v>4834</v>
      </c>
      <c r="R314" s="95">
        <v>45436311</v>
      </c>
      <c r="T314" s="189" t="s">
        <v>5315</v>
      </c>
      <c r="U314" s="189">
        <v>-3326</v>
      </c>
      <c r="V314" s="188">
        <v>601.39300000000003</v>
      </c>
      <c r="W314" s="188">
        <f t="shared" si="71"/>
        <v>-2000233.118</v>
      </c>
      <c r="X314" s="279" t="s">
        <v>5154</v>
      </c>
      <c r="AH314" s="149">
        <v>61</v>
      </c>
      <c r="AI314" s="149" t="s">
        <v>4959</v>
      </c>
      <c r="AJ314" s="188">
        <v>50000</v>
      </c>
      <c r="AK314" s="149">
        <v>3</v>
      </c>
      <c r="AL314" s="149">
        <f t="shared" si="77"/>
        <v>390</v>
      </c>
      <c r="AM314" s="149">
        <f t="shared" si="78"/>
        <v>19500000</v>
      </c>
      <c r="AN314" s="149"/>
    </row>
    <row r="315" spans="16:40">
      <c r="Q315" s="99" t="s">
        <v>4834</v>
      </c>
      <c r="R315" s="95">
        <v>-3500000</v>
      </c>
      <c r="T315" s="189" t="s">
        <v>5318</v>
      </c>
      <c r="U315" s="189">
        <v>3326</v>
      </c>
      <c r="V315" s="188">
        <v>601.39300000000003</v>
      </c>
      <c r="W315" s="188">
        <f t="shared" si="71"/>
        <v>2000233.118</v>
      </c>
      <c r="X315" s="279" t="s">
        <v>5154</v>
      </c>
      <c r="AH315" s="20">
        <v>62</v>
      </c>
      <c r="AI315" s="20" t="s">
        <v>4963</v>
      </c>
      <c r="AJ315" s="117">
        <v>50000</v>
      </c>
      <c r="AK315" s="20">
        <v>0</v>
      </c>
      <c r="AL315" s="20">
        <f t="shared" si="77"/>
        <v>387</v>
      </c>
      <c r="AM315" s="20">
        <f t="shared" si="78"/>
        <v>19350000</v>
      </c>
      <c r="AN315" s="20"/>
    </row>
    <row r="316" spans="16:40">
      <c r="Q316" s="99" t="s">
        <v>4847</v>
      </c>
      <c r="R316" s="95">
        <v>2520000</v>
      </c>
      <c r="T316" s="189" t="s">
        <v>5330</v>
      </c>
      <c r="U316" s="189">
        <v>63259</v>
      </c>
      <c r="V316" s="188">
        <v>632.31960000000004</v>
      </c>
      <c r="W316" s="188">
        <f t="shared" si="71"/>
        <v>39999905.576400004</v>
      </c>
      <c r="X316" s="279" t="s">
        <v>1083</v>
      </c>
      <c r="AH316" s="195">
        <v>63</v>
      </c>
      <c r="AI316" s="195" t="s">
        <v>4963</v>
      </c>
      <c r="AJ316" s="196">
        <v>50000</v>
      </c>
      <c r="AK316" s="195">
        <v>2</v>
      </c>
      <c r="AL316" s="195">
        <f t="shared" si="77"/>
        <v>387</v>
      </c>
      <c r="AM316" s="195">
        <f t="shared" si="78"/>
        <v>19350000</v>
      </c>
      <c r="AN316" s="195"/>
    </row>
    <row r="317" spans="16:40">
      <c r="Q317" s="99" t="s">
        <v>4882</v>
      </c>
      <c r="R317" s="95">
        <v>4900000</v>
      </c>
      <c r="T317" s="19" t="s">
        <v>5335</v>
      </c>
      <c r="U317" s="19">
        <v>-1278</v>
      </c>
      <c r="V317" s="117">
        <v>625.98</v>
      </c>
      <c r="W317" s="117">
        <f t="shared" si="71"/>
        <v>-800002.44000000006</v>
      </c>
      <c r="X317" s="280" t="s">
        <v>5336</v>
      </c>
      <c r="AH317" s="20">
        <v>64</v>
      </c>
      <c r="AI317" s="20" t="s">
        <v>4971</v>
      </c>
      <c r="AJ317" s="117">
        <v>25000</v>
      </c>
      <c r="AK317" s="20">
        <v>0</v>
      </c>
      <c r="AL317" s="20">
        <f t="shared" si="77"/>
        <v>385</v>
      </c>
      <c r="AM317" s="20">
        <f t="shared" si="78"/>
        <v>9625000</v>
      </c>
      <c r="AN317" s="20"/>
    </row>
    <row r="318" spans="16:40">
      <c r="Q318" s="99" t="s">
        <v>4902</v>
      </c>
      <c r="R318" s="95">
        <v>1150000</v>
      </c>
      <c r="T318" s="19" t="s">
        <v>5341</v>
      </c>
      <c r="U318" s="19">
        <v>32049</v>
      </c>
      <c r="V318" s="117">
        <v>624.04600000000005</v>
      </c>
      <c r="W318" s="117">
        <f t="shared" si="71"/>
        <v>20000050.254000001</v>
      </c>
      <c r="X318" s="280" t="s">
        <v>5193</v>
      </c>
      <c r="Y318" t="s">
        <v>25</v>
      </c>
      <c r="AH318" s="149">
        <v>65</v>
      </c>
      <c r="AI318" s="149" t="s">
        <v>4971</v>
      </c>
      <c r="AJ318" s="188">
        <v>35000</v>
      </c>
      <c r="AK318" s="149">
        <v>7</v>
      </c>
      <c r="AL318" s="149">
        <f t="shared" si="77"/>
        <v>385</v>
      </c>
      <c r="AM318" s="149">
        <f t="shared" si="78"/>
        <v>13475000</v>
      </c>
      <c r="AN318" s="149"/>
    </row>
    <row r="319" spans="16:40" ht="30">
      <c r="Q319" s="99" t="s">
        <v>4854</v>
      </c>
      <c r="R319" s="95">
        <v>250000</v>
      </c>
      <c r="T319" s="19" t="s">
        <v>5351</v>
      </c>
      <c r="U319" s="19">
        <v>45094</v>
      </c>
      <c r="V319" s="117">
        <v>614.13559759999998</v>
      </c>
      <c r="W319" s="117">
        <f t="shared" si="71"/>
        <v>27693830.6381744</v>
      </c>
      <c r="X319" s="280" t="s">
        <v>5353</v>
      </c>
      <c r="AH319" s="149">
        <v>66</v>
      </c>
      <c r="AI319" s="149" t="s">
        <v>4979</v>
      </c>
      <c r="AJ319" s="188">
        <v>30000000</v>
      </c>
      <c r="AK319" s="149">
        <v>0</v>
      </c>
      <c r="AL319" s="149">
        <f t="shared" ref="AL319:AL338" si="79">AK319+AL320</f>
        <v>378</v>
      </c>
      <c r="AM319" s="149">
        <f t="shared" ref="AM319:AM338" si="80">AJ319*AL319</f>
        <v>11340000000</v>
      </c>
      <c r="AN319" s="149"/>
    </row>
    <row r="320" spans="16:40" ht="30">
      <c r="Q320" s="99" t="s">
        <v>4943</v>
      </c>
      <c r="R320" s="95">
        <v>1403460</v>
      </c>
      <c r="T320" s="19" t="s">
        <v>5381</v>
      </c>
      <c r="U320" s="19">
        <v>-11804</v>
      </c>
      <c r="V320" s="117">
        <v>762.46640000000002</v>
      </c>
      <c r="W320" s="117">
        <f t="shared" si="71"/>
        <v>-9000153.3856000006</v>
      </c>
      <c r="X320" s="280" t="s">
        <v>5383</v>
      </c>
      <c r="AH320" s="20">
        <v>67</v>
      </c>
      <c r="AI320" s="20" t="s">
        <v>4979</v>
      </c>
      <c r="AJ320" s="117">
        <v>6800000</v>
      </c>
      <c r="AK320" s="20">
        <v>1</v>
      </c>
      <c r="AL320" s="20">
        <f t="shared" si="79"/>
        <v>378</v>
      </c>
      <c r="AM320" s="20">
        <f t="shared" si="80"/>
        <v>2570400000</v>
      </c>
      <c r="AN320" s="20"/>
    </row>
    <row r="321" spans="17:44">
      <c r="Q321" s="99" t="s">
        <v>4946</v>
      </c>
      <c r="R321" s="95">
        <v>200000</v>
      </c>
      <c r="T321" s="19" t="s">
        <v>5426</v>
      </c>
      <c r="U321" s="19">
        <v>844</v>
      </c>
      <c r="V321" s="117">
        <v>830</v>
      </c>
      <c r="W321" s="117">
        <f t="shared" si="71"/>
        <v>700520</v>
      </c>
      <c r="X321" s="280" t="s">
        <v>4434</v>
      </c>
      <c r="AH321" s="20">
        <v>68</v>
      </c>
      <c r="AI321" s="20" t="s">
        <v>4982</v>
      </c>
      <c r="AJ321" s="117">
        <v>500000</v>
      </c>
      <c r="AK321" s="20">
        <v>1</v>
      </c>
      <c r="AL321" s="20">
        <f t="shared" si="79"/>
        <v>377</v>
      </c>
      <c r="AM321" s="20">
        <f t="shared" si="80"/>
        <v>188500000</v>
      </c>
      <c r="AN321" s="20"/>
    </row>
    <row r="322" spans="17:44">
      <c r="Q322" s="99" t="s">
        <v>4951</v>
      </c>
      <c r="R322" s="95">
        <v>345000</v>
      </c>
      <c r="T322" s="19" t="s">
        <v>5430</v>
      </c>
      <c r="U322" s="19">
        <v>8662</v>
      </c>
      <c r="V322" s="117">
        <v>832.57011999999997</v>
      </c>
      <c r="W322" s="117">
        <f t="shared" si="71"/>
        <v>7211722.3794399993</v>
      </c>
      <c r="X322" s="280" t="s">
        <v>5188</v>
      </c>
      <c r="AH322" s="20">
        <v>69</v>
      </c>
      <c r="AI322" s="20" t="s">
        <v>4988</v>
      </c>
      <c r="AJ322" s="117">
        <v>850000</v>
      </c>
      <c r="AK322" s="20">
        <v>5</v>
      </c>
      <c r="AL322" s="20">
        <f t="shared" si="79"/>
        <v>376</v>
      </c>
      <c r="AM322" s="20">
        <f t="shared" si="80"/>
        <v>319600000</v>
      </c>
      <c r="AN322" s="20"/>
    </row>
    <row r="323" spans="17:44" ht="30">
      <c r="Q323" s="99" t="s">
        <v>4956</v>
      </c>
      <c r="R323" s="95">
        <v>900000</v>
      </c>
      <c r="T323" s="19" t="s">
        <v>5431</v>
      </c>
      <c r="U323" s="19">
        <v>10253</v>
      </c>
      <c r="V323" s="117">
        <v>827.2568</v>
      </c>
      <c r="W323" s="117">
        <f t="shared" si="71"/>
        <v>8481863.9704</v>
      </c>
      <c r="X323" s="280" t="s">
        <v>5438</v>
      </c>
      <c r="AH323" s="20">
        <v>70</v>
      </c>
      <c r="AI323" s="20" t="s">
        <v>4997</v>
      </c>
      <c r="AJ323" s="117">
        <v>1130250</v>
      </c>
      <c r="AK323" s="20">
        <v>0</v>
      </c>
      <c r="AL323" s="20">
        <f t="shared" si="79"/>
        <v>371</v>
      </c>
      <c r="AM323" s="20">
        <f t="shared" si="80"/>
        <v>419322750</v>
      </c>
      <c r="AN323" s="20"/>
    </row>
    <row r="324" spans="17:44">
      <c r="Q324" s="99" t="s">
        <v>4959</v>
      </c>
      <c r="R324" s="95">
        <v>372517</v>
      </c>
      <c r="T324" s="246" t="s">
        <v>5439</v>
      </c>
      <c r="U324" s="246">
        <v>-33077</v>
      </c>
      <c r="V324" s="247">
        <v>786.02973999999995</v>
      </c>
      <c r="W324" s="247">
        <f t="shared" si="71"/>
        <v>-25999505.70998</v>
      </c>
      <c r="X324" s="288" t="s">
        <v>5442</v>
      </c>
      <c r="Y324" t="s">
        <v>25</v>
      </c>
      <c r="AH324" s="256">
        <v>71</v>
      </c>
      <c r="AI324" s="256" t="s">
        <v>4997</v>
      </c>
      <c r="AJ324" s="247">
        <v>30000</v>
      </c>
      <c r="AK324" s="256">
        <v>5</v>
      </c>
      <c r="AL324" s="256">
        <f t="shared" si="79"/>
        <v>371</v>
      </c>
      <c r="AM324" s="256">
        <f t="shared" si="80"/>
        <v>11130000</v>
      </c>
      <c r="AN324" s="256"/>
    </row>
    <row r="325" spans="17:44">
      <c r="Q325" s="99" t="s">
        <v>4969</v>
      </c>
      <c r="R325" s="95">
        <v>6489257</v>
      </c>
      <c r="T325" s="19" t="s">
        <v>5439</v>
      </c>
      <c r="U325" s="19">
        <v>-33077</v>
      </c>
      <c r="V325" s="117">
        <v>786.02973999999995</v>
      </c>
      <c r="W325" s="117">
        <f t="shared" si="71"/>
        <v>-25999505.70998</v>
      </c>
      <c r="X325" s="280" t="s">
        <v>5443</v>
      </c>
      <c r="AH325" s="20">
        <v>72</v>
      </c>
      <c r="AI325" s="20" t="s">
        <v>5005</v>
      </c>
      <c r="AJ325" s="117">
        <v>206000</v>
      </c>
      <c r="AK325" s="20">
        <v>0</v>
      </c>
      <c r="AL325" s="20">
        <f t="shared" si="79"/>
        <v>366</v>
      </c>
      <c r="AM325" s="20">
        <f t="shared" si="80"/>
        <v>75396000</v>
      </c>
      <c r="AN325" s="20"/>
    </row>
    <row r="326" spans="17:44">
      <c r="Q326" s="99" t="s">
        <v>5005</v>
      </c>
      <c r="R326" s="95">
        <v>618000</v>
      </c>
      <c r="T326" s="19" t="s">
        <v>5439</v>
      </c>
      <c r="U326" s="19">
        <v>1983</v>
      </c>
      <c r="V326" s="117">
        <v>786.02973999999995</v>
      </c>
      <c r="W326" s="117">
        <f t="shared" si="71"/>
        <v>1558696.9744199999</v>
      </c>
      <c r="X326" s="280" t="s">
        <v>5188</v>
      </c>
      <c r="AH326" s="149">
        <v>73</v>
      </c>
      <c r="AI326" s="149" t="s">
        <v>5005</v>
      </c>
      <c r="AJ326" s="188">
        <v>206000</v>
      </c>
      <c r="AK326" s="149">
        <v>2</v>
      </c>
      <c r="AL326" s="149">
        <f t="shared" si="79"/>
        <v>366</v>
      </c>
      <c r="AM326" s="149">
        <f t="shared" si="80"/>
        <v>75396000</v>
      </c>
      <c r="AN326" s="149"/>
    </row>
    <row r="327" spans="17:44">
      <c r="Q327" s="99" t="s">
        <v>5016</v>
      </c>
      <c r="R327" s="95">
        <v>20105000</v>
      </c>
      <c r="T327" s="246" t="s">
        <v>5444</v>
      </c>
      <c r="U327" s="246">
        <v>-119753</v>
      </c>
      <c r="V327" s="247">
        <v>800.81560000000002</v>
      </c>
      <c r="W327" s="247">
        <f t="shared" si="71"/>
        <v>-95900070.546800002</v>
      </c>
      <c r="X327" s="288" t="s">
        <v>5442</v>
      </c>
      <c r="AH327" s="20">
        <v>74</v>
      </c>
      <c r="AI327" s="20" t="s">
        <v>5012</v>
      </c>
      <c r="AJ327" s="117">
        <v>50000</v>
      </c>
      <c r="AK327" s="20">
        <v>0</v>
      </c>
      <c r="AL327" s="20">
        <f t="shared" si="79"/>
        <v>364</v>
      </c>
      <c r="AM327" s="20">
        <f t="shared" si="80"/>
        <v>18200000</v>
      </c>
      <c r="AN327" s="20"/>
    </row>
    <row r="328" spans="17:44">
      <c r="Q328" s="99" t="s">
        <v>5020</v>
      </c>
      <c r="R328" s="95">
        <v>-21079990</v>
      </c>
      <c r="T328" s="19" t="s">
        <v>5444</v>
      </c>
      <c r="U328" s="19">
        <v>-119753</v>
      </c>
      <c r="V328" s="117">
        <v>800.81560000000002</v>
      </c>
      <c r="W328" s="117">
        <f t="shared" si="71"/>
        <v>-95900070.546800002</v>
      </c>
      <c r="X328" s="280" t="s">
        <v>5443</v>
      </c>
      <c r="AH328" s="256">
        <v>75</v>
      </c>
      <c r="AI328" s="256" t="s">
        <v>5012</v>
      </c>
      <c r="AJ328" s="247">
        <v>50000</v>
      </c>
      <c r="AK328" s="256">
        <v>2</v>
      </c>
      <c r="AL328" s="256">
        <f t="shared" si="79"/>
        <v>364</v>
      </c>
      <c r="AM328" s="256">
        <f t="shared" si="80"/>
        <v>18200000</v>
      </c>
      <c r="AN328" s="256"/>
    </row>
    <row r="329" spans="17:44">
      <c r="Q329" s="99" t="s">
        <v>5021</v>
      </c>
      <c r="R329" s="95">
        <v>-5949277</v>
      </c>
      <c r="T329" s="19" t="s">
        <v>5444</v>
      </c>
      <c r="U329" s="19">
        <v>11291</v>
      </c>
      <c r="V329" s="117">
        <v>800.81560000000002</v>
      </c>
      <c r="W329" s="117">
        <f t="shared" si="71"/>
        <v>9042008.9396000002</v>
      </c>
      <c r="X329" s="280" t="s">
        <v>452</v>
      </c>
      <c r="AH329" s="20">
        <v>76</v>
      </c>
      <c r="AI329" s="20" t="s">
        <v>5016</v>
      </c>
      <c r="AJ329" s="117">
        <v>20000000</v>
      </c>
      <c r="AK329" s="20">
        <v>7</v>
      </c>
      <c r="AL329" s="20">
        <f t="shared" si="79"/>
        <v>362</v>
      </c>
      <c r="AM329" s="20">
        <f t="shared" si="80"/>
        <v>7240000000</v>
      </c>
      <c r="AN329" s="20" t="s">
        <v>5017</v>
      </c>
    </row>
    <row r="330" spans="17:44">
      <c r="Q330" s="99" t="s">
        <v>5027</v>
      </c>
      <c r="R330" s="95">
        <v>-15370656</v>
      </c>
      <c r="T330" s="189" t="s">
        <v>5445</v>
      </c>
      <c r="U330" s="189">
        <v>-35361</v>
      </c>
      <c r="V330" s="188">
        <v>818.697</v>
      </c>
      <c r="W330" s="188">
        <f t="shared" si="71"/>
        <v>-28949944.616999999</v>
      </c>
      <c r="X330" s="279" t="s">
        <v>5442</v>
      </c>
      <c r="AH330" s="20">
        <v>77</v>
      </c>
      <c r="AI330" s="20" t="s">
        <v>5027</v>
      </c>
      <c r="AJ330" s="117">
        <v>50000</v>
      </c>
      <c r="AK330" s="20">
        <v>0</v>
      </c>
      <c r="AL330" s="20">
        <f t="shared" si="79"/>
        <v>355</v>
      </c>
      <c r="AM330" s="20">
        <f t="shared" si="80"/>
        <v>17750000</v>
      </c>
      <c r="AN330" s="20"/>
    </row>
    <row r="331" spans="17:44">
      <c r="Q331" s="99" t="s">
        <v>5033</v>
      </c>
      <c r="R331" s="95">
        <v>4960000</v>
      </c>
      <c r="T331" s="19" t="s">
        <v>5445</v>
      </c>
      <c r="U331" s="19">
        <v>-35361</v>
      </c>
      <c r="V331" s="117">
        <v>818.697</v>
      </c>
      <c r="W331" s="117">
        <f t="shared" si="71"/>
        <v>-28949944.616999999</v>
      </c>
      <c r="X331" s="280" t="s">
        <v>5443</v>
      </c>
      <c r="AH331" s="149">
        <v>78</v>
      </c>
      <c r="AI331" s="149" t="s">
        <v>5027</v>
      </c>
      <c r="AJ331" s="188">
        <v>50000</v>
      </c>
      <c r="AK331" s="149">
        <v>7</v>
      </c>
      <c r="AL331" s="149">
        <f t="shared" si="79"/>
        <v>355</v>
      </c>
      <c r="AM331" s="149">
        <f t="shared" si="80"/>
        <v>17750000</v>
      </c>
      <c r="AN331" s="149"/>
    </row>
    <row r="332" spans="17:44">
      <c r="Q332" s="99" t="s">
        <v>5033</v>
      </c>
      <c r="R332" s="95">
        <v>10000000</v>
      </c>
      <c r="T332" s="19" t="s">
        <v>5445</v>
      </c>
      <c r="U332" s="19">
        <v>116</v>
      </c>
      <c r="V332" s="117">
        <v>818.697</v>
      </c>
      <c r="W332" s="117">
        <f t="shared" si="71"/>
        <v>94968.851999999999</v>
      </c>
      <c r="X332" s="280" t="s">
        <v>5188</v>
      </c>
      <c r="Z332" t="s">
        <v>25</v>
      </c>
      <c r="AH332" s="20">
        <v>79</v>
      </c>
      <c r="AI332" s="20" t="s">
        <v>5033</v>
      </c>
      <c r="AJ332" s="117">
        <v>2480000</v>
      </c>
      <c r="AK332" s="20">
        <v>0</v>
      </c>
      <c r="AL332" s="20">
        <f t="shared" si="79"/>
        <v>348</v>
      </c>
      <c r="AM332" s="20">
        <f t="shared" si="80"/>
        <v>863040000</v>
      </c>
      <c r="AN332" s="20"/>
      <c r="AR332" t="s">
        <v>25</v>
      </c>
    </row>
    <row r="333" spans="17:44">
      <c r="Q333" s="99" t="s">
        <v>5040</v>
      </c>
      <c r="R333" s="95">
        <v>-40570100</v>
      </c>
      <c r="T333" s="19" t="s">
        <v>5451</v>
      </c>
      <c r="U333" s="19">
        <v>48633</v>
      </c>
      <c r="V333" s="117">
        <v>822.47199999999998</v>
      </c>
      <c r="W333" s="117">
        <f t="shared" si="71"/>
        <v>39999280.776000001</v>
      </c>
      <c r="X333" s="280" t="s">
        <v>5455</v>
      </c>
      <c r="AH333" s="149">
        <v>80</v>
      </c>
      <c r="AI333" s="149" t="s">
        <v>5033</v>
      </c>
      <c r="AJ333" s="188">
        <v>2480000</v>
      </c>
      <c r="AK333" s="149">
        <v>12</v>
      </c>
      <c r="AL333" s="149">
        <f t="shared" si="79"/>
        <v>348</v>
      </c>
      <c r="AM333" s="149">
        <f t="shared" si="80"/>
        <v>863040000</v>
      </c>
      <c r="AN333" s="149"/>
    </row>
    <row r="334" spans="17:44">
      <c r="Q334" s="99" t="s">
        <v>5049</v>
      </c>
      <c r="R334" s="95">
        <v>1000000</v>
      </c>
      <c r="T334" s="19" t="s">
        <v>5451</v>
      </c>
      <c r="U334" s="19">
        <v>3412</v>
      </c>
      <c r="V334" s="117">
        <v>822.47199999999998</v>
      </c>
      <c r="W334" s="117">
        <f t="shared" si="71"/>
        <v>2806274.4640000002</v>
      </c>
      <c r="X334" s="280" t="s">
        <v>5457</v>
      </c>
      <c r="AH334" s="20">
        <v>81</v>
      </c>
      <c r="AI334" s="20" t="s">
        <v>5040</v>
      </c>
      <c r="AJ334" s="117">
        <v>-24159500</v>
      </c>
      <c r="AK334" s="20">
        <v>4</v>
      </c>
      <c r="AL334" s="20">
        <f t="shared" si="79"/>
        <v>336</v>
      </c>
      <c r="AM334" s="20">
        <f t="shared" si="80"/>
        <v>-8117592000</v>
      </c>
      <c r="AN334" s="20" t="s">
        <v>5048</v>
      </c>
    </row>
    <row r="335" spans="17:44">
      <c r="Q335" s="99" t="s">
        <v>5050</v>
      </c>
      <c r="R335" s="95">
        <v>400000</v>
      </c>
      <c r="T335" s="19" t="s">
        <v>5452</v>
      </c>
      <c r="U335" s="19">
        <v>1531</v>
      </c>
      <c r="V335" s="117">
        <v>869.82500000000005</v>
      </c>
      <c r="W335" s="117">
        <f t="shared" si="71"/>
        <v>1331702.075</v>
      </c>
      <c r="X335" s="280" t="s">
        <v>5458</v>
      </c>
      <c r="AH335" s="20">
        <v>82</v>
      </c>
      <c r="AI335" s="20" t="s">
        <v>5050</v>
      </c>
      <c r="AJ335" s="117">
        <v>400000</v>
      </c>
      <c r="AK335" s="20">
        <v>3</v>
      </c>
      <c r="AL335" s="20">
        <f t="shared" si="79"/>
        <v>332</v>
      </c>
      <c r="AM335" s="20">
        <f t="shared" si="80"/>
        <v>132800000</v>
      </c>
      <c r="AN335" s="20"/>
    </row>
    <row r="336" spans="17:44">
      <c r="Q336" s="99" t="s">
        <v>5057</v>
      </c>
      <c r="R336" s="95">
        <v>120000</v>
      </c>
      <c r="T336" s="172" t="s">
        <v>5461</v>
      </c>
      <c r="U336" s="172">
        <v>2394</v>
      </c>
      <c r="V336" s="170">
        <v>835.36580000000004</v>
      </c>
      <c r="W336" s="170">
        <f t="shared" si="71"/>
        <v>1999865.7252</v>
      </c>
      <c r="X336" s="289" t="s">
        <v>5463</v>
      </c>
      <c r="Y336" t="s">
        <v>25</v>
      </c>
      <c r="AA336" t="s">
        <v>25</v>
      </c>
      <c r="AH336" s="149">
        <v>83</v>
      </c>
      <c r="AI336" s="149" t="s">
        <v>5057</v>
      </c>
      <c r="AJ336" s="188">
        <v>40000</v>
      </c>
      <c r="AK336" s="149">
        <v>0</v>
      </c>
      <c r="AL336" s="149">
        <f t="shared" si="79"/>
        <v>329</v>
      </c>
      <c r="AM336" s="149">
        <f t="shared" si="80"/>
        <v>13160000</v>
      </c>
      <c r="AN336" s="149"/>
      <c r="AR336" t="s">
        <v>25</v>
      </c>
    </row>
    <row r="337" spans="17:46">
      <c r="Q337" s="99" t="s">
        <v>5074</v>
      </c>
      <c r="R337" s="95">
        <v>500000</v>
      </c>
      <c r="T337" s="19" t="s">
        <v>5461</v>
      </c>
      <c r="U337" s="19">
        <v>1019</v>
      </c>
      <c r="V337" s="117">
        <v>835.36580000000004</v>
      </c>
      <c r="W337" s="117">
        <f t="shared" si="71"/>
        <v>851237.75020000001</v>
      </c>
      <c r="X337" s="280" t="s">
        <v>452</v>
      </c>
      <c r="AH337" s="20">
        <v>84</v>
      </c>
      <c r="AI337" s="20" t="s">
        <v>5057</v>
      </c>
      <c r="AJ337" s="117">
        <v>40000</v>
      </c>
      <c r="AK337" s="20">
        <v>5</v>
      </c>
      <c r="AL337" s="20">
        <f t="shared" si="79"/>
        <v>329</v>
      </c>
      <c r="AM337" s="20">
        <f t="shared" si="80"/>
        <v>13160000</v>
      </c>
      <c r="AN337" s="20"/>
      <c r="AS337" t="s">
        <v>25</v>
      </c>
    </row>
    <row r="338" spans="17:46">
      <c r="Q338" s="99" t="s">
        <v>5062</v>
      </c>
      <c r="R338" s="95">
        <v>744000</v>
      </c>
      <c r="S338" s="114"/>
      <c r="T338" s="189" t="s">
        <v>5467</v>
      </c>
      <c r="U338" s="189">
        <v>2316</v>
      </c>
      <c r="V338" s="188">
        <v>818.697</v>
      </c>
      <c r="W338" s="188">
        <f t="shared" si="71"/>
        <v>1896102.2520000001</v>
      </c>
      <c r="X338" s="279" t="s">
        <v>5470</v>
      </c>
      <c r="Y338" t="s">
        <v>25</v>
      </c>
      <c r="AH338" s="20">
        <v>85</v>
      </c>
      <c r="AI338" s="20" t="s">
        <v>5068</v>
      </c>
      <c r="AJ338" s="117">
        <v>200000</v>
      </c>
      <c r="AK338" s="20">
        <v>1</v>
      </c>
      <c r="AL338" s="20">
        <f t="shared" si="79"/>
        <v>324</v>
      </c>
      <c r="AM338" s="20">
        <f t="shared" si="80"/>
        <v>64800000</v>
      </c>
      <c r="AN338" s="20"/>
      <c r="AR338" t="s">
        <v>25</v>
      </c>
      <c r="AT338" s="96" t="s">
        <v>25</v>
      </c>
    </row>
    <row r="339" spans="17:46">
      <c r="Q339" s="99" t="s">
        <v>5090</v>
      </c>
      <c r="R339" s="95">
        <v>65000</v>
      </c>
      <c r="T339" s="19" t="s">
        <v>5476</v>
      </c>
      <c r="U339" s="19">
        <v>315</v>
      </c>
      <c r="V339" s="117">
        <v>680</v>
      </c>
      <c r="W339" s="117">
        <f t="shared" si="71"/>
        <v>214200</v>
      </c>
      <c r="X339" s="280" t="s">
        <v>5188</v>
      </c>
      <c r="Z339" t="s">
        <v>25</v>
      </c>
      <c r="AH339" s="20">
        <v>86</v>
      </c>
      <c r="AI339" s="20" t="s">
        <v>5072</v>
      </c>
      <c r="AJ339" s="117">
        <v>500000</v>
      </c>
      <c r="AK339" s="20">
        <v>2</v>
      </c>
      <c r="AL339" s="20">
        <f t="shared" ref="AL339:AL368" si="81">AK339+AL340</f>
        <v>323</v>
      </c>
      <c r="AM339" s="20">
        <f t="shared" ref="AM339:AM368" si="82">AJ339*AL339</f>
        <v>161500000</v>
      </c>
      <c r="AN339" s="20"/>
      <c r="AS339" t="s">
        <v>25</v>
      </c>
    </row>
    <row r="340" spans="17:46">
      <c r="Q340" s="99" t="s">
        <v>5096</v>
      </c>
      <c r="R340" s="95">
        <v>-14053702</v>
      </c>
      <c r="T340" s="19" t="s">
        <v>5503</v>
      </c>
      <c r="U340" s="19">
        <v>832</v>
      </c>
      <c r="V340" s="117">
        <v>784.36500000000001</v>
      </c>
      <c r="W340" s="117">
        <f t="shared" si="71"/>
        <v>652591.68000000005</v>
      </c>
      <c r="X340" s="280" t="s">
        <v>5188</v>
      </c>
      <c r="AH340" s="20">
        <v>87</v>
      </c>
      <c r="AI340" s="20" t="s">
        <v>5074</v>
      </c>
      <c r="AJ340" s="117">
        <v>500000</v>
      </c>
      <c r="AK340" s="20">
        <v>3</v>
      </c>
      <c r="AL340" s="20">
        <f t="shared" si="81"/>
        <v>321</v>
      </c>
      <c r="AM340" s="20">
        <f t="shared" si="82"/>
        <v>160500000</v>
      </c>
      <c r="AN340" s="20"/>
    </row>
    <row r="341" spans="17:46">
      <c r="Q341" s="99" t="s">
        <v>5063</v>
      </c>
      <c r="R341" s="95">
        <v>3555678</v>
      </c>
      <c r="T341" s="19" t="s">
        <v>5576</v>
      </c>
      <c r="U341" s="19">
        <v>382</v>
      </c>
      <c r="V341" s="117">
        <v>1450.6065000000001</v>
      </c>
      <c r="W341" s="117">
        <f t="shared" si="71"/>
        <v>554131.68300000008</v>
      </c>
      <c r="X341" s="280" t="s">
        <v>5188</v>
      </c>
      <c r="AH341" s="20">
        <v>88</v>
      </c>
      <c r="AI341" s="20" t="s">
        <v>5062</v>
      </c>
      <c r="AJ341" s="117">
        <v>250000</v>
      </c>
      <c r="AK341" s="20">
        <v>0</v>
      </c>
      <c r="AL341" s="20">
        <f t="shared" si="81"/>
        <v>318</v>
      </c>
      <c r="AM341" s="20">
        <f t="shared" si="82"/>
        <v>79500000</v>
      </c>
      <c r="AN341" s="20"/>
    </row>
    <row r="342" spans="17:46">
      <c r="Q342" s="99" t="s">
        <v>5132</v>
      </c>
      <c r="R342" s="95">
        <v>3495</v>
      </c>
      <c r="T342" s="19" t="s">
        <v>5577</v>
      </c>
      <c r="U342" s="19">
        <v>50047</v>
      </c>
      <c r="V342" s="117">
        <v>1406.14</v>
      </c>
      <c r="W342" s="117">
        <f t="shared" si="71"/>
        <v>70373088.579999998</v>
      </c>
      <c r="X342" s="280" t="s">
        <v>5188</v>
      </c>
      <c r="Y342" t="s">
        <v>25</v>
      </c>
      <c r="AA342" t="s">
        <v>25</v>
      </c>
      <c r="AH342" s="256">
        <v>89</v>
      </c>
      <c r="AI342" s="256" t="s">
        <v>5062</v>
      </c>
      <c r="AJ342" s="247">
        <v>245000</v>
      </c>
      <c r="AK342" s="256">
        <v>16</v>
      </c>
      <c r="AL342" s="256">
        <f t="shared" si="81"/>
        <v>318</v>
      </c>
      <c r="AM342" s="256">
        <f t="shared" si="82"/>
        <v>77910000</v>
      </c>
      <c r="AN342" s="256"/>
    </row>
    <row r="343" spans="17:46">
      <c r="Q343" s="99" t="s">
        <v>5138</v>
      </c>
      <c r="R343" s="95">
        <v>6000000</v>
      </c>
      <c r="T343" s="19" t="s">
        <v>5581</v>
      </c>
      <c r="U343" s="19">
        <v>846</v>
      </c>
      <c r="V343" s="117">
        <v>1441.6724569999999</v>
      </c>
      <c r="W343" s="117">
        <f t="shared" si="71"/>
        <v>1219654.8986219999</v>
      </c>
      <c r="X343" s="280" t="s">
        <v>5188</v>
      </c>
      <c r="AH343" s="20">
        <v>90</v>
      </c>
      <c r="AI343" s="20" t="s">
        <v>5100</v>
      </c>
      <c r="AJ343" s="117">
        <v>312598</v>
      </c>
      <c r="AK343" s="20">
        <v>0</v>
      </c>
      <c r="AL343" s="20">
        <f t="shared" si="81"/>
        <v>302</v>
      </c>
      <c r="AM343" s="20">
        <f t="shared" si="82"/>
        <v>94404596</v>
      </c>
      <c r="AN343" s="20"/>
    </row>
    <row r="344" spans="17:46">
      <c r="Q344" s="99" t="s">
        <v>5141</v>
      </c>
      <c r="R344" s="95">
        <v>17220</v>
      </c>
      <c r="T344" s="19" t="s">
        <v>5582</v>
      </c>
      <c r="U344" s="19">
        <v>10573</v>
      </c>
      <c r="V344" s="117">
        <v>1451.825</v>
      </c>
      <c r="W344" s="117">
        <f t="shared" si="71"/>
        <v>15350145.725</v>
      </c>
      <c r="X344" s="280" t="s">
        <v>5188</v>
      </c>
      <c r="AH344" s="20">
        <v>91</v>
      </c>
      <c r="AI344" s="20" t="s">
        <v>5100</v>
      </c>
      <c r="AJ344" s="117">
        <v>780000</v>
      </c>
      <c r="AK344" s="20">
        <v>0</v>
      </c>
      <c r="AL344" s="20">
        <f t="shared" si="81"/>
        <v>302</v>
      </c>
      <c r="AM344" s="20">
        <f t="shared" si="82"/>
        <v>235560000</v>
      </c>
      <c r="AN344" s="20"/>
    </row>
    <row r="345" spans="17:46" ht="30">
      <c r="Q345" s="99" t="s">
        <v>5142</v>
      </c>
      <c r="R345" s="95">
        <v>8249</v>
      </c>
      <c r="T345" s="19" t="s">
        <v>5584</v>
      </c>
      <c r="U345" s="19">
        <v>85</v>
      </c>
      <c r="V345" s="117">
        <v>1423.74</v>
      </c>
      <c r="W345" s="117">
        <f t="shared" si="71"/>
        <v>121017.9</v>
      </c>
      <c r="X345" s="280" t="s">
        <v>5586</v>
      </c>
      <c r="AH345" s="195">
        <v>92</v>
      </c>
      <c r="AI345" s="195" t="s">
        <v>5100</v>
      </c>
      <c r="AJ345" s="196">
        <v>-300000</v>
      </c>
      <c r="AK345" s="195">
        <v>1</v>
      </c>
      <c r="AL345" s="195">
        <f t="shared" si="81"/>
        <v>302</v>
      </c>
      <c r="AM345" s="195">
        <f t="shared" si="82"/>
        <v>-90600000</v>
      </c>
      <c r="AN345" s="195"/>
    </row>
    <row r="346" spans="17:46" ht="30">
      <c r="Q346" s="99" t="s">
        <v>5144</v>
      </c>
      <c r="R346" s="95">
        <v>6937</v>
      </c>
      <c r="T346" s="19" t="s">
        <v>5589</v>
      </c>
      <c r="U346" s="19">
        <v>738</v>
      </c>
      <c r="V346" s="117">
        <v>1388.87895</v>
      </c>
      <c r="W346" s="117">
        <f t="shared" si="71"/>
        <v>1024992.6651</v>
      </c>
      <c r="X346" s="280" t="s">
        <v>5605</v>
      </c>
      <c r="AA346" t="s">
        <v>25</v>
      </c>
      <c r="AH346" s="20">
        <v>93</v>
      </c>
      <c r="AI346" s="20" t="s">
        <v>5063</v>
      </c>
      <c r="AJ346" s="117">
        <v>300000</v>
      </c>
      <c r="AK346" s="20">
        <v>0</v>
      </c>
      <c r="AL346" s="20">
        <f t="shared" si="81"/>
        <v>301</v>
      </c>
      <c r="AM346" s="20">
        <f t="shared" si="82"/>
        <v>90300000</v>
      </c>
      <c r="AN346" s="20"/>
    </row>
    <row r="347" spans="17:46">
      <c r="Q347" s="99" t="s">
        <v>5144</v>
      </c>
      <c r="R347" s="95">
        <v>4046552</v>
      </c>
      <c r="S347" t="s">
        <v>25</v>
      </c>
      <c r="T347" s="19" t="s">
        <v>5613</v>
      </c>
      <c r="U347" s="19">
        <v>1442</v>
      </c>
      <c r="V347" s="117">
        <v>1350.9547279999999</v>
      </c>
      <c r="W347" s="117">
        <f t="shared" si="71"/>
        <v>1948076.7177759998</v>
      </c>
      <c r="X347" s="280" t="s">
        <v>5188</v>
      </c>
      <c r="Y347" t="s">
        <v>25</v>
      </c>
      <c r="AH347" s="20">
        <v>94</v>
      </c>
      <c r="AI347" s="20" t="s">
        <v>5063</v>
      </c>
      <c r="AJ347" s="117">
        <v>8660000</v>
      </c>
      <c r="AK347" s="20">
        <v>8</v>
      </c>
      <c r="AL347" s="20">
        <f t="shared" si="81"/>
        <v>301</v>
      </c>
      <c r="AM347" s="20">
        <f t="shared" si="82"/>
        <v>2606660000</v>
      </c>
      <c r="AN347" s="20"/>
    </row>
    <row r="348" spans="17:46">
      <c r="Q348" s="99" t="s">
        <v>5147</v>
      </c>
      <c r="R348" s="95">
        <v>-3884943</v>
      </c>
      <c r="T348" s="19" t="s">
        <v>5614</v>
      </c>
      <c r="U348" s="19">
        <v>36847</v>
      </c>
      <c r="V348" s="117">
        <v>1356.9658300000001</v>
      </c>
      <c r="W348" s="117">
        <f t="shared" si="71"/>
        <v>50000119.938010007</v>
      </c>
      <c r="X348" s="280" t="s">
        <v>5193</v>
      </c>
      <c r="Y348" t="s">
        <v>25</v>
      </c>
      <c r="Z348" t="s">
        <v>25</v>
      </c>
      <c r="AH348" s="149">
        <v>95</v>
      </c>
      <c r="AI348" s="149" t="s">
        <v>5117</v>
      </c>
      <c r="AJ348" s="188">
        <v>200000</v>
      </c>
      <c r="AK348" s="149">
        <v>3</v>
      </c>
      <c r="AL348" s="149">
        <f t="shared" si="81"/>
        <v>293</v>
      </c>
      <c r="AM348" s="149">
        <f t="shared" si="82"/>
        <v>58600000</v>
      </c>
      <c r="AN348" s="149"/>
    </row>
    <row r="349" spans="17:46" ht="30">
      <c r="Q349" s="99" t="s">
        <v>5156</v>
      </c>
      <c r="R349" s="95">
        <v>6022</v>
      </c>
      <c r="T349" s="19" t="s">
        <v>5615</v>
      </c>
      <c r="U349" s="19">
        <v>13738</v>
      </c>
      <c r="V349" s="117">
        <v>1455.82</v>
      </c>
      <c r="W349" s="117">
        <f t="shared" si="71"/>
        <v>20000055.16</v>
      </c>
      <c r="X349" s="280" t="s">
        <v>5642</v>
      </c>
      <c r="AH349" s="149">
        <v>96</v>
      </c>
      <c r="AI349" s="149" t="s">
        <v>5120</v>
      </c>
      <c r="AJ349" s="188">
        <v>20000</v>
      </c>
      <c r="AK349" s="149">
        <v>1</v>
      </c>
      <c r="AL349" s="149">
        <f t="shared" si="81"/>
        <v>290</v>
      </c>
      <c r="AM349" s="149">
        <f t="shared" si="82"/>
        <v>5800000</v>
      </c>
      <c r="AN349" s="149"/>
    </row>
    <row r="350" spans="17:46">
      <c r="Q350" s="99" t="s">
        <v>5183</v>
      </c>
      <c r="R350" s="95">
        <v>400000</v>
      </c>
      <c r="T350" s="19" t="s">
        <v>5657</v>
      </c>
      <c r="U350" s="19">
        <v>3100</v>
      </c>
      <c r="V350" s="117">
        <v>1853.4507470000001</v>
      </c>
      <c r="W350" s="117">
        <f t="shared" si="71"/>
        <v>5745697.3157000002</v>
      </c>
      <c r="X350" s="280" t="s">
        <v>5188</v>
      </c>
      <c r="AH350" s="20">
        <v>97</v>
      </c>
      <c r="AI350" s="20" t="s">
        <v>5130</v>
      </c>
      <c r="AJ350" s="117">
        <v>14340000</v>
      </c>
      <c r="AK350" s="20">
        <v>7</v>
      </c>
      <c r="AL350" s="20">
        <f t="shared" si="81"/>
        <v>289</v>
      </c>
      <c r="AM350" s="20">
        <f t="shared" si="82"/>
        <v>4144260000</v>
      </c>
      <c r="AN350" s="20"/>
    </row>
    <row r="351" spans="17:46">
      <c r="Q351" s="99" t="s">
        <v>5187</v>
      </c>
      <c r="R351" s="95">
        <v>92847</v>
      </c>
      <c r="T351" s="19" t="s">
        <v>5658</v>
      </c>
      <c r="U351" s="19">
        <v>480</v>
      </c>
      <c r="V351" s="117">
        <v>1891.9962069999999</v>
      </c>
      <c r="W351" s="117">
        <f t="shared" si="71"/>
        <v>908158.17935999995</v>
      </c>
      <c r="X351" s="280" t="s">
        <v>5188</v>
      </c>
      <c r="AH351" s="20">
        <v>98</v>
      </c>
      <c r="AI351" s="20" t="s">
        <v>5138</v>
      </c>
      <c r="AJ351" s="117">
        <v>10000000</v>
      </c>
      <c r="AK351" s="20">
        <v>6</v>
      </c>
      <c r="AL351" s="20">
        <f t="shared" si="81"/>
        <v>282</v>
      </c>
      <c r="AM351" s="20">
        <f t="shared" si="82"/>
        <v>2820000000</v>
      </c>
      <c r="AN351" s="20" t="s">
        <v>4723</v>
      </c>
    </row>
    <row r="352" spans="17:46">
      <c r="Q352" s="99" t="s">
        <v>5187</v>
      </c>
      <c r="R352" s="95">
        <v>-100000</v>
      </c>
      <c r="T352" s="19" t="s">
        <v>5660</v>
      </c>
      <c r="U352" s="19">
        <v>6522</v>
      </c>
      <c r="V352" s="117">
        <v>1938.4694340000001</v>
      </c>
      <c r="W352" s="117">
        <f t="shared" si="71"/>
        <v>12642697.648548001</v>
      </c>
      <c r="X352" s="280" t="s">
        <v>5188</v>
      </c>
      <c r="AH352" s="20">
        <v>99</v>
      </c>
      <c r="AI352" s="20" t="s">
        <v>5144</v>
      </c>
      <c r="AJ352" s="117">
        <v>4033949</v>
      </c>
      <c r="AK352" s="20">
        <v>2</v>
      </c>
      <c r="AL352" s="20">
        <f t="shared" si="81"/>
        <v>276</v>
      </c>
      <c r="AM352" s="20">
        <f t="shared" si="82"/>
        <v>1113369924</v>
      </c>
      <c r="AN352" s="20" t="s">
        <v>5146</v>
      </c>
    </row>
    <row r="353" spans="17:45">
      <c r="Q353" s="99" t="s">
        <v>5191</v>
      </c>
      <c r="R353" s="95">
        <v>10000000</v>
      </c>
      <c r="T353" s="19" t="s">
        <v>5662</v>
      </c>
      <c r="U353" s="19">
        <v>6197</v>
      </c>
      <c r="V353" s="117">
        <v>1984.3985499999999</v>
      </c>
      <c r="W353" s="117">
        <f t="shared" si="71"/>
        <v>12297317.81435</v>
      </c>
      <c r="X353" s="280" t="s">
        <v>5188</v>
      </c>
      <c r="AH353" s="149">
        <v>100</v>
      </c>
      <c r="AI353" s="149" t="s">
        <v>5150</v>
      </c>
      <c r="AJ353" s="188">
        <v>11500000</v>
      </c>
      <c r="AK353" s="149">
        <v>2</v>
      </c>
      <c r="AL353" s="149">
        <f t="shared" si="81"/>
        <v>274</v>
      </c>
      <c r="AM353" s="149">
        <f t="shared" si="82"/>
        <v>3151000000</v>
      </c>
      <c r="AN353" s="149" t="s">
        <v>5152</v>
      </c>
    </row>
    <row r="354" spans="17:45">
      <c r="Q354" s="99" t="s">
        <v>5196</v>
      </c>
      <c r="R354" s="95">
        <v>-400000</v>
      </c>
      <c r="T354" s="19" t="s">
        <v>5663</v>
      </c>
      <c r="U354" s="19">
        <v>4646</v>
      </c>
      <c r="V354" s="117">
        <v>1928.464023</v>
      </c>
      <c r="W354" s="117">
        <f t="shared" si="71"/>
        <v>8959643.8508579992</v>
      </c>
      <c r="X354" s="280" t="s">
        <v>5188</v>
      </c>
      <c r="AH354" s="149">
        <v>101</v>
      </c>
      <c r="AI354" s="149" t="s">
        <v>5156</v>
      </c>
      <c r="AJ354" s="188">
        <v>250000</v>
      </c>
      <c r="AK354" s="149">
        <v>3</v>
      </c>
      <c r="AL354" s="149">
        <f t="shared" si="81"/>
        <v>272</v>
      </c>
      <c r="AM354" s="149">
        <f t="shared" si="82"/>
        <v>68000000</v>
      </c>
      <c r="AN354" s="149"/>
    </row>
    <row r="355" spans="17:45">
      <c r="Q355" s="99" t="s">
        <v>5200</v>
      </c>
      <c r="R355" s="95">
        <v>5649</v>
      </c>
      <c r="T355" s="19" t="s">
        <v>5666</v>
      </c>
      <c r="U355" s="19">
        <v>7668</v>
      </c>
      <c r="V355" s="117">
        <v>1976.2774959999999</v>
      </c>
      <c r="W355" s="117">
        <f t="shared" si="71"/>
        <v>15154095.839328</v>
      </c>
      <c r="X355" s="280" t="s">
        <v>5188</v>
      </c>
      <c r="AH355" s="149">
        <v>102</v>
      </c>
      <c r="AI355" s="149" t="s">
        <v>5181</v>
      </c>
      <c r="AJ355" s="188">
        <v>6000000</v>
      </c>
      <c r="AK355" s="149">
        <v>1</v>
      </c>
      <c r="AL355" s="149">
        <f t="shared" si="81"/>
        <v>269</v>
      </c>
      <c r="AM355" s="149">
        <f t="shared" si="82"/>
        <v>1614000000</v>
      </c>
      <c r="AN355" s="149" t="s">
        <v>5152</v>
      </c>
    </row>
    <row r="356" spans="17:45" ht="30">
      <c r="Q356" s="99" t="s">
        <v>5202</v>
      </c>
      <c r="R356" s="95">
        <v>460000</v>
      </c>
      <c r="T356" s="19" t="s">
        <v>5685</v>
      </c>
      <c r="U356" s="19">
        <v>-40530</v>
      </c>
      <c r="V356" s="117">
        <v>2146.5548840000001</v>
      </c>
      <c r="W356" s="117">
        <f t="shared" si="71"/>
        <v>-86999869.448520005</v>
      </c>
      <c r="X356" s="280" t="s">
        <v>5686</v>
      </c>
      <c r="Y356" t="s">
        <v>25</v>
      </c>
      <c r="AH356" s="149">
        <v>103</v>
      </c>
      <c r="AI356" s="149" t="s">
        <v>5183</v>
      </c>
      <c r="AJ356" s="188">
        <v>1500000</v>
      </c>
      <c r="AK356" s="149">
        <v>6</v>
      </c>
      <c r="AL356" s="149">
        <f t="shared" si="81"/>
        <v>268</v>
      </c>
      <c r="AM356" s="149">
        <f t="shared" si="82"/>
        <v>402000000</v>
      </c>
      <c r="AN356" s="149" t="s">
        <v>5152</v>
      </c>
    </row>
    <row r="357" spans="17:45">
      <c r="Q357" s="99" t="s">
        <v>5203</v>
      </c>
      <c r="R357" s="95">
        <v>1300000</v>
      </c>
      <c r="T357" s="19"/>
      <c r="U357" s="19"/>
      <c r="V357" s="117"/>
      <c r="W357" s="117"/>
      <c r="X357" s="280"/>
      <c r="Y357" t="s">
        <v>25</v>
      </c>
      <c r="AH357" s="20">
        <v>104</v>
      </c>
      <c r="AI357" s="20" t="s">
        <v>972</v>
      </c>
      <c r="AJ357" s="117">
        <v>-3960043</v>
      </c>
      <c r="AK357" s="20">
        <v>2</v>
      </c>
      <c r="AL357" s="20">
        <f t="shared" si="81"/>
        <v>262</v>
      </c>
      <c r="AM357" s="20">
        <f t="shared" si="82"/>
        <v>-1037531266</v>
      </c>
      <c r="AN357" s="20"/>
    </row>
    <row r="358" spans="17:45">
      <c r="Q358" s="99" t="s">
        <v>5203</v>
      </c>
      <c r="R358" s="95">
        <v>7300000</v>
      </c>
      <c r="T358" s="19"/>
      <c r="U358" s="19"/>
      <c r="V358" s="117"/>
      <c r="W358" s="117"/>
      <c r="X358" s="280"/>
      <c r="AH358" s="20">
        <v>105</v>
      </c>
      <c r="AI358" s="20" t="s">
        <v>5202</v>
      </c>
      <c r="AJ358" s="117">
        <v>230000</v>
      </c>
      <c r="AK358" s="20">
        <v>0</v>
      </c>
      <c r="AL358" s="20">
        <f t="shared" si="81"/>
        <v>260</v>
      </c>
      <c r="AM358" s="20">
        <f t="shared" si="82"/>
        <v>59800000</v>
      </c>
      <c r="AN358" s="20"/>
      <c r="AS358" t="s">
        <v>25</v>
      </c>
    </row>
    <row r="359" spans="17:45">
      <c r="Q359" s="99" t="s">
        <v>989</v>
      </c>
      <c r="R359" s="95">
        <v>21203</v>
      </c>
      <c r="T359" s="19"/>
      <c r="U359" s="19"/>
      <c r="V359" s="117"/>
      <c r="W359" s="117"/>
      <c r="X359" s="280"/>
      <c r="Y359" t="s">
        <v>25</v>
      </c>
      <c r="Z359" t="s">
        <v>25</v>
      </c>
      <c r="AA359" t="s">
        <v>25</v>
      </c>
      <c r="AH359" s="149">
        <v>106</v>
      </c>
      <c r="AI359" s="149" t="s">
        <v>5202</v>
      </c>
      <c r="AJ359" s="188">
        <v>230000</v>
      </c>
      <c r="AK359" s="149">
        <v>1</v>
      </c>
      <c r="AL359" s="149">
        <f t="shared" si="81"/>
        <v>260</v>
      </c>
      <c r="AM359" s="149">
        <f t="shared" si="82"/>
        <v>59800000</v>
      </c>
      <c r="AN359" s="149"/>
    </row>
    <row r="360" spans="17:45">
      <c r="Q360" s="99" t="s">
        <v>4270</v>
      </c>
      <c r="R360" s="95">
        <v>34550</v>
      </c>
      <c r="T360" s="19"/>
      <c r="U360" s="19"/>
      <c r="V360" s="117"/>
      <c r="W360" s="117"/>
      <c r="X360" s="280"/>
      <c r="Y360" t="s">
        <v>25</v>
      </c>
      <c r="AH360" s="149">
        <v>107</v>
      </c>
      <c r="AI360" s="149" t="s">
        <v>5203</v>
      </c>
      <c r="AJ360" s="188">
        <v>500000</v>
      </c>
      <c r="AK360" s="149">
        <v>1</v>
      </c>
      <c r="AL360" s="149">
        <f t="shared" si="81"/>
        <v>259</v>
      </c>
      <c r="AM360" s="149">
        <f t="shared" si="82"/>
        <v>129500000</v>
      </c>
      <c r="AN360" s="149"/>
    </row>
    <row r="361" spans="17:45">
      <c r="Q361" s="99" t="s">
        <v>5201</v>
      </c>
      <c r="R361" s="95">
        <v>-2134406</v>
      </c>
      <c r="T361" s="19"/>
      <c r="U361" s="19"/>
      <c r="V361" s="117"/>
      <c r="W361" s="117"/>
      <c r="X361" s="280"/>
      <c r="Y361" t="s">
        <v>25</v>
      </c>
      <c r="AH361" s="20">
        <v>108</v>
      </c>
      <c r="AI361" s="20" t="s">
        <v>5206</v>
      </c>
      <c r="AJ361" s="117">
        <v>-880000</v>
      </c>
      <c r="AK361" s="20">
        <v>4</v>
      </c>
      <c r="AL361" s="20">
        <f t="shared" si="81"/>
        <v>258</v>
      </c>
      <c r="AM361" s="20">
        <f t="shared" si="82"/>
        <v>-227040000</v>
      </c>
      <c r="AN361" s="20"/>
    </row>
    <row r="362" spans="17:45">
      <c r="Q362" s="99" t="s">
        <v>5241</v>
      </c>
      <c r="R362" s="95">
        <v>-618906</v>
      </c>
      <c r="T362" s="19"/>
      <c r="U362" s="19"/>
      <c r="V362" s="117"/>
      <c r="W362" s="117"/>
      <c r="X362" s="280"/>
      <c r="Y362" t="s">
        <v>25</v>
      </c>
      <c r="AH362" s="195">
        <v>109</v>
      </c>
      <c r="AI362" s="195" t="s">
        <v>5211</v>
      </c>
      <c r="AJ362" s="196">
        <v>873000</v>
      </c>
      <c r="AK362" s="195">
        <v>0</v>
      </c>
      <c r="AL362" s="195">
        <f t="shared" si="81"/>
        <v>254</v>
      </c>
      <c r="AM362" s="195">
        <f t="shared" si="82"/>
        <v>221742000</v>
      </c>
      <c r="AN362" s="195" t="s">
        <v>5152</v>
      </c>
    </row>
    <row r="363" spans="17:45">
      <c r="Q363" s="99" t="s">
        <v>5244</v>
      </c>
      <c r="R363" s="95">
        <v>-54615</v>
      </c>
      <c r="S363" t="s">
        <v>25</v>
      </c>
      <c r="T363" s="99"/>
      <c r="U363" s="168"/>
      <c r="V363" s="113"/>
      <c r="W363" s="113"/>
      <c r="X363" s="99"/>
      <c r="AH363" s="20">
        <v>110</v>
      </c>
      <c r="AI363" s="20" t="s">
        <v>5211</v>
      </c>
      <c r="AJ363" s="117">
        <v>127000</v>
      </c>
      <c r="AK363" s="20">
        <v>0</v>
      </c>
      <c r="AL363" s="20">
        <f t="shared" si="81"/>
        <v>254</v>
      </c>
      <c r="AM363" s="20">
        <f t="shared" si="82"/>
        <v>32258000</v>
      </c>
      <c r="AN363" s="20" t="s">
        <v>5152</v>
      </c>
    </row>
    <row r="364" spans="17:45">
      <c r="Q364" s="99" t="s">
        <v>5289</v>
      </c>
      <c r="R364" s="95">
        <v>18000000</v>
      </c>
      <c r="T364" s="168"/>
      <c r="U364" s="168">
        <f>SUM(U172:U363)</f>
        <v>3634300</v>
      </c>
      <c r="V364" s="99"/>
      <c r="W364" s="99"/>
      <c r="X364" s="99"/>
      <c r="AB364" t="s">
        <v>25</v>
      </c>
      <c r="AH364" s="20">
        <v>111</v>
      </c>
      <c r="AI364" s="20" t="s">
        <v>5211</v>
      </c>
      <c r="AJ364" s="117">
        <v>73000</v>
      </c>
      <c r="AK364" s="20">
        <v>1</v>
      </c>
      <c r="AL364" s="20">
        <f t="shared" si="81"/>
        <v>254</v>
      </c>
      <c r="AM364" s="20">
        <f t="shared" si="82"/>
        <v>18542000</v>
      </c>
      <c r="AN364" s="20"/>
    </row>
    <row r="365" spans="17:45">
      <c r="Q365" s="99" t="s">
        <v>5341</v>
      </c>
      <c r="R365" s="95">
        <v>20000000</v>
      </c>
      <c r="T365" s="99"/>
      <c r="U365" s="99" t="s">
        <v>6</v>
      </c>
      <c r="V365" s="99"/>
      <c r="W365" s="99"/>
      <c r="X365" s="99"/>
      <c r="Y365" t="s">
        <v>25</v>
      </c>
      <c r="AH365" s="20">
        <v>112</v>
      </c>
      <c r="AI365" s="20" t="s">
        <v>989</v>
      </c>
      <c r="AJ365" s="117">
        <v>4300000</v>
      </c>
      <c r="AK365" s="20">
        <v>1</v>
      </c>
      <c r="AL365" s="20">
        <f t="shared" si="81"/>
        <v>253</v>
      </c>
      <c r="AM365" s="20">
        <f t="shared" si="82"/>
        <v>1087900000</v>
      </c>
      <c r="AN365" s="20"/>
    </row>
    <row r="366" spans="17:45">
      <c r="Q366" s="99" t="s">
        <v>5351</v>
      </c>
      <c r="R366" s="95">
        <v>27694196</v>
      </c>
      <c r="T366" s="200" t="s">
        <v>4465</v>
      </c>
      <c r="Y366" t="s">
        <v>25</v>
      </c>
      <c r="AH366" s="20">
        <v>113</v>
      </c>
      <c r="AI366" s="20" t="s">
        <v>5078</v>
      </c>
      <c r="AJ366" s="117">
        <v>1600000</v>
      </c>
      <c r="AK366" s="20">
        <v>0</v>
      </c>
      <c r="AL366" s="20">
        <f t="shared" si="81"/>
        <v>252</v>
      </c>
      <c r="AM366" s="20">
        <f t="shared" si="82"/>
        <v>403200000</v>
      </c>
      <c r="AN366" s="20"/>
    </row>
    <row r="367" spans="17:45">
      <c r="Q367" s="99" t="s">
        <v>5430</v>
      </c>
      <c r="R367" s="95">
        <v>7211722</v>
      </c>
      <c r="T367" s="199">
        <f>R188/U364</f>
        <v>2146.554848526539</v>
      </c>
      <c r="AH367" s="20">
        <v>114</v>
      </c>
      <c r="AI367" s="20" t="s">
        <v>4270</v>
      </c>
      <c r="AJ367" s="117">
        <v>-10000000</v>
      </c>
      <c r="AK367" s="20">
        <v>1</v>
      </c>
      <c r="AL367" s="20">
        <f t="shared" si="81"/>
        <v>252</v>
      </c>
      <c r="AM367" s="20">
        <f t="shared" si="82"/>
        <v>-2520000000</v>
      </c>
      <c r="AN367" s="20" t="s">
        <v>5218</v>
      </c>
    </row>
    <row r="368" spans="17:45">
      <c r="Q368" s="99" t="s">
        <v>5431</v>
      </c>
      <c r="R368" s="95">
        <v>8481864</v>
      </c>
      <c r="W368" s="114"/>
      <c r="AH368" s="20">
        <v>115</v>
      </c>
      <c r="AI368" s="20" t="s">
        <v>5217</v>
      </c>
      <c r="AJ368" s="117">
        <v>571000</v>
      </c>
      <c r="AK368" s="20">
        <v>4</v>
      </c>
      <c r="AL368" s="20">
        <f t="shared" si="81"/>
        <v>251</v>
      </c>
      <c r="AM368" s="20">
        <f t="shared" si="82"/>
        <v>143321000</v>
      </c>
      <c r="AN368" s="20"/>
    </row>
    <row r="369" spans="17:45">
      <c r="Q369" s="99" t="s">
        <v>5439</v>
      </c>
      <c r="R369" s="95">
        <v>1558697</v>
      </c>
      <c r="U369" s="96" t="s">
        <v>267</v>
      </c>
      <c r="V369" t="s">
        <v>4466</v>
      </c>
      <c r="X369">
        <v>137360</v>
      </c>
      <c r="AH369" s="20">
        <v>116</v>
      </c>
      <c r="AI369" s="20" t="s">
        <v>5219</v>
      </c>
      <c r="AJ369" s="117">
        <v>200000</v>
      </c>
      <c r="AK369" s="20">
        <v>3</v>
      </c>
      <c r="AL369" s="20">
        <f t="shared" ref="AL369:AL380" si="83">AK369+AL370</f>
        <v>247</v>
      </c>
      <c r="AM369" s="20">
        <f t="shared" ref="AM369:AM380" si="84">AJ369*AL369</f>
        <v>49400000</v>
      </c>
      <c r="AN369" s="20"/>
    </row>
    <row r="370" spans="17:45">
      <c r="Q370" s="99" t="s">
        <v>5444</v>
      </c>
      <c r="R370" s="95">
        <v>9042009</v>
      </c>
      <c r="T370" s="114"/>
      <c r="U370" s="95">
        <v>-87000000</v>
      </c>
      <c r="V370">
        <f>U370/T367</f>
        <v>-40530.061488864107</v>
      </c>
      <c r="X370">
        <v>102146</v>
      </c>
      <c r="AH370" s="149">
        <v>117</v>
      </c>
      <c r="AI370" s="149" t="s">
        <v>5226</v>
      </c>
      <c r="AJ370" s="188">
        <v>50000</v>
      </c>
      <c r="AK370" s="149">
        <v>7</v>
      </c>
      <c r="AL370" s="149">
        <f t="shared" si="83"/>
        <v>244</v>
      </c>
      <c r="AM370" s="149">
        <f t="shared" si="84"/>
        <v>12200000</v>
      </c>
      <c r="AN370" s="149"/>
    </row>
    <row r="371" spans="17:45">
      <c r="Q371" s="99" t="s">
        <v>5445</v>
      </c>
      <c r="R371" s="95">
        <v>94969</v>
      </c>
      <c r="T371" t="s">
        <v>25</v>
      </c>
      <c r="X371">
        <f>X369+X370</f>
        <v>239506</v>
      </c>
      <c r="AH371" s="20">
        <v>118</v>
      </c>
      <c r="AI371" s="20" t="s">
        <v>5234</v>
      </c>
      <c r="AJ371" s="117">
        <v>-500000</v>
      </c>
      <c r="AK371" s="20">
        <v>12</v>
      </c>
      <c r="AL371" s="20">
        <f t="shared" si="83"/>
        <v>237</v>
      </c>
      <c r="AM371" s="20">
        <f t="shared" si="84"/>
        <v>-118500000</v>
      </c>
      <c r="AN371" s="20"/>
    </row>
    <row r="372" spans="17:45" ht="30">
      <c r="Q372" s="99" t="s">
        <v>5451</v>
      </c>
      <c r="R372" s="95">
        <v>40000000</v>
      </c>
      <c r="V372" s="22" t="s">
        <v>5210</v>
      </c>
      <c r="W372" s="223"/>
      <c r="X372" s="96">
        <f>X371/2</f>
        <v>119753</v>
      </c>
      <c r="AH372" s="149">
        <v>119</v>
      </c>
      <c r="AI372" s="149" t="s">
        <v>988</v>
      </c>
      <c r="AJ372" s="188">
        <v>-50000</v>
      </c>
      <c r="AK372" s="149">
        <v>0</v>
      </c>
      <c r="AL372" s="149">
        <f t="shared" si="83"/>
        <v>225</v>
      </c>
      <c r="AM372" s="149">
        <f t="shared" si="84"/>
        <v>-11250000</v>
      </c>
      <c r="AN372" s="149"/>
      <c r="AR372" t="s">
        <v>25</v>
      </c>
    </row>
    <row r="373" spans="17:45">
      <c r="Q373" s="99" t="s">
        <v>5451</v>
      </c>
      <c r="R373" s="95">
        <v>2806274</v>
      </c>
      <c r="W373" s="96" t="s">
        <v>25</v>
      </c>
      <c r="X373">
        <f>X369-X372</f>
        <v>17607</v>
      </c>
      <c r="AH373" s="20">
        <v>120</v>
      </c>
      <c r="AI373" s="20" t="s">
        <v>988</v>
      </c>
      <c r="AJ373" s="117">
        <v>-50000</v>
      </c>
      <c r="AK373" s="20">
        <v>28</v>
      </c>
      <c r="AL373" s="20">
        <f t="shared" si="83"/>
        <v>225</v>
      </c>
      <c r="AM373" s="20">
        <f t="shared" si="84"/>
        <v>-11250000</v>
      </c>
      <c r="AN373" s="20"/>
    </row>
    <row r="374" spans="17:45">
      <c r="Q374" s="99" t="s">
        <v>5452</v>
      </c>
      <c r="R374" s="95">
        <v>1331702</v>
      </c>
      <c r="X374">
        <f>X370-X372</f>
        <v>-17607</v>
      </c>
      <c r="AH374" s="20">
        <v>121</v>
      </c>
      <c r="AI374" s="20" t="s">
        <v>5278</v>
      </c>
      <c r="AJ374" s="117">
        <v>-3020625</v>
      </c>
      <c r="AK374" s="20">
        <v>18</v>
      </c>
      <c r="AL374" s="20">
        <f t="shared" si="83"/>
        <v>197</v>
      </c>
      <c r="AM374" s="20">
        <f t="shared" si="84"/>
        <v>-595063125</v>
      </c>
      <c r="AN374" s="20"/>
      <c r="AS374" t="s">
        <v>25</v>
      </c>
    </row>
    <row r="375" spans="17:45" ht="60">
      <c r="Q375" s="99" t="s">
        <v>5461</v>
      </c>
      <c r="R375" s="95">
        <v>851238</v>
      </c>
      <c r="T375" s="22" t="s">
        <v>4449</v>
      </c>
      <c r="V375" s="223" t="s">
        <v>25</v>
      </c>
      <c r="X375">
        <f>110+81.8</f>
        <v>191.8</v>
      </c>
      <c r="AH375" s="20">
        <v>122</v>
      </c>
      <c r="AI375" s="20" t="s">
        <v>5289</v>
      </c>
      <c r="AJ375" s="117">
        <v>18000000</v>
      </c>
      <c r="AK375" s="20">
        <v>19</v>
      </c>
      <c r="AL375" s="20">
        <f t="shared" si="83"/>
        <v>179</v>
      </c>
      <c r="AM375" s="20">
        <f t="shared" si="84"/>
        <v>3222000000</v>
      </c>
      <c r="AN375" s="20"/>
    </row>
    <row r="376" spans="17:45" ht="45">
      <c r="Q376" s="99" t="s">
        <v>5503</v>
      </c>
      <c r="R376" s="95">
        <v>652592</v>
      </c>
      <c r="T376" s="22" t="s">
        <v>4450</v>
      </c>
      <c r="X376">
        <f>X375/2</f>
        <v>95.9</v>
      </c>
      <c r="AH376" s="20">
        <v>123</v>
      </c>
      <c r="AI376" s="20" t="s">
        <v>5318</v>
      </c>
      <c r="AJ376" s="117">
        <v>2000000</v>
      </c>
      <c r="AK376" s="20">
        <v>6</v>
      </c>
      <c r="AL376" s="20">
        <f t="shared" si="83"/>
        <v>160</v>
      </c>
      <c r="AM376" s="20">
        <f t="shared" si="84"/>
        <v>320000000</v>
      </c>
      <c r="AN376" s="20"/>
    </row>
    <row r="377" spans="17:45">
      <c r="Q377" s="99" t="s">
        <v>5576</v>
      </c>
      <c r="R377" s="95">
        <v>554139</v>
      </c>
      <c r="Y377" t="s">
        <v>25</v>
      </c>
      <c r="AH377" s="149">
        <v>124</v>
      </c>
      <c r="AI377" s="149" t="s">
        <v>5330</v>
      </c>
      <c r="AJ377" s="188">
        <v>40000000</v>
      </c>
      <c r="AK377" s="149">
        <v>6</v>
      </c>
      <c r="AL377" s="149">
        <f t="shared" si="83"/>
        <v>154</v>
      </c>
      <c r="AM377" s="149">
        <f t="shared" si="84"/>
        <v>6160000000</v>
      </c>
      <c r="AN377" s="149"/>
      <c r="AR377" t="s">
        <v>25</v>
      </c>
    </row>
    <row r="378" spans="17:45">
      <c r="Q378" s="99" t="s">
        <v>5577</v>
      </c>
      <c r="R378" s="95">
        <v>70373089</v>
      </c>
      <c r="AH378" s="20">
        <v>125</v>
      </c>
      <c r="AI378" s="20" t="s">
        <v>5341</v>
      </c>
      <c r="AJ378" s="117">
        <v>200000</v>
      </c>
      <c r="AK378" s="20">
        <v>0</v>
      </c>
      <c r="AL378" s="20">
        <f t="shared" si="83"/>
        <v>148</v>
      </c>
      <c r="AM378" s="20">
        <f t="shared" si="84"/>
        <v>29600000</v>
      </c>
      <c r="AN378" s="20"/>
    </row>
    <row r="379" spans="17:45">
      <c r="Q379" s="99" t="s">
        <v>5581</v>
      </c>
      <c r="R379" s="95">
        <v>1219655</v>
      </c>
      <c r="T379" s="99" t="s">
        <v>4467</v>
      </c>
      <c r="U379" s="99" t="s">
        <v>4444</v>
      </c>
      <c r="V379" s="99" t="s">
        <v>950</v>
      </c>
      <c r="W379" s="74"/>
      <c r="AH379" s="149">
        <v>126</v>
      </c>
      <c r="AI379" s="149" t="s">
        <v>5341</v>
      </c>
      <c r="AJ379" s="188">
        <v>200000</v>
      </c>
      <c r="AK379" s="149">
        <v>1</v>
      </c>
      <c r="AL379" s="149">
        <f t="shared" si="83"/>
        <v>148</v>
      </c>
      <c r="AM379" s="149">
        <f t="shared" si="84"/>
        <v>29600000</v>
      </c>
      <c r="AN379" s="149"/>
    </row>
    <row r="380" spans="17:45">
      <c r="Q380" s="99" t="s">
        <v>5582</v>
      </c>
      <c r="R380" s="95">
        <v>15350146</v>
      </c>
      <c r="T380" s="95">
        <f>S229+R282+R396</f>
        <v>929179718.50453603</v>
      </c>
      <c r="U380" s="95">
        <f>R188</f>
        <v>7801224286</v>
      </c>
      <c r="V380" s="95">
        <f>U380-T380</f>
        <v>6872044567.4954643</v>
      </c>
      <c r="AH380" s="20">
        <v>127</v>
      </c>
      <c r="AI380" s="20" t="s">
        <v>5345</v>
      </c>
      <c r="AJ380" s="117">
        <v>50000</v>
      </c>
      <c r="AK380" s="20">
        <v>4</v>
      </c>
      <c r="AL380" s="20">
        <f t="shared" si="83"/>
        <v>147</v>
      </c>
      <c r="AM380" s="20">
        <f t="shared" si="84"/>
        <v>7350000</v>
      </c>
      <c r="AN380" s="20"/>
    </row>
    <row r="381" spans="17:45">
      <c r="Q381" s="99" t="s">
        <v>5584</v>
      </c>
      <c r="R381" s="95">
        <v>121018</v>
      </c>
      <c r="AH381" s="20">
        <v>128</v>
      </c>
      <c r="AI381" s="20" t="s">
        <v>5348</v>
      </c>
      <c r="AJ381" s="117">
        <v>100000</v>
      </c>
      <c r="AK381" s="20">
        <v>9</v>
      </c>
      <c r="AL381" s="20">
        <f t="shared" ref="AL381:AL391" si="85">AK381+AL382</f>
        <v>143</v>
      </c>
      <c r="AM381" s="20">
        <f t="shared" ref="AM381:AM391" si="86">AJ381*AL381</f>
        <v>14300000</v>
      </c>
      <c r="AN381" s="20"/>
      <c r="AP381" t="s">
        <v>25</v>
      </c>
    </row>
    <row r="382" spans="17:45">
      <c r="Q382" s="99" t="s">
        <v>5589</v>
      </c>
      <c r="R382" s="95">
        <v>1024993</v>
      </c>
      <c r="AH382" s="20">
        <v>129</v>
      </c>
      <c r="AI382" s="20" t="s">
        <v>5366</v>
      </c>
      <c r="AJ382" s="117">
        <v>-550000</v>
      </c>
      <c r="AK382" s="20">
        <v>5</v>
      </c>
      <c r="AL382" s="20">
        <f t="shared" si="85"/>
        <v>134</v>
      </c>
      <c r="AM382" s="20">
        <f t="shared" si="86"/>
        <v>-73700000</v>
      </c>
      <c r="AN382" s="20"/>
    </row>
    <row r="383" spans="17:45">
      <c r="Q383" s="99" t="s">
        <v>5613</v>
      </c>
      <c r="R383" s="95">
        <v>1948077</v>
      </c>
      <c r="T383" s="117"/>
      <c r="V383" s="114">
        <f>(444000000+2500000)*2/3</f>
        <v>297666666.66666669</v>
      </c>
      <c r="AH383" s="20">
        <v>130</v>
      </c>
      <c r="AI383" s="20" t="s">
        <v>5371</v>
      </c>
      <c r="AJ383" s="117">
        <v>-29686490</v>
      </c>
      <c r="AK383" s="20">
        <v>1</v>
      </c>
      <c r="AL383" s="20">
        <f t="shared" si="85"/>
        <v>129</v>
      </c>
      <c r="AM383" s="20">
        <f t="shared" si="86"/>
        <v>-3829557210</v>
      </c>
      <c r="AN383" s="20"/>
    </row>
    <row r="384" spans="17:45">
      <c r="Q384" s="99" t="s">
        <v>5614</v>
      </c>
      <c r="R384" s="95">
        <v>50000120</v>
      </c>
      <c r="AH384" s="20">
        <v>131</v>
      </c>
      <c r="AI384" s="20" t="s">
        <v>5381</v>
      </c>
      <c r="AJ384" s="117">
        <v>-9000000</v>
      </c>
      <c r="AK384" s="20">
        <v>8</v>
      </c>
      <c r="AL384" s="20">
        <f t="shared" si="85"/>
        <v>128</v>
      </c>
      <c r="AM384" s="20">
        <f t="shared" si="86"/>
        <v>-1152000000</v>
      </c>
      <c r="AN384" s="20"/>
    </row>
    <row r="385" spans="16:45">
      <c r="Q385" s="99" t="s">
        <v>5615</v>
      </c>
      <c r="R385" s="95">
        <v>20000055</v>
      </c>
      <c r="S385" t="s">
        <v>25</v>
      </c>
      <c r="T385" s="114">
        <f>W324+W325+W327+W328+W330+W331</f>
        <v>-301699041.74755996</v>
      </c>
      <c r="AH385" s="20">
        <v>132</v>
      </c>
      <c r="AI385" s="20" t="s">
        <v>5426</v>
      </c>
      <c r="AJ385" s="117">
        <v>810000</v>
      </c>
      <c r="AK385" s="20">
        <v>2</v>
      </c>
      <c r="AL385" s="20">
        <f t="shared" si="85"/>
        <v>120</v>
      </c>
      <c r="AM385" s="20">
        <f t="shared" si="86"/>
        <v>97200000</v>
      </c>
      <c r="AN385" s="20"/>
    </row>
    <row r="386" spans="16:45">
      <c r="Q386" s="99" t="s">
        <v>5657</v>
      </c>
      <c r="R386" s="95">
        <v>5745697</v>
      </c>
      <c r="T386" t="s">
        <v>25</v>
      </c>
      <c r="AH386" s="20">
        <v>133</v>
      </c>
      <c r="AI386" s="20" t="s">
        <v>5431</v>
      </c>
      <c r="AJ386" s="117">
        <v>-5000000</v>
      </c>
      <c r="AK386" s="20">
        <v>3</v>
      </c>
      <c r="AL386" s="20">
        <f t="shared" si="85"/>
        <v>118</v>
      </c>
      <c r="AM386" s="20">
        <f t="shared" si="86"/>
        <v>-590000000</v>
      </c>
      <c r="AN386" s="20"/>
      <c r="AQ386" t="s">
        <v>25</v>
      </c>
    </row>
    <row r="387" spans="16:45">
      <c r="Q387" s="99" t="s">
        <v>5658</v>
      </c>
      <c r="R387" s="95">
        <v>908158</v>
      </c>
      <c r="T387" s="114">
        <f>V383+T385</f>
        <v>-4032375.0808932781</v>
      </c>
      <c r="AF387" s="96" t="s">
        <v>25</v>
      </c>
      <c r="AH387" s="20">
        <v>134</v>
      </c>
      <c r="AI387" s="20" t="s">
        <v>5439</v>
      </c>
      <c r="AJ387" s="117">
        <v>-26000000</v>
      </c>
      <c r="AK387" s="20">
        <v>0</v>
      </c>
      <c r="AL387" s="20">
        <f t="shared" si="85"/>
        <v>115</v>
      </c>
      <c r="AM387" s="20">
        <f t="shared" si="86"/>
        <v>-2990000000</v>
      </c>
      <c r="AN387" s="20"/>
    </row>
    <row r="388" spans="16:45">
      <c r="Q388" s="99" t="s">
        <v>5660</v>
      </c>
      <c r="R388" s="95">
        <v>12642697</v>
      </c>
      <c r="T388" t="s">
        <v>25</v>
      </c>
      <c r="AH388" s="256">
        <v>135</v>
      </c>
      <c r="AI388" s="256" t="s">
        <v>5439</v>
      </c>
      <c r="AJ388" s="247">
        <v>-26000000</v>
      </c>
      <c r="AK388" s="256">
        <v>1</v>
      </c>
      <c r="AL388" s="256">
        <f t="shared" si="85"/>
        <v>115</v>
      </c>
      <c r="AM388" s="256">
        <f t="shared" si="86"/>
        <v>-2990000000</v>
      </c>
      <c r="AN388" s="256"/>
      <c r="AS388" t="s">
        <v>25</v>
      </c>
    </row>
    <row r="389" spans="16:45">
      <c r="Q389" s="99" t="s">
        <v>5662</v>
      </c>
      <c r="R389" s="95">
        <v>12297317.81435</v>
      </c>
      <c r="T389" t="s">
        <v>25</v>
      </c>
      <c r="AH389" s="20">
        <v>136</v>
      </c>
      <c r="AI389" s="20" t="s">
        <v>5444</v>
      </c>
      <c r="AJ389" s="117">
        <v>-81800000</v>
      </c>
      <c r="AK389" s="20">
        <v>0</v>
      </c>
      <c r="AL389" s="20">
        <f t="shared" si="85"/>
        <v>114</v>
      </c>
      <c r="AM389" s="20">
        <f t="shared" si="86"/>
        <v>-9325200000</v>
      </c>
      <c r="AN389" s="20"/>
    </row>
    <row r="390" spans="16:45">
      <c r="Q390" s="99" t="s">
        <v>5663</v>
      </c>
      <c r="R390" s="95">
        <v>8959643.8508579992</v>
      </c>
      <c r="AH390" s="256">
        <v>137</v>
      </c>
      <c r="AI390" s="256" t="s">
        <v>5444</v>
      </c>
      <c r="AJ390" s="247">
        <v>-110000000</v>
      </c>
      <c r="AK390" s="256">
        <v>1</v>
      </c>
      <c r="AL390" s="256">
        <f t="shared" si="85"/>
        <v>114</v>
      </c>
      <c r="AM390" s="256">
        <f t="shared" si="86"/>
        <v>-12540000000</v>
      </c>
      <c r="AN390" s="256"/>
    </row>
    <row r="391" spans="16:45">
      <c r="P391" t="s">
        <v>25</v>
      </c>
      <c r="Q391" s="99" t="s">
        <v>5666</v>
      </c>
      <c r="R391" s="95">
        <v>15154095.839328</v>
      </c>
      <c r="AH391" s="20">
        <v>138</v>
      </c>
      <c r="AI391" s="20" t="s">
        <v>5445</v>
      </c>
      <c r="AJ391" s="117">
        <v>-34000000</v>
      </c>
      <c r="AK391" s="20">
        <v>0</v>
      </c>
      <c r="AL391" s="20">
        <f t="shared" si="85"/>
        <v>113</v>
      </c>
      <c r="AM391" s="20">
        <f t="shared" si="86"/>
        <v>-3842000000</v>
      </c>
      <c r="AN391" s="20"/>
    </row>
    <row r="392" spans="16:45">
      <c r="Q392" s="99"/>
      <c r="R392" s="95"/>
      <c r="T392" t="s">
        <v>25</v>
      </c>
      <c r="AH392" s="149">
        <v>139</v>
      </c>
      <c r="AI392" s="149" t="s">
        <v>5445</v>
      </c>
      <c r="AJ392" s="188">
        <v>-23900000</v>
      </c>
      <c r="AK392" s="149">
        <v>5</v>
      </c>
      <c r="AL392" s="149">
        <f t="shared" ref="AL392:AL397" si="87">AK392+AL393</f>
        <v>113</v>
      </c>
      <c r="AM392" s="149">
        <f t="shared" ref="AM392:AM397" si="88">AJ392*AL392</f>
        <v>-2700700000</v>
      </c>
      <c r="AN392" s="149"/>
    </row>
    <row r="393" spans="16:45">
      <c r="Q393" s="99"/>
      <c r="R393" s="95"/>
      <c r="T393" t="s">
        <v>25</v>
      </c>
      <c r="AH393" s="20">
        <v>140</v>
      </c>
      <c r="AI393" s="20" t="s">
        <v>5461</v>
      </c>
      <c r="AJ393" s="117">
        <v>1000000</v>
      </c>
      <c r="AK393" s="20">
        <v>0</v>
      </c>
      <c r="AL393" s="20">
        <f t="shared" si="87"/>
        <v>108</v>
      </c>
      <c r="AM393" s="20">
        <f t="shared" si="88"/>
        <v>108000000</v>
      </c>
      <c r="AN393" s="20"/>
      <c r="AR393" t="s">
        <v>25</v>
      </c>
    </row>
    <row r="394" spans="16:45">
      <c r="Q394" s="99"/>
      <c r="R394" s="95"/>
      <c r="W394" s="96" t="s">
        <v>25</v>
      </c>
      <c r="AH394" s="149">
        <v>141</v>
      </c>
      <c r="AI394" s="149" t="s">
        <v>5461</v>
      </c>
      <c r="AJ394" s="188">
        <v>1000000</v>
      </c>
      <c r="AK394" s="149">
        <v>4</v>
      </c>
      <c r="AL394" s="149">
        <f t="shared" si="87"/>
        <v>108</v>
      </c>
      <c r="AM394" s="149">
        <f t="shared" si="88"/>
        <v>108000000</v>
      </c>
      <c r="AN394" s="149"/>
    </row>
    <row r="395" spans="16:45">
      <c r="Q395" s="99" t="s">
        <v>25</v>
      </c>
      <c r="R395" s="95"/>
      <c r="T395" t="s">
        <v>25</v>
      </c>
      <c r="AH395" s="20">
        <v>142</v>
      </c>
      <c r="AI395" s="20" t="s">
        <v>5467</v>
      </c>
      <c r="AJ395" s="117">
        <v>400000</v>
      </c>
      <c r="AK395" s="20">
        <v>0</v>
      </c>
      <c r="AL395" s="20">
        <f t="shared" si="87"/>
        <v>104</v>
      </c>
      <c r="AM395" s="20">
        <f t="shared" si="88"/>
        <v>41600000</v>
      </c>
      <c r="AN395" s="20"/>
    </row>
    <row r="396" spans="16:45">
      <c r="Q396" s="99"/>
      <c r="R396" s="95">
        <f>SUM(R287:R395)</f>
        <v>753251150.50453603</v>
      </c>
      <c r="T396" t="s">
        <v>25</v>
      </c>
      <c r="AH396" s="149">
        <v>143</v>
      </c>
      <c r="AI396" s="149" t="s">
        <v>5467</v>
      </c>
      <c r="AJ396" s="188">
        <v>400000</v>
      </c>
      <c r="AK396" s="149">
        <v>35</v>
      </c>
      <c r="AL396" s="149">
        <f t="shared" si="87"/>
        <v>104</v>
      </c>
      <c r="AM396" s="149">
        <f t="shared" si="88"/>
        <v>41600000</v>
      </c>
      <c r="AN396" s="149"/>
    </row>
    <row r="397" spans="16:45">
      <c r="Q397" s="99"/>
      <c r="R397" s="99" t="s">
        <v>6</v>
      </c>
      <c r="T397" t="s">
        <v>25</v>
      </c>
      <c r="AH397" s="20">
        <v>144</v>
      </c>
      <c r="AI397" s="20" t="s">
        <v>5516</v>
      </c>
      <c r="AJ397" s="117">
        <v>3000000</v>
      </c>
      <c r="AK397" s="20">
        <v>0</v>
      </c>
      <c r="AL397" s="20">
        <f t="shared" si="87"/>
        <v>69</v>
      </c>
      <c r="AM397" s="20">
        <f t="shared" si="88"/>
        <v>207000000</v>
      </c>
      <c r="AN397" s="20"/>
    </row>
    <row r="398" spans="16:45">
      <c r="T398" t="s">
        <v>25</v>
      </c>
      <c r="U398" s="96" t="s">
        <v>25</v>
      </c>
      <c r="V398" t="s">
        <v>25</v>
      </c>
      <c r="AH398" s="149">
        <v>145</v>
      </c>
      <c r="AI398" s="149" t="s">
        <v>5516</v>
      </c>
      <c r="AJ398" s="188">
        <v>2725000</v>
      </c>
      <c r="AK398" s="149">
        <v>19</v>
      </c>
      <c r="AL398" s="149">
        <f t="shared" ref="AL398:AL401" si="89">AK398+AL399</f>
        <v>69</v>
      </c>
      <c r="AM398" s="149">
        <f t="shared" ref="AM398:AM401" si="90">AJ398*AL398</f>
        <v>188025000</v>
      </c>
      <c r="AN398" s="149"/>
    </row>
    <row r="399" spans="16:45">
      <c r="T399" t="s">
        <v>25</v>
      </c>
      <c r="AH399" s="149">
        <v>146</v>
      </c>
      <c r="AI399" s="149" t="s">
        <v>5392</v>
      </c>
      <c r="AJ399" s="188">
        <v>-8644090</v>
      </c>
      <c r="AK399" s="149">
        <v>0</v>
      </c>
      <c r="AL399" s="149">
        <f t="shared" si="89"/>
        <v>50</v>
      </c>
      <c r="AM399" s="149">
        <f t="shared" si="90"/>
        <v>-432204500</v>
      </c>
      <c r="AN399" s="149" t="s">
        <v>4785</v>
      </c>
    </row>
    <row r="400" spans="16:45">
      <c r="Q400" t="s">
        <v>25</v>
      </c>
      <c r="T400" t="s">
        <v>25</v>
      </c>
      <c r="AH400" s="20">
        <v>147</v>
      </c>
      <c r="AI400" s="20" t="s">
        <v>5392</v>
      </c>
      <c r="AJ400" s="117">
        <v>-65461942</v>
      </c>
      <c r="AK400" s="20">
        <v>1</v>
      </c>
      <c r="AL400" s="20">
        <f t="shared" si="89"/>
        <v>50</v>
      </c>
      <c r="AM400" s="20">
        <f t="shared" si="90"/>
        <v>-3273097100</v>
      </c>
      <c r="AN400" s="20" t="s">
        <v>4785</v>
      </c>
    </row>
    <row r="401" spans="18:45">
      <c r="T401" t="s">
        <v>25</v>
      </c>
      <c r="U401" s="96" t="s">
        <v>25</v>
      </c>
      <c r="V401" t="s">
        <v>25</v>
      </c>
      <c r="AD401" t="s">
        <v>25</v>
      </c>
      <c r="AH401" s="20">
        <v>148</v>
      </c>
      <c r="AI401" s="20" t="s">
        <v>5549</v>
      </c>
      <c r="AJ401" s="117">
        <v>35000000</v>
      </c>
      <c r="AK401" s="20">
        <v>15</v>
      </c>
      <c r="AL401" s="20">
        <f t="shared" si="89"/>
        <v>49</v>
      </c>
      <c r="AM401" s="20">
        <f t="shared" si="90"/>
        <v>1715000000</v>
      </c>
      <c r="AN401" s="20"/>
    </row>
    <row r="402" spans="18:45">
      <c r="T402" t="s">
        <v>25</v>
      </c>
      <c r="U402" s="96" t="s">
        <v>25</v>
      </c>
      <c r="AH402" s="149">
        <v>149</v>
      </c>
      <c r="AI402" s="149" t="s">
        <v>5584</v>
      </c>
      <c r="AJ402" s="188">
        <v>1400000</v>
      </c>
      <c r="AK402" s="149">
        <v>0</v>
      </c>
      <c r="AL402" s="149">
        <f t="shared" ref="AL402:AL404" si="91">AK402+AL403</f>
        <v>34</v>
      </c>
      <c r="AM402" s="149">
        <f t="shared" ref="AM402:AM405" si="92">AJ402*AL402</f>
        <v>47600000</v>
      </c>
      <c r="AN402" s="149"/>
      <c r="AS402" t="s">
        <v>25</v>
      </c>
    </row>
    <row r="403" spans="18:45">
      <c r="R403" t="s">
        <v>25</v>
      </c>
      <c r="U403" s="96" t="s">
        <v>25</v>
      </c>
      <c r="AH403" s="20">
        <v>150</v>
      </c>
      <c r="AI403" s="20" t="s">
        <v>5584</v>
      </c>
      <c r="AJ403" s="117">
        <v>1600000</v>
      </c>
      <c r="AK403" s="20">
        <v>1</v>
      </c>
      <c r="AL403" s="20">
        <f t="shared" si="91"/>
        <v>34</v>
      </c>
      <c r="AM403" s="20">
        <f t="shared" si="92"/>
        <v>54400000</v>
      </c>
      <c r="AN403" s="20"/>
    </row>
    <row r="404" spans="18:45">
      <c r="T404" t="s">
        <v>25</v>
      </c>
      <c r="V404" t="s">
        <v>25</v>
      </c>
      <c r="AH404" s="149">
        <v>151</v>
      </c>
      <c r="AI404" s="149" t="s">
        <v>5588</v>
      </c>
      <c r="AJ404" s="188">
        <v>600000</v>
      </c>
      <c r="AK404" s="149">
        <v>0</v>
      </c>
      <c r="AL404" s="149">
        <f t="shared" si="91"/>
        <v>33</v>
      </c>
      <c r="AM404" s="149">
        <f t="shared" si="92"/>
        <v>19800000</v>
      </c>
      <c r="AN404" s="149" t="s">
        <v>5592</v>
      </c>
    </row>
    <row r="405" spans="18:45">
      <c r="R405" t="s">
        <v>25</v>
      </c>
      <c r="T405" t="s">
        <v>25</v>
      </c>
      <c r="U405" s="96" t="s">
        <v>25</v>
      </c>
      <c r="AH405" s="20">
        <v>152</v>
      </c>
      <c r="AI405" s="20" t="s">
        <v>5588</v>
      </c>
      <c r="AJ405" s="117">
        <v>600000</v>
      </c>
      <c r="AK405" s="20">
        <v>9</v>
      </c>
      <c r="AL405" s="20">
        <f>AK405+AL406</f>
        <v>33</v>
      </c>
      <c r="AM405" s="20">
        <f t="shared" si="92"/>
        <v>19800000</v>
      </c>
      <c r="AN405" s="20" t="s">
        <v>5592</v>
      </c>
    </row>
    <row r="406" spans="18:45">
      <c r="AH406" s="20">
        <v>153</v>
      </c>
      <c r="AI406" s="20" t="s">
        <v>5615</v>
      </c>
      <c r="AJ406" s="117">
        <v>20000000</v>
      </c>
      <c r="AK406" s="20">
        <v>23</v>
      </c>
      <c r="AL406" s="20">
        <f t="shared" ref="AL406:AL413" si="93">AK406+AL407</f>
        <v>24</v>
      </c>
      <c r="AM406" s="20">
        <f t="shared" ref="AM406:AM413" si="94">AJ406*AL406</f>
        <v>480000000</v>
      </c>
      <c r="AN406" s="20" t="s">
        <v>5641</v>
      </c>
    </row>
    <row r="407" spans="18:45">
      <c r="U407" s="96" t="s">
        <v>25</v>
      </c>
      <c r="AH407" s="20">
        <v>154</v>
      </c>
      <c r="AI407" s="20" t="s">
        <v>5685</v>
      </c>
      <c r="AJ407" s="117">
        <v>-46183500</v>
      </c>
      <c r="AK407" s="20">
        <v>0</v>
      </c>
      <c r="AL407" s="20">
        <f t="shared" si="93"/>
        <v>1</v>
      </c>
      <c r="AM407" s="20">
        <f t="shared" si="94"/>
        <v>-46183500</v>
      </c>
      <c r="AN407" s="20" t="s">
        <v>4918</v>
      </c>
    </row>
    <row r="408" spans="18:45">
      <c r="AH408" s="149">
        <v>155</v>
      </c>
      <c r="AI408" s="149" t="s">
        <v>5685</v>
      </c>
      <c r="AJ408" s="188">
        <v>-1812800</v>
      </c>
      <c r="AK408" s="149">
        <v>1</v>
      </c>
      <c r="AL408" s="149">
        <f t="shared" si="93"/>
        <v>1</v>
      </c>
      <c r="AM408" s="149">
        <f t="shared" si="94"/>
        <v>-1812800</v>
      </c>
      <c r="AN408" s="149" t="s">
        <v>4918</v>
      </c>
    </row>
    <row r="409" spans="18:45">
      <c r="AH409" s="20"/>
      <c r="AI409" s="20"/>
      <c r="AJ409" s="117"/>
      <c r="AK409" s="20"/>
      <c r="AL409" s="20">
        <f t="shared" si="93"/>
        <v>0</v>
      </c>
      <c r="AM409" s="20">
        <f t="shared" si="94"/>
        <v>0</v>
      </c>
      <c r="AN409" s="20"/>
    </row>
    <row r="410" spans="18:45">
      <c r="AH410" s="20"/>
      <c r="AI410" s="20"/>
      <c r="AJ410" s="117"/>
      <c r="AK410" s="20"/>
      <c r="AL410" s="20">
        <f t="shared" si="93"/>
        <v>0</v>
      </c>
      <c r="AM410" s="20">
        <f t="shared" si="94"/>
        <v>0</v>
      </c>
      <c r="AN410" s="20"/>
    </row>
    <row r="411" spans="18:45">
      <c r="AH411" s="20"/>
      <c r="AI411" s="20"/>
      <c r="AJ411" s="117"/>
      <c r="AK411" s="20"/>
      <c r="AL411" s="20">
        <f t="shared" si="93"/>
        <v>0</v>
      </c>
      <c r="AM411" s="20">
        <f t="shared" si="94"/>
        <v>0</v>
      </c>
      <c r="AN411" s="20"/>
    </row>
    <row r="412" spans="18:45">
      <c r="AH412" s="99"/>
      <c r="AI412" s="99"/>
      <c r="AJ412" s="117"/>
      <c r="AK412" s="99"/>
      <c r="AL412" s="20">
        <f t="shared" si="93"/>
        <v>0</v>
      </c>
      <c r="AM412" s="20">
        <f t="shared" si="94"/>
        <v>0</v>
      </c>
      <c r="AN412" s="20"/>
    </row>
    <row r="413" spans="18:45">
      <c r="AH413" s="99"/>
      <c r="AI413" s="99"/>
      <c r="AJ413" s="117"/>
      <c r="AK413" s="99"/>
      <c r="AL413" s="20">
        <f t="shared" si="93"/>
        <v>0</v>
      </c>
      <c r="AM413" s="20">
        <f t="shared" si="94"/>
        <v>0</v>
      </c>
      <c r="AN413" s="99"/>
      <c r="AR413" t="s">
        <v>25</v>
      </c>
    </row>
    <row r="414" spans="18:45">
      <c r="AH414" s="99"/>
      <c r="AI414" s="99"/>
      <c r="AJ414" s="95">
        <f>SUM(AJ254:AJ413)</f>
        <v>110113405</v>
      </c>
      <c r="AK414" s="99"/>
      <c r="AL414" s="99"/>
      <c r="AM414" s="99">
        <f>SUM(AM254:AM413)</f>
        <v>172436631344</v>
      </c>
      <c r="AN414" s="95">
        <f>AM414*AN240/31</f>
        <v>92709720.471304789</v>
      </c>
    </row>
    <row r="415" spans="18:45">
      <c r="AJ415" t="s">
        <v>4055</v>
      </c>
      <c r="AM415" t="s">
        <v>284</v>
      </c>
      <c r="AN415" t="s">
        <v>940</v>
      </c>
    </row>
    <row r="417" spans="35:45">
      <c r="AI417" t="s">
        <v>4057</v>
      </c>
      <c r="AJ417" s="114">
        <f>AJ414+AN414</f>
        <v>202823125.47130477</v>
      </c>
      <c r="AS417" t="s">
        <v>25</v>
      </c>
    </row>
    <row r="418" spans="35:45">
      <c r="AI418" t="s">
        <v>4060</v>
      </c>
      <c r="AJ418" s="114">
        <f>SUM(N20:N31)</f>
        <v>2679180490</v>
      </c>
    </row>
    <row r="419" spans="35:45">
      <c r="AI419" t="s">
        <v>4132</v>
      </c>
      <c r="AJ419" s="114">
        <f>AJ418-AJ414</f>
        <v>2569067085</v>
      </c>
    </row>
    <row r="420" spans="35:45">
      <c r="AI420" t="s">
        <v>940</v>
      </c>
      <c r="AJ420" s="114">
        <f>AN414</f>
        <v>92709720.471304789</v>
      </c>
      <c r="AR420" t="s">
        <v>25</v>
      </c>
    </row>
    <row r="421" spans="35:45">
      <c r="AI421" t="s">
        <v>4061</v>
      </c>
      <c r="AJ421" s="114">
        <f>AJ419-AJ420</f>
        <v>2476357364.5286951</v>
      </c>
      <c r="AM421" t="s">
        <v>25</v>
      </c>
      <c r="AN421" t="s">
        <v>25</v>
      </c>
    </row>
    <row r="422" spans="35:45">
      <c r="AL422" t="s">
        <v>25</v>
      </c>
      <c r="AM422" t="s">
        <v>25</v>
      </c>
      <c r="AN422" t="s">
        <v>25</v>
      </c>
    </row>
    <row r="425" spans="35:45">
      <c r="AN425" t="s">
        <v>25</v>
      </c>
    </row>
    <row r="426" spans="35:45">
      <c r="AN42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29:G130 G132:G136 G167 G138:G141 G103:G112 G174 G184:G186 G145:G165 G245:G1048576 G202:G223 G234:G240">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S103 G124 S70 P28:P29 S120 P23 S38 S42 S40 S129 S134 S44 S132"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2020-06-22T11:01:01Z</dcterms:modified>
</cp:coreProperties>
</file>