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05" windowWidth="14805" windowHeight="771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02" i="63" l="1"/>
  <c r="K92" i="63"/>
  <c r="K157" i="63" l="1"/>
  <c r="K147" i="63"/>
  <c r="K134" i="63"/>
  <c r="H253" i="18"/>
  <c r="W389" i="18"/>
  <c r="O58" i="18"/>
  <c r="W388" i="18" l="1"/>
  <c r="W387" i="18" l="1"/>
  <c r="W386" i="18" l="1"/>
  <c r="W385" i="18" l="1"/>
  <c r="W384" i="18"/>
  <c r="R296" i="18"/>
  <c r="W383" i="18"/>
  <c r="W382" i="18"/>
  <c r="W393" i="18"/>
  <c r="W394" i="18"/>
  <c r="W395" i="18"/>
  <c r="J139" i="63"/>
  <c r="W381" i="18" l="1"/>
  <c r="W380" i="18" l="1"/>
  <c r="P28" i="18" l="1"/>
  <c r="N28" i="18" s="1"/>
  <c r="I88" i="63" l="1"/>
  <c r="I87" i="63"/>
  <c r="H87" i="63"/>
  <c r="I138" i="63"/>
  <c r="I139" i="63" s="1"/>
  <c r="W379" i="18" l="1"/>
  <c r="U396" i="18"/>
  <c r="W406" i="18"/>
  <c r="V415" i="18"/>
  <c r="S238" i="18" l="1"/>
  <c r="F92" i="63" l="1"/>
  <c r="C92" i="63"/>
  <c r="G137" i="63"/>
  <c r="I92" i="63" l="1"/>
  <c r="G130" i="63"/>
  <c r="H130" i="63"/>
  <c r="I130" i="63"/>
  <c r="G131" i="63"/>
  <c r="H131" i="63"/>
  <c r="I131" i="63"/>
  <c r="G132" i="63"/>
  <c r="H132" i="63"/>
  <c r="I132" i="63"/>
  <c r="P22" i="18"/>
  <c r="N22" i="18" s="1"/>
  <c r="F157" i="63"/>
  <c r="C157" i="63"/>
  <c r="I156" i="63"/>
  <c r="H156" i="63"/>
  <c r="G156" i="63"/>
  <c r="I155" i="63"/>
  <c r="H155" i="63"/>
  <c r="K155" i="63" s="1"/>
  <c r="G155" i="63"/>
  <c r="I151" i="63"/>
  <c r="H151" i="63"/>
  <c r="G151" i="63"/>
  <c r="K131" i="63" l="1"/>
  <c r="K156" i="63"/>
  <c r="K132" i="63"/>
  <c r="K130" i="63"/>
  <c r="I157" i="63"/>
  <c r="G157" i="63"/>
  <c r="H157" i="63"/>
  <c r="G129" i="63"/>
  <c r="H129" i="63"/>
  <c r="I129" i="63"/>
  <c r="G138" i="63"/>
  <c r="G139" i="63"/>
  <c r="W378" i="18"/>
  <c r="AL249" i="18"/>
  <c r="AL248" i="18" s="1"/>
  <c r="AL247" i="18" s="1"/>
  <c r="L157" i="63" l="1"/>
  <c r="AM248" i="18"/>
  <c r="AM249" i="18"/>
  <c r="P29" i="18"/>
  <c r="N29" i="18" s="1"/>
  <c r="K148" i="18"/>
  <c r="AL246" i="18" l="1"/>
  <c r="AM247" i="18"/>
  <c r="F147" i="63"/>
  <c r="C147" i="63"/>
  <c r="G144" i="63"/>
  <c r="H144" i="63"/>
  <c r="I144" i="63"/>
  <c r="G145" i="63"/>
  <c r="H145" i="63"/>
  <c r="I145" i="63"/>
  <c r="G146" i="63"/>
  <c r="H146" i="63"/>
  <c r="I146" i="63"/>
  <c r="I143" i="63"/>
  <c r="H143" i="63"/>
  <c r="G143" i="63"/>
  <c r="K146" i="63" l="1"/>
  <c r="K145" i="63"/>
  <c r="K144" i="63"/>
  <c r="H147" i="63"/>
  <c r="AL245" i="18"/>
  <c r="AM246" i="18"/>
  <c r="I147" i="63"/>
  <c r="G147" i="63"/>
  <c r="G127" i="63"/>
  <c r="H127" i="63"/>
  <c r="I127" i="63"/>
  <c r="G128" i="63"/>
  <c r="H128" i="63"/>
  <c r="I128" i="63"/>
  <c r="J44" i="18"/>
  <c r="L147" i="63" l="1"/>
  <c r="K128" i="63"/>
  <c r="K129" i="63"/>
  <c r="AL244" i="18"/>
  <c r="AM245" i="18"/>
  <c r="G87" i="63"/>
  <c r="G88" i="63"/>
  <c r="H88" i="63"/>
  <c r="K88" i="63" s="1"/>
  <c r="G89" i="63"/>
  <c r="H89" i="63"/>
  <c r="K89" i="63" s="1"/>
  <c r="I89" i="63"/>
  <c r="G90" i="63"/>
  <c r="H90" i="63"/>
  <c r="I90" i="63"/>
  <c r="G91" i="63"/>
  <c r="H91" i="63"/>
  <c r="I91" i="63"/>
  <c r="K90" i="63" l="1"/>
  <c r="AL243" i="18"/>
  <c r="AM244" i="18"/>
  <c r="G92" i="63"/>
  <c r="H92" i="63"/>
  <c r="Q390" i="52"/>
  <c r="O390" i="52"/>
  <c r="J390" i="52"/>
  <c r="G126" i="63"/>
  <c r="H126" i="63"/>
  <c r="K127" i="63" s="1"/>
  <c r="I126" i="63"/>
  <c r="G100" i="63"/>
  <c r="H100" i="63"/>
  <c r="I100" i="63"/>
  <c r="G101" i="63"/>
  <c r="H101" i="63"/>
  <c r="I101" i="63"/>
  <c r="H125" i="63"/>
  <c r="I125" i="63"/>
  <c r="W377" i="18"/>
  <c r="L92" i="63" l="1"/>
  <c r="AL242" i="18"/>
  <c r="AM243" i="18"/>
  <c r="K100" i="63"/>
  <c r="K101" i="63"/>
  <c r="K126" i="63"/>
  <c r="W376" i="18"/>
  <c r="W375" i="18"/>
  <c r="AJ250" i="18"/>
  <c r="G124" i="63"/>
  <c r="G125" i="63"/>
  <c r="H124" i="63"/>
  <c r="K125" i="63" s="1"/>
  <c r="I124" i="63"/>
  <c r="AL241" i="18" l="1"/>
  <c r="AM242" i="18"/>
  <c r="H123" i="63"/>
  <c r="K124" i="63" s="1"/>
  <c r="I123" i="63"/>
  <c r="G123" i="63"/>
  <c r="H99" i="63"/>
  <c r="I99" i="63"/>
  <c r="G99" i="63"/>
  <c r="AL240" i="18" l="1"/>
  <c r="AM241" i="18"/>
  <c r="R429" i="18"/>
  <c r="W374" i="18"/>
  <c r="S104" i="18"/>
  <c r="G98" i="63"/>
  <c r="G122" i="63"/>
  <c r="H122" i="63"/>
  <c r="K123" i="63" s="1"/>
  <c r="I122" i="63"/>
  <c r="AL239" i="18" l="1"/>
  <c r="AM240" i="18"/>
  <c r="W373"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2" i="52" l="1"/>
  <c r="P411" i="52"/>
  <c r="P408" i="52"/>
  <c r="P407" i="52"/>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0" i="63"/>
  <c r="AL231" i="18" l="1"/>
  <c r="AM232" i="18"/>
  <c r="W361" i="18"/>
  <c r="W362" i="18"/>
  <c r="W363" i="18"/>
  <c r="W364" i="18"/>
  <c r="W365" i="18"/>
  <c r="W366" i="18"/>
  <c r="G120" i="63"/>
  <c r="I120" i="63"/>
  <c r="G121" i="63"/>
  <c r="H121" i="63"/>
  <c r="I121" i="63"/>
  <c r="AL230" i="18" l="1"/>
  <c r="AM231" i="18"/>
  <c r="K121" i="63"/>
  <c r="K122" i="63"/>
  <c r="W360" i="18"/>
  <c r="G96" i="63"/>
  <c r="H96" i="63"/>
  <c r="K97" i="63" s="1"/>
  <c r="I96" i="63"/>
  <c r="AL229" i="18" l="1"/>
  <c r="AM230" i="18"/>
  <c r="W359" i="18"/>
  <c r="G95" i="63"/>
  <c r="H95" i="63"/>
  <c r="K96" i="63" s="1"/>
  <c r="I95" i="63"/>
  <c r="AL228" i="18" l="1"/>
  <c r="AM229" i="18"/>
  <c r="W358" i="18"/>
  <c r="I94" i="63"/>
  <c r="H94" i="63"/>
  <c r="K95" i="63" s="1"/>
  <c r="G94" i="63"/>
  <c r="L11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7" i="18"/>
  <c r="AL227" i="18" l="1"/>
  <c r="AM228" i="18"/>
  <c r="P375" i="52"/>
  <c r="P376" i="52"/>
  <c r="P368" i="52"/>
  <c r="P373" i="52"/>
  <c r="P372" i="52"/>
  <c r="P371" i="52"/>
  <c r="P370" i="52"/>
  <c r="P369" i="52"/>
  <c r="W356" i="18"/>
  <c r="AL226" i="18" l="1"/>
  <c r="AM227" i="18"/>
  <c r="G119" i="63"/>
  <c r="H119" i="63"/>
  <c r="K120" i="63" s="1"/>
  <c r="I119" i="63"/>
  <c r="G118" i="63"/>
  <c r="H118" i="63"/>
  <c r="I118" i="63"/>
  <c r="AL225" i="18" l="1"/>
  <c r="AM226" i="18"/>
  <c r="K119" i="63"/>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7" i="18"/>
  <c r="L187" i="18"/>
  <c r="W350" i="18"/>
  <c r="AL214" i="18" l="1"/>
  <c r="AM214" i="18" s="1"/>
  <c r="AM215" i="18"/>
  <c r="AM431" i="18"/>
  <c r="AL430" i="18"/>
  <c r="W349" i="18"/>
  <c r="AL429" i="18" l="1"/>
  <c r="AM430" i="18"/>
  <c r="W348" i="18"/>
  <c r="AM429" i="18" l="1"/>
  <c r="AL428" i="18"/>
  <c r="D157" i="58"/>
  <c r="AL427" i="18" l="1"/>
  <c r="AM428" i="18"/>
  <c r="M186" i="18"/>
  <c r="L186" i="18"/>
  <c r="I169" i="18"/>
  <c r="J169" i="18" s="1"/>
  <c r="J174" i="18" s="1"/>
  <c r="G169" i="18"/>
  <c r="AM427" i="18" l="1"/>
  <c r="AL426" i="18"/>
  <c r="M185" i="18"/>
  <c r="L185" i="18"/>
  <c r="F102" i="63"/>
  <c r="C102" i="63"/>
  <c r="G102" i="63" l="1"/>
  <c r="H102" i="63"/>
  <c r="AL425" i="18"/>
  <c r="AM426" i="18"/>
  <c r="I102" i="63"/>
  <c r="L182" i="18"/>
  <c r="M182" i="18"/>
  <c r="L183" i="18"/>
  <c r="M183" i="18"/>
  <c r="L184" i="18"/>
  <c r="M184" i="18"/>
  <c r="L191" i="18"/>
  <c r="M191" i="18"/>
  <c r="N48" i="18"/>
  <c r="P43" i="18"/>
  <c r="L102" i="63" l="1"/>
  <c r="AM425" i="18"/>
  <c r="AL424" i="18"/>
  <c r="O348" i="52"/>
  <c r="G136" i="18"/>
  <c r="J136" i="18" s="1"/>
  <c r="W347" i="18"/>
  <c r="AL423" i="18" l="1"/>
  <c r="AM424" i="18"/>
  <c r="G106" i="18"/>
  <c r="G105" i="18"/>
  <c r="J129" i="18"/>
  <c r="G128" i="18"/>
  <c r="J128" i="18" s="1"/>
  <c r="W346" i="18"/>
  <c r="J347" i="52"/>
  <c r="AM423" i="18" l="1"/>
  <c r="AL422" i="18"/>
  <c r="I131" i="18"/>
  <c r="L181" i="18"/>
  <c r="M181" i="18"/>
  <c r="M180" i="18"/>
  <c r="L180" i="18"/>
  <c r="W345" i="18"/>
  <c r="AM422" i="18" l="1"/>
  <c r="AL421" i="18"/>
  <c r="F134" i="63"/>
  <c r="C134" i="63"/>
  <c r="W344" i="18"/>
  <c r="G134" i="63" l="1"/>
  <c r="AM421" i="18"/>
  <c r="AL420" i="18"/>
  <c r="I134" i="63"/>
  <c r="H134" i="63"/>
  <c r="L134" i="63" l="1"/>
  <c r="AL419" i="18"/>
  <c r="AM420" i="18"/>
  <c r="AL418" i="18" l="1"/>
  <c r="AM419" i="18"/>
  <c r="W343" i="18" l="1"/>
  <c r="G116" i="63" l="1"/>
  <c r="H116" i="63"/>
  <c r="I116" i="63"/>
  <c r="G117" i="63"/>
  <c r="H117" i="63"/>
  <c r="I117" i="63"/>
  <c r="G115" i="63"/>
  <c r="H115" i="63"/>
  <c r="I115" i="63"/>
  <c r="G114" i="63"/>
  <c r="H114" i="63"/>
  <c r="I114" i="63"/>
  <c r="G113" i="63"/>
  <c r="H113" i="63"/>
  <c r="I113" i="63"/>
  <c r="G111" i="63"/>
  <c r="H111" i="63"/>
  <c r="I111" i="63"/>
  <c r="G110" i="63"/>
  <c r="H110" i="63"/>
  <c r="I110" i="63"/>
  <c r="K117" i="63" l="1"/>
  <c r="K118" i="63"/>
  <c r="M134" i="63"/>
  <c r="M135" i="63" s="1"/>
  <c r="K114" i="63"/>
  <c r="K116" i="63"/>
  <c r="K111" i="63"/>
  <c r="K115" i="63"/>
  <c r="W342" i="18"/>
  <c r="N133" i="63" l="1"/>
  <c r="N134" i="63"/>
  <c r="M136" i="63"/>
  <c r="W341" i="18"/>
  <c r="M137" i="63" l="1"/>
  <c r="N135" i="63"/>
  <c r="W340" i="18"/>
  <c r="N348" i="52"/>
  <c r="M138" i="63" l="1"/>
  <c r="N136" i="63"/>
  <c r="W339" i="18"/>
  <c r="M139" i="63" l="1"/>
  <c r="N137" i="63"/>
  <c r="N138" i="63" l="1"/>
  <c r="M140" i="63"/>
  <c r="L80" i="63"/>
  <c r="M141" i="63" l="1"/>
  <c r="N139" i="63"/>
  <c r="M142" i="63" l="1"/>
  <c r="N140" i="63"/>
  <c r="O333" i="52"/>
  <c r="M143" i="63" l="1"/>
  <c r="N141" i="63"/>
  <c r="M144" i="63" l="1"/>
  <c r="N142" i="63"/>
  <c r="J333" i="52"/>
  <c r="M145" i="63" l="1"/>
  <c r="N143" i="63"/>
  <c r="J332" i="52"/>
  <c r="M146" i="63" l="1"/>
  <c r="N14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7" i="63"/>
  <c r="N145" i="63"/>
  <c r="P343" i="52"/>
  <c r="P341" i="52"/>
  <c r="P340" i="52"/>
  <c r="P338" i="52"/>
  <c r="P337" i="52"/>
  <c r="P349" i="52"/>
  <c r="P363" i="52"/>
  <c r="P355" i="52"/>
  <c r="P339" i="52"/>
  <c r="P332" i="52"/>
  <c r="P334" i="52"/>
  <c r="P331" i="52"/>
  <c r="J327" i="52"/>
  <c r="O327" i="52"/>
  <c r="M148" i="63" l="1"/>
  <c r="N146" i="63"/>
  <c r="M80" i="63"/>
  <c r="M149" i="63" l="1"/>
  <c r="N148" i="63" s="1"/>
  <c r="N147" i="63"/>
  <c r="C82" i="63"/>
  <c r="C81" i="63"/>
  <c r="L14" i="60"/>
  <c r="G82" i="63" l="1"/>
  <c r="H82" i="63"/>
  <c r="I82" i="63"/>
  <c r="G112" i="63"/>
  <c r="H112" i="63"/>
  <c r="I112" i="63"/>
  <c r="K112" i="63" l="1"/>
  <c r="K113" i="63"/>
  <c r="P24" i="18"/>
  <c r="N24" i="18" s="1"/>
  <c r="N45" i="18" l="1"/>
  <c r="M106" i="18" s="1"/>
  <c r="D48" i="60" l="1"/>
  <c r="F48" i="60" s="1"/>
  <c r="D47" i="60"/>
  <c r="F47" i="60" s="1"/>
  <c r="Y113" i="63" l="1"/>
  <c r="Y99" i="63"/>
  <c r="Y98" i="63"/>
  <c r="Y97" i="63"/>
  <c r="X110" i="63"/>
  <c r="Y110" i="63" s="1"/>
  <c r="I81" i="63"/>
  <c r="H81" i="63"/>
  <c r="G81" i="63"/>
  <c r="I106" i="63"/>
  <c r="H106" i="63"/>
  <c r="G106" i="63"/>
  <c r="I109" i="63"/>
  <c r="H109" i="63"/>
  <c r="G109" i="63"/>
  <c r="I107" i="63"/>
  <c r="H107" i="63"/>
  <c r="G107" i="63"/>
  <c r="I83" i="63"/>
  <c r="H83" i="63"/>
  <c r="G83" i="63"/>
  <c r="J319" i="52"/>
  <c r="I108" i="63"/>
  <c r="H108" i="63"/>
  <c r="G108" i="63"/>
  <c r="K107" i="63" l="1"/>
  <c r="K108" i="63"/>
  <c r="K109" i="63"/>
  <c r="K110" i="63"/>
  <c r="O319" i="52"/>
  <c r="G84" i="63" l="1"/>
  <c r="H84" i="63"/>
  <c r="I84" i="63"/>
  <c r="G85" i="63"/>
  <c r="H85" i="63"/>
  <c r="I85" i="63"/>
  <c r="X98" i="63" l="1"/>
  <c r="I105" i="63"/>
  <c r="G105" i="63"/>
  <c r="G104" i="63"/>
  <c r="H105" i="63"/>
  <c r="L115" i="63" l="1"/>
  <c r="K106" i="63"/>
  <c r="I104" i="63"/>
  <c r="H104" i="63"/>
  <c r="K105" i="63" s="1"/>
  <c r="G77" i="63"/>
  <c r="G78" i="63"/>
  <c r="G79" i="63"/>
  <c r="G80" i="63"/>
  <c r="I80" i="63"/>
  <c r="H80" i="63"/>
  <c r="N47" i="18"/>
  <c r="W319" i="18" l="1"/>
  <c r="G148" i="18" l="1"/>
  <c r="J148"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7" i="18"/>
  <c r="D413" i="15" l="1"/>
  <c r="F414" i="15"/>
  <c r="D412" i="15" l="1"/>
  <c r="F413" i="15"/>
  <c r="W333" i="18"/>
  <c r="O301" i="52"/>
  <c r="J147" i="18"/>
  <c r="J150" i="18" l="1"/>
  <c r="L45" i="18" s="1"/>
  <c r="F412" i="15"/>
  <c r="D411" i="15"/>
  <c r="I150"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7" i="18"/>
  <c r="N27" i="18" s="1"/>
  <c r="O298" i="52"/>
  <c r="D407" i="15" l="1"/>
  <c r="F408" i="15"/>
  <c r="J298" i="52"/>
  <c r="F407" i="15" l="1"/>
  <c r="D406" i="15"/>
  <c r="O297" i="52"/>
  <c r="W324" i="18"/>
  <c r="W323" i="18"/>
  <c r="W322" i="18"/>
  <c r="T417" i="18" l="1"/>
  <c r="T419" i="18" s="1"/>
  <c r="D405" i="15"/>
  <c r="F406" i="15"/>
  <c r="W321" i="18"/>
  <c r="J296" i="52"/>
  <c r="D404" i="15" l="1"/>
  <c r="F405" i="15"/>
  <c r="J295" i="52"/>
  <c r="F404" i="15" l="1"/>
  <c r="D403" i="15"/>
  <c r="W320"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59" i="18"/>
  <c r="W313" i="18"/>
  <c r="G158" i="18"/>
  <c r="J158" i="18" s="1"/>
  <c r="N44"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8" i="18"/>
  <c r="J164" i="18" l="1"/>
  <c r="J162" i="18"/>
  <c r="J163" i="18"/>
  <c r="J166" i="18" s="1"/>
  <c r="J156" i="18"/>
  <c r="I160"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S151"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52" i="18"/>
  <c r="N50"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6" i="18"/>
  <c r="G170" i="18" s="1"/>
  <c r="W269" i="18"/>
  <c r="O177" i="52"/>
  <c r="J177" i="52"/>
  <c r="M105" i="18" l="1"/>
  <c r="G171"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J142" i="18"/>
  <c r="I142" i="18" s="1"/>
  <c r="G135" i="18"/>
  <c r="J135" i="18" s="1"/>
  <c r="J137" i="18" s="1"/>
  <c r="I137"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2"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5"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12" i="18"/>
  <c r="L107" i="18" l="1"/>
  <c r="N107" i="18" s="1"/>
  <c r="L109" i="18"/>
  <c r="N109" i="18" s="1"/>
  <c r="L108" i="18"/>
  <c r="N108" i="18" s="1"/>
  <c r="M112" i="18"/>
  <c r="AM311" i="18"/>
  <c r="AL310" i="18"/>
  <c r="L104" i="18"/>
  <c r="W201" i="18"/>
  <c r="W200"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5"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1" i="18"/>
  <c r="AM120" i="18" l="1"/>
  <c r="AL119" i="18"/>
  <c r="AM119" i="18" l="1"/>
  <c r="AL118" i="18"/>
  <c r="S76" i="18"/>
  <c r="S77" i="18" s="1"/>
  <c r="S78" i="18" s="1"/>
  <c r="R175" i="18"/>
  <c r="R173" i="18"/>
  <c r="D57" i="51"/>
  <c r="AL117" i="18" l="1"/>
  <c r="AM118" i="18"/>
  <c r="S79" i="18"/>
  <c r="S80" i="18" s="1"/>
  <c r="AM117" i="18" l="1"/>
  <c r="AL116" i="18"/>
  <c r="S81" i="18"/>
  <c r="S82" i="18" s="1"/>
  <c r="N30" i="18"/>
  <c r="Q95"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46" i="18" l="1"/>
  <c r="AM112" i="18"/>
  <c r="AL111" i="18"/>
  <c r="D108" i="50"/>
  <c r="S86" i="18" l="1"/>
  <c r="S87" i="18" s="1"/>
  <c r="AL110" i="18"/>
  <c r="AM111" i="18"/>
  <c r="AL109" i="18" l="1"/>
  <c r="AM110" i="18"/>
  <c r="N106"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1" i="18"/>
  <c r="R171"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S58" i="18" s="1"/>
  <c r="S59" i="18" s="1"/>
  <c r="S60" i="18" s="1"/>
  <c r="S61" i="18" s="1"/>
  <c r="S62" i="18" s="1"/>
  <c r="S63" i="18" s="1"/>
  <c r="S64" i="18" s="1"/>
  <c r="S65" i="18" s="1"/>
  <c r="S66" i="18" s="1"/>
  <c r="S67" i="18" s="1"/>
  <c r="S68"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0" i="18"/>
  <c r="R186" i="18" s="1"/>
  <c r="AJ256" i="18"/>
  <c r="AJ257" i="18" s="1"/>
  <c r="G305" i="20"/>
  <c r="I306" i="20"/>
  <c r="K306" i="20"/>
  <c r="J306" i="20"/>
  <c r="AL74" i="18"/>
  <c r="AM75" i="18"/>
  <c r="T399" i="18" l="1"/>
  <c r="V402" i="18" s="1"/>
  <c r="U412" i="18"/>
  <c r="V412" i="18" s="1"/>
  <c r="G304" i="20"/>
  <c r="I305" i="20"/>
  <c r="K305" i="20"/>
  <c r="J305" i="20"/>
  <c r="AL73" i="18"/>
  <c r="AM74" i="18"/>
  <c r="R99" i="18"/>
  <c r="V68" i="18" l="1"/>
  <c r="V69" i="18"/>
  <c r="V66" i="18"/>
  <c r="V67" i="18"/>
  <c r="V70" i="18"/>
  <c r="V143" i="18"/>
  <c r="V144" i="18"/>
  <c r="V145" i="18"/>
  <c r="V65" i="18"/>
  <c r="V61" i="18"/>
  <c r="V62" i="18"/>
  <c r="V63" i="18"/>
  <c r="V64" i="18"/>
  <c r="V92" i="18"/>
  <c r="W155" i="18"/>
  <c r="V60" i="18"/>
  <c r="V59" i="18"/>
  <c r="V58" i="18"/>
  <c r="V57" i="18"/>
  <c r="V56" i="18"/>
  <c r="V55" i="18"/>
  <c r="V91" i="18"/>
  <c r="V90" i="18"/>
  <c r="V54" i="18"/>
  <c r="V52" i="18"/>
  <c r="W52" i="18" s="1"/>
  <c r="V51" i="18"/>
  <c r="V50" i="18"/>
  <c r="V48" i="18"/>
  <c r="V49" i="18"/>
  <c r="V53" i="18"/>
  <c r="V47" i="18"/>
  <c r="V46" i="18"/>
  <c r="V45" i="18"/>
  <c r="X45" i="18" s="1"/>
  <c r="V44" i="18"/>
  <c r="V89" i="18"/>
  <c r="V43" i="18"/>
  <c r="V42" i="18"/>
  <c r="W42" i="18" s="1"/>
  <c r="V41" i="18"/>
  <c r="X41" i="18" s="1"/>
  <c r="V88" i="18"/>
  <c r="V87" i="18"/>
  <c r="W87" i="18" s="1"/>
  <c r="V40" i="18"/>
  <c r="V39" i="18"/>
  <c r="V38" i="18"/>
  <c r="V36" i="18"/>
  <c r="V37" i="18"/>
  <c r="V35" i="18"/>
  <c r="W35" i="18" s="1"/>
  <c r="V33" i="18"/>
  <c r="V34" i="18"/>
  <c r="V32" i="18"/>
  <c r="X32" i="18" s="1"/>
  <c r="W158" i="18"/>
  <c r="V86" i="18"/>
  <c r="X86" i="18" s="1"/>
  <c r="V85" i="18"/>
  <c r="W85" i="18" s="1"/>
  <c r="V94" i="18"/>
  <c r="V31" i="18"/>
  <c r="W157"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67" i="18" l="1"/>
  <c r="X67" i="18"/>
  <c r="W66" i="18"/>
  <c r="X66" i="18"/>
  <c r="W69" i="18"/>
  <c r="X69" i="18"/>
  <c r="W70" i="18"/>
  <c r="X70" i="18"/>
  <c r="X68" i="18"/>
  <c r="W68" i="18"/>
  <c r="W145" i="18"/>
  <c r="X145" i="18"/>
  <c r="W143" i="18"/>
  <c r="X143" i="18"/>
  <c r="X144" i="18"/>
  <c r="W144" i="18"/>
  <c r="W62" i="18"/>
  <c r="X62" i="18"/>
  <c r="W65" i="18"/>
  <c r="X65" i="18"/>
  <c r="W64" i="18"/>
  <c r="X64" i="18"/>
  <c r="W61" i="18"/>
  <c r="X61" i="18"/>
  <c r="X63" i="18"/>
  <c r="W63" i="18"/>
  <c r="W92" i="18"/>
  <c r="X92" i="18"/>
  <c r="W59" i="18"/>
  <c r="X59" i="18"/>
  <c r="W60" i="18"/>
  <c r="X60" i="18"/>
  <c r="W57" i="18"/>
  <c r="X57" i="18"/>
  <c r="W58" i="18"/>
  <c r="X58" i="18"/>
  <c r="W55" i="18"/>
  <c r="X55" i="18"/>
  <c r="W56" i="18"/>
  <c r="X56" i="18"/>
  <c r="W90" i="18"/>
  <c r="X90" i="18"/>
  <c r="W91" i="18"/>
  <c r="X91" i="18"/>
  <c r="W54" i="18"/>
  <c r="X54" i="18"/>
  <c r="X52" i="18"/>
  <c r="W50" i="18"/>
  <c r="X50" i="18"/>
  <c r="W51" i="18"/>
  <c r="X51" i="18"/>
  <c r="X49" i="18"/>
  <c r="W49" i="18"/>
  <c r="W53" i="18"/>
  <c r="X53" i="18"/>
  <c r="W48" i="18"/>
  <c r="X48" i="18"/>
  <c r="W46" i="18"/>
  <c r="X46" i="18"/>
  <c r="W47" i="18"/>
  <c r="X47" i="18"/>
  <c r="W45" i="18"/>
  <c r="W89" i="18"/>
  <c r="X89" i="18"/>
  <c r="W44" i="18"/>
  <c r="X44" i="18"/>
  <c r="W43" i="18"/>
  <c r="X43"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56" i="18"/>
  <c r="G302" i="20"/>
  <c r="K303" i="20"/>
  <c r="I303" i="20"/>
  <c r="J303" i="20"/>
  <c r="X26" i="18"/>
  <c r="W81" i="18"/>
  <c r="X81" i="18"/>
  <c r="W25" i="18"/>
  <c r="X25" i="18"/>
  <c r="X24" i="18"/>
  <c r="W80" i="18"/>
  <c r="X80" i="18"/>
  <c r="W23" i="18"/>
  <c r="W79" i="18"/>
  <c r="X79" i="18"/>
  <c r="W78" i="18"/>
  <c r="X78" i="18"/>
  <c r="N33" i="18"/>
  <c r="W154" i="18"/>
  <c r="X77" i="18"/>
  <c r="W77" i="18"/>
  <c r="W22" i="18"/>
  <c r="X22" i="18"/>
  <c r="W20" i="18"/>
  <c r="X20" i="18"/>
  <c r="W103" i="18"/>
  <c r="X103" i="18"/>
  <c r="W21" i="18"/>
  <c r="X21" i="18"/>
  <c r="AL71" i="18"/>
  <c r="AM72" i="18"/>
  <c r="I173" i="18" l="1"/>
  <c r="W164" i="18"/>
  <c r="G172" i="18"/>
  <c r="I172" i="18"/>
  <c r="G173" i="18"/>
  <c r="N59" i="18"/>
  <c r="L21" i="18"/>
  <c r="W165"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6" i="18" l="1"/>
  <c r="S117" i="18" s="1"/>
  <c r="I149" i="20"/>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6" i="18" l="1"/>
  <c r="I145" i="20"/>
  <c r="G144" i="20"/>
  <c r="K145" i="20"/>
  <c r="J145" i="20"/>
  <c r="G30" i="10"/>
  <c r="G31" i="10"/>
  <c r="G33" i="10"/>
  <c r="G34" i="10"/>
  <c r="G35" i="10"/>
  <c r="G29" i="10"/>
  <c r="W116" i="18" l="1"/>
  <c r="X116" i="18"/>
  <c r="G143" i="20"/>
  <c r="J144" i="20"/>
  <c r="K144" i="20"/>
  <c r="I144" i="20"/>
  <c r="H119" i="20"/>
  <c r="H118" i="20"/>
  <c r="S118" i="18" l="1"/>
  <c r="K143" i="20"/>
  <c r="I143" i="20"/>
  <c r="J143" i="20"/>
  <c r="G142" i="20"/>
  <c r="G63" i="13"/>
  <c r="F52" i="13"/>
  <c r="V117"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9" i="18" l="1"/>
  <c r="V118" i="18"/>
  <c r="W117" i="18"/>
  <c r="X117" i="18"/>
  <c r="G140" i="20"/>
  <c r="I141" i="20"/>
  <c r="J141" i="20"/>
  <c r="K141" i="20"/>
  <c r="G61" i="13"/>
  <c r="W118" i="18" l="1"/>
  <c r="X118" i="18"/>
  <c r="S120" i="18"/>
  <c r="S121" i="18" s="1"/>
  <c r="V119" i="18"/>
  <c r="G139" i="20"/>
  <c r="K140" i="20"/>
  <c r="J140" i="20"/>
  <c r="I140" i="20"/>
  <c r="G60" i="13"/>
  <c r="W119" i="18" l="1"/>
  <c r="X119" i="18"/>
  <c r="V120" i="18"/>
  <c r="G138" i="20"/>
  <c r="K139" i="20"/>
  <c r="I139" i="20"/>
  <c r="J139" i="20"/>
  <c r="G59" i="13"/>
  <c r="F47" i="13"/>
  <c r="F48" i="13"/>
  <c r="F49" i="13"/>
  <c r="F50" i="13"/>
  <c r="F51" i="13"/>
  <c r="F53" i="13"/>
  <c r="F54" i="13"/>
  <c r="F55" i="13"/>
  <c r="D44" i="21"/>
  <c r="H116" i="20"/>
  <c r="X120" i="18" l="1"/>
  <c r="W120" i="18"/>
  <c r="G137" i="20"/>
  <c r="K138" i="20"/>
  <c r="J138" i="20"/>
  <c r="I138" i="20"/>
  <c r="G57" i="13"/>
  <c r="G58" i="13"/>
  <c r="S122" i="18" l="1"/>
  <c r="S123" i="18" s="1"/>
  <c r="S124" i="18" s="1"/>
  <c r="S125" i="18" s="1"/>
  <c r="G136" i="20"/>
  <c r="K137" i="20"/>
  <c r="I137" i="20"/>
  <c r="J137" i="20"/>
  <c r="G56" i="13"/>
  <c r="H115" i="20"/>
  <c r="F42" i="13"/>
  <c r="F43" i="13"/>
  <c r="F44" i="13"/>
  <c r="F45" i="13"/>
  <c r="F46" i="13"/>
  <c r="F41" i="13"/>
  <c r="F40" i="13"/>
  <c r="V121" i="18" l="1"/>
  <c r="K136" i="20"/>
  <c r="J136" i="20"/>
  <c r="I136" i="20"/>
  <c r="G135" i="20"/>
  <c r="G55" i="13"/>
  <c r="W121" i="18" l="1"/>
  <c r="X121" i="18"/>
  <c r="G134" i="20"/>
  <c r="J135" i="20"/>
  <c r="K135" i="20"/>
  <c r="I135" i="20"/>
  <c r="G54" i="13"/>
  <c r="F39" i="13"/>
  <c r="V122" i="18" l="1"/>
  <c r="X122"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2"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3" i="18" l="1"/>
  <c r="W123" i="18" s="1"/>
  <c r="G131" i="20"/>
  <c r="I132" i="20"/>
  <c r="J132" i="20"/>
  <c r="K132" i="20"/>
  <c r="E51" i="13"/>
  <c r="G52" i="13"/>
  <c r="F124" i="15"/>
  <c r="F122" i="15"/>
  <c r="F121" i="15"/>
  <c r="X123"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4"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4" i="18" l="1"/>
  <c r="X124"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6"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6" i="18" l="1"/>
  <c r="X126" i="18" s="1"/>
  <c r="S127" i="18"/>
  <c r="V125" i="18"/>
  <c r="G103" i="20"/>
  <c r="K104" i="20"/>
  <c r="J104" i="20"/>
  <c r="I104" i="20"/>
  <c r="E11" i="18"/>
  <c r="G10" i="18"/>
  <c r="E23" i="13"/>
  <c r="G24" i="13"/>
  <c r="F98" i="15"/>
  <c r="C30" i="18"/>
  <c r="G10" i="14"/>
  <c r="E9" i="14"/>
  <c r="G13" i="6"/>
  <c r="H16" i="6"/>
  <c r="G16" i="6"/>
  <c r="W126" i="18" l="1"/>
  <c r="V127" i="18"/>
  <c r="X127" i="18" s="1"/>
  <c r="S128" i="18"/>
  <c r="W125" i="18"/>
  <c r="X125"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7" i="18" l="1"/>
  <c r="S129" i="18"/>
  <c r="V128" i="18"/>
  <c r="G101" i="20"/>
  <c r="I102" i="20"/>
  <c r="J102" i="20"/>
  <c r="K102" i="20"/>
  <c r="E13" i="18"/>
  <c r="G12" i="18"/>
  <c r="E21" i="13"/>
  <c r="G22" i="13"/>
  <c r="F96" i="15"/>
  <c r="C32" i="18"/>
  <c r="E7" i="14"/>
  <c r="G8" i="14"/>
  <c r="I5" i="6"/>
  <c r="W128" i="18" l="1"/>
  <c r="X128" i="18"/>
  <c r="S130" i="18"/>
  <c r="V129"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0" i="18" l="1"/>
  <c r="W130" i="18" s="1"/>
  <c r="S131" i="18"/>
  <c r="S132" i="18" s="1"/>
  <c r="W129" i="18"/>
  <c r="X129" i="18"/>
  <c r="X130"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1" i="18" l="1"/>
  <c r="W131" i="18" s="1"/>
  <c r="G98" i="20"/>
  <c r="K99" i="20"/>
  <c r="I99" i="20"/>
  <c r="J99" i="20"/>
  <c r="E18" i="18"/>
  <c r="G17" i="18"/>
  <c r="E18" i="13"/>
  <c r="G19" i="13"/>
  <c r="F93" i="15"/>
  <c r="C35" i="18"/>
  <c r="E4" i="14"/>
  <c r="G5" i="14"/>
  <c r="H21" i="5"/>
  <c r="G21" i="5"/>
  <c r="G2" i="4"/>
  <c r="D2" i="4"/>
  <c r="B29" i="4" s="1"/>
  <c r="G3" i="3"/>
  <c r="D24" i="5"/>
  <c r="B21" i="4"/>
  <c r="B2" i="2" s="1"/>
  <c r="I6" i="5"/>
  <c r="I21" i="5" s="1"/>
  <c r="G3" i="4"/>
  <c r="X131" i="18" l="1"/>
  <c r="S133" i="18"/>
  <c r="S134" i="18" s="1"/>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2"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2" i="18" l="1"/>
  <c r="X132"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3" i="18" l="1"/>
  <c r="W133"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3" i="18" l="1"/>
  <c r="G89" i="20"/>
  <c r="J90" i="20"/>
  <c r="I90" i="20"/>
  <c r="K90" i="20"/>
  <c r="B25" i="21"/>
  <c r="B2" i="22" s="1"/>
  <c r="G2" i="21"/>
  <c r="G26" i="21" s="1"/>
  <c r="G31" i="21" s="1"/>
  <c r="G10" i="13"/>
  <c r="E9" i="13"/>
  <c r="F84" i="15"/>
  <c r="D24" i="11"/>
  <c r="I2" i="11"/>
  <c r="C24" i="12"/>
  <c r="C2" i="17" s="1"/>
  <c r="H2" i="12"/>
  <c r="H25" i="12" s="1"/>
  <c r="H30" i="12" s="1"/>
  <c r="D2" i="12"/>
  <c r="C44" i="18"/>
  <c r="E43" i="18"/>
  <c r="V134" i="18" l="1"/>
  <c r="W134"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4"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36" i="18" l="1"/>
  <c r="B24" i="26"/>
  <c r="B2" i="27" s="1"/>
  <c r="G2" i="26"/>
  <c r="G25" i="26" s="1"/>
  <c r="G84" i="20"/>
  <c r="J85" i="20"/>
  <c r="I85" i="20"/>
  <c r="K85" i="20"/>
  <c r="E48" i="18"/>
  <c r="I2" i="22"/>
  <c r="I25" i="22" s="1"/>
  <c r="I30" i="22" s="1"/>
  <c r="D24" i="22"/>
  <c r="C24" i="23"/>
  <c r="C2" i="24" s="1"/>
  <c r="H2" i="23"/>
  <c r="D2" i="23"/>
  <c r="G5" i="13"/>
  <c r="E4" i="13"/>
  <c r="F79" i="15"/>
  <c r="C49" i="18"/>
  <c r="V135"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5" i="18" l="1"/>
  <c r="X135" i="18"/>
  <c r="S13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36" i="18" l="1"/>
  <c r="G2" i="29"/>
  <c r="G25" i="29" s="1"/>
  <c r="B24" i="29"/>
  <c r="B2" i="30" s="1"/>
  <c r="I2" i="25"/>
  <c r="I25" i="25" s="1"/>
  <c r="I30" i="25" s="1"/>
  <c r="D24" i="25"/>
  <c r="C24" i="26"/>
  <c r="C2" i="27" s="1"/>
  <c r="H2" i="26"/>
  <c r="H25" i="26" s="1"/>
  <c r="H30" i="26" s="1"/>
  <c r="D2" i="26"/>
  <c r="G81" i="20"/>
  <c r="K82" i="20"/>
  <c r="I82" i="20"/>
  <c r="J82" i="20"/>
  <c r="F76" i="15"/>
  <c r="C52" i="18"/>
  <c r="E51" i="18"/>
  <c r="W136" i="18" l="1"/>
  <c r="X136" i="18"/>
  <c r="B24" i="30"/>
  <c r="B2" i="31" s="1"/>
  <c r="G2" i="30"/>
  <c r="G25" i="30" s="1"/>
  <c r="G30" i="30" s="1"/>
  <c r="H2" i="27"/>
  <c r="H25" i="27" s="1"/>
  <c r="H30" i="27" s="1"/>
  <c r="C24" i="27"/>
  <c r="C2" i="28" s="1"/>
  <c r="D2" i="27"/>
  <c r="I2" i="26"/>
  <c r="I25" i="26" s="1"/>
  <c r="I30" i="26" s="1"/>
  <c r="D24" i="26"/>
  <c r="G80" i="20"/>
  <c r="K81" i="20"/>
  <c r="J81" i="20"/>
  <c r="I81" i="20"/>
  <c r="E52" i="18"/>
  <c r="F75" i="15"/>
  <c r="C53" i="18"/>
  <c r="V137" i="18" l="1"/>
  <c r="W137" i="18" s="1"/>
  <c r="S138" i="18"/>
  <c r="V138" i="18" s="1"/>
  <c r="I2" i="27"/>
  <c r="I25" i="27" s="1"/>
  <c r="I30" i="27" s="1"/>
  <c r="D24" i="27"/>
  <c r="C24" i="28"/>
  <c r="C2" i="29" s="1"/>
  <c r="H2" i="28"/>
  <c r="H25" i="28" s="1"/>
  <c r="H30" i="28" s="1"/>
  <c r="D2" i="28"/>
  <c r="G2" i="31"/>
  <c r="G25" i="31" s="1"/>
  <c r="B24" i="31"/>
  <c r="B2" i="34" s="1"/>
  <c r="G79" i="20"/>
  <c r="I80" i="20"/>
  <c r="J80" i="20"/>
  <c r="K80" i="20"/>
  <c r="F74" i="15"/>
  <c r="C54" i="18"/>
  <c r="E53" i="18"/>
  <c r="X137" i="18" l="1"/>
  <c r="W138" i="18"/>
  <c r="X138" i="18"/>
  <c r="S139" i="18"/>
  <c r="H2" i="29"/>
  <c r="H25" i="29" s="1"/>
  <c r="H30" i="29" s="1"/>
  <c r="C24" i="29"/>
  <c r="C2" i="30" s="1"/>
  <c r="D2" i="29"/>
  <c r="I2" i="28"/>
  <c r="I25" i="28" s="1"/>
  <c r="I30" i="28" s="1"/>
  <c r="D24" i="28"/>
  <c r="B24" i="34"/>
  <c r="B2" i="38" s="1"/>
  <c r="G2" i="34"/>
  <c r="G25" i="34" s="1"/>
  <c r="G78" i="20"/>
  <c r="K79" i="20"/>
  <c r="I79" i="20"/>
  <c r="J79" i="20"/>
  <c r="E54" i="18"/>
  <c r="F73" i="15"/>
  <c r="C55" i="18"/>
  <c r="S140" i="18" l="1"/>
  <c r="S141" i="18" s="1"/>
  <c r="S142" i="18" s="1"/>
  <c r="V142" i="18" s="1"/>
  <c r="V139" i="18"/>
  <c r="G2" i="38"/>
  <c r="G25" i="38" s="1"/>
  <c r="B24" i="38"/>
  <c r="B2" i="42" s="1"/>
  <c r="I2" i="29"/>
  <c r="I25" i="29" s="1"/>
  <c r="I30" i="29" s="1"/>
  <c r="D24" i="29"/>
  <c r="H2" i="30"/>
  <c r="H25" i="30" s="1"/>
  <c r="H30" i="30" s="1"/>
  <c r="C24" i="30"/>
  <c r="C2" i="31" s="1"/>
  <c r="D2" i="30"/>
  <c r="G77" i="20"/>
  <c r="K78" i="20"/>
  <c r="I78" i="20"/>
  <c r="J78" i="20"/>
  <c r="F72" i="15"/>
  <c r="C56" i="18"/>
  <c r="E55" i="18"/>
  <c r="X142" i="18" l="1"/>
  <c r="W142" i="18"/>
  <c r="V141" i="18"/>
  <c r="W139" i="18"/>
  <c r="X139" i="18"/>
  <c r="V140" i="18"/>
  <c r="B24" i="42"/>
  <c r="B2" i="43" s="1"/>
  <c r="G2" i="42"/>
  <c r="G25" i="42" s="1"/>
  <c r="I2" i="30"/>
  <c r="I25" i="30" s="1"/>
  <c r="I30" i="30" s="1"/>
  <c r="D24" i="30"/>
  <c r="C24" i="31"/>
  <c r="C2" i="34" s="1"/>
  <c r="H2" i="31"/>
  <c r="H25" i="31" s="1"/>
  <c r="H30" i="31" s="1"/>
  <c r="D2" i="31"/>
  <c r="G76" i="20"/>
  <c r="J77" i="20"/>
  <c r="K77" i="20"/>
  <c r="I77" i="20"/>
  <c r="E56" i="18"/>
  <c r="F71" i="15"/>
  <c r="C57" i="18"/>
  <c r="X141" i="18" l="1"/>
  <c r="W141" i="18"/>
  <c r="X140" i="18"/>
  <c r="W140"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<sst xmlns="http://schemas.openxmlformats.org/spreadsheetml/2006/main" count="14297" uniqueCount="5757">
  <si>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</si>
  <si>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</si>
  <si>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</si>
  <si>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</si>
  <si>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</si>
  <si>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</si>
  <si>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</si>
  <si>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</si>
  <si>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</si>
  <si>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</si>
  <si>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</si>
  <si>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</si>
  <si>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</si>
  <si>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</si>
  <si>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</si>
  <si>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</si>
  <si>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</si>
  <si>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</si>
  <si>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</si>
  <si>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</si>
  <si>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</si>
  <si>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</si>
  <si>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</si>
  <si>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</si>
  <si>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</si>
  <si>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</si>
  <si>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</si>
  <si>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</si>
  <si>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</si>
  <si>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</si>
  <si>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</si>
  <si>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</si>
  <si>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</si>
  <si>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</si>
  <si>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</si>
  <si>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</si>
  <si>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</si>
  <si>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</si>
  <si>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</si>
  <si>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</si>
  <si>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</si>
  <si>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</si>
  <si>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</si>
  <si>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</si>
  <si>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</si>
  <si>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</si>
  <si>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</si>
  <si>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</si>
  <si>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</si>
  <si>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</si>
  <si>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</si>
  <si>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</si>
  <si>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</si>
  <si>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</si>
  <si>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</si>
  <si>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</si>
  <si>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</si>
  <si>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</si>
  <si>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</si>
  <si>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</si>
  <si>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</si>
  <si>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</si>
  <si>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</si>
  <si>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</si>
  <si>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</si>
  <si>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</si>
  <si>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</si>
  <si>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</si>
  <si>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</si>
  <si>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</si>
  <si>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</si>
  <si>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</si>
  <si>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</si>
  <si>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</si>
  <si>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</si>
  <si>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</si>
  <si>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</si>
  <si>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</si>
  <si>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</si>
  <si>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</si>
  <si>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</si>
  <si>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</si>
  <si>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</si>
  <si>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</si>
  <si>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</si>
  <si>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</si>
  <si>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</si>
  <si>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</si>
  <si>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</si>
  <si>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</si>
  <si>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</si>
  <si>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</si>
  <si>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</si>
  <si>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</si>
  <si>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</si>
  <si>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</si>
  <si>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</si>
  <si>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</si>
  <si>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</si>
  <si>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</si>
  <si>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</si>
  <si>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</si>
  <si>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</si>
  <si>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</si>
  <si>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</si>
  <si>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</si>
  <si>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</si>
  <si>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</si>
  <si>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</si>
  <si>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</si>
  <si>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</si>
  <si>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</si>
  <si>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</si>
  <si>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</si>
  <si>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</si>
  <si>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</si>
  <si>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</si>
  <si>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</si>
  <si>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</si>
  <si>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</si>
  <si>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</si>
  <si>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</si>
  <si>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</si>
  <si>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</si>
  <si>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</si>
  <si>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</si>
  <si>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</si>
  <si>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</si>
  <si>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</si>
  <si>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</si>
  <si>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</si>
  <si>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</si>
  <si>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</si>
  <si>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</si>
  <si>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</si>
  <si>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</si>
  <si>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</si>
  <si>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</si>
  <si>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</si>
  <si>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</si>
  <si>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</si>
  <si>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</si>
  <si>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</si>
  <si>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</si>
  <si>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</si>
  <si>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</si>
  <si>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</si>
  <si>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</si>
  <si>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</si>
  <si>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</si>
  <si>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</si>
  <si>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</si>
  <si>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</si>
  <si>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</si>
  <si>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</si>
  <si>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</si>
  <si>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</si>
  <si>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</si>
  <si>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</si>
  <si>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</si>
  <si>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</si>
  <si>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</si>
  <si>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</si>
  <si>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</si>
  <si>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</si>
  <si>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</si>
  <si>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</si>
  <si>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</si>
  <si>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</si>
  <si>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</si>
  <si>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</si>
  <si>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</si>
  <si>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</si>
  <si>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</si>
  <si>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</si>
  <si>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</si>
  <si>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</si>
  <si>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</si>
  <si>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</si>
  <si>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</si>
  <si>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</si>
  <si>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</si>
  <si>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</si>
  <si>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</si>
  <si>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</si>
  <si>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</si>
  <si>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</si>
  <si>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</si>
  <si>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</si>
  <si>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</si>
  <si>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</si>
  <si>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</si>
  <si>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</si>
  <si>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</si>
  <si>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</si>
  <si>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</si>
  <si>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</si>
  <si>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</si>
  <si>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</si>
  <si>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</si>
  <si>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</si>
  <si>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</si>
  <si>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</si>
  <si>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</si>
  <si>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</si>
  <si>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</si>
  <si>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</si>
  <si>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</si>
  <si>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</si>
  <si>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</si>
  <si>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</si>
  <si>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</si>
  <si>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</si>
  <si>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</si>
  <si>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</si>
  <si>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</si>
  <si>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</si>
  <si>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</si>
  <si>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</si>
  <si>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</si>
  <si>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</si>
  <si>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</si>
  <si>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</si>
  <si>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</si>
  <si>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</si>
  <si>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</si>
  <si>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</si>
  <si>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</si>
  <si>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</si>
  <si>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</si>
  <si>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</si>
  <si>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</si>
  <si>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</si>
  <si>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</si>
  <si>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</si>
  <si>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</si>
  <si>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</si>
  <si>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</si>
  <si>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</si>
  <si>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</si>
  <si>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</si>
  <si>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</si>
  <si>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</si>
  <si>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</si>
  <si>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</si>
  <si>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</si>
  <si>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</si>
  <si>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</si>
  <si>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</si>
  <si>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</si>
  <si>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</si>
  <si>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</si>
  <si>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</si>
  <si>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</si>
  <si>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</si>
  <si>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</si>
  <si>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</si>
  <si>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</si>
  <si>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</si>
  <si>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</si>
  <si>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</si>
  <si>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</si>
  <si>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</si>
  <si>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</si>
  <si>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</si>
  <si>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</si>
  <si>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</si>
  <si>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</si>
  <si>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</si>
  <si>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</si>
  <si>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</si>
  <si>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</si>
  <si>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</si>
  <si>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</si>
  <si>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</si>
  <si>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</si>
  <si>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</si>
  <si>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</si>
  <si>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</si>
  <si>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</si>
  <si>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</si>
  <si>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</si>
  <si>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</si>
  <si>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</si>
  <si>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</si>
  <si>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</si>
  <si>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</si>
  <si>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</si>
  <si>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</si>
  <si>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</si>
  <si>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</si>
  <si>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</si>
  <si>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</si>
  <si>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</si>
  <si>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</si>
  <si>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</si>
  <si>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</si>
  <si>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</si>
  <si>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</si>
  <si>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</si>
  <si>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</si>
  <si>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</si>
  <si>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</si>
  <si>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</si>
  <si>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</si>
  <si>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</si>
  <si>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</si>
  <si>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</si>
  <si>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</si>
  <si>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</si>
  <si>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</si>
  <si>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</si>
  <si>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</si>
  <si>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</si>
  <si>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</si>
  <si>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</si>
  <si>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</si>
  <si>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</si>
  <si>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</si>
  <si>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</si>
  <si>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</si>
  <si>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</si>
  <si>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</si>
  <si>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</si>
  <si>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</si>
  <si>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</si>
  <si>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</si>
  <si>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</si>
  <si>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</si>
  <si>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</si>
  <si>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</si>
  <si>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</si>
  <si>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</si>
  <si>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</si>
  <si>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</si>
  <si>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</si>
  <si>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</si>
  <si>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</si>
  <si>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</si>
  <si>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</si>
  <si>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</si>
  <si>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</si>
  <si>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</si>
  <si>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</si>
  <si>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</si>
  <si>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</si>
  <si>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</si>
  <si>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</si>
  <si>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</si>
  <si>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</si>
  <si>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</si>
  <si>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</si>
  <si>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</si>
  <si>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</si>
  <si>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</si>
  <si>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</si>
  <si>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</si>
  <si>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</si>
  <si>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</si>
  <si>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</si>
  <si>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</si>
  <si>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</si>
  <si>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</si>
  <si>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</si>
  <si>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</si>
  <si>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</si>
  <si>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</si>
  <si>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</si>
  <si>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</si>
  <si>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</si>
  <si>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</si>
  <si>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</si>
  <si>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</si>
  <si>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</si>
  <si>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</si>
  <si>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</si>
  <si>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</si>
  <si>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</si>
  <si>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</si>
  <si>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</si>
  <si>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</si>
  <si>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</si>
  <si>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</si>
  <si>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</si>
  <si>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</si>
  <si>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</si>
  <si>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</si>
  <si>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</si>
  <si>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</si>
  <si>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</si>
  <si>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</si>
  <si>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</si>
  <si>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</si>
  <si>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</si>
  <si>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</si>
  <si>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</si>
  <si>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</si>
  <si>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</si>
  <si>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</si>
  <si>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</si>
  <si>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</si>
  <si>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</si>
  <si>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</si>
  <si>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</si>
  <si>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</si>
  <si>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</si>
  <si>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</si>
  <si>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</si>
  <si>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</si>
  <si>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</si>
  <si>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</si>
  <si>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</si>
  <si>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</si>
  <si>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</si>
  <si>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</si>
  <si>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</si>
  <si>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</si>
  <si>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</si>
  <si>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</si>
  <si>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</si>
  <si>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</si>
  <si>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</si>
  <si>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</si>
  <si>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</si>
  <si>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</si>
  <si>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</si>
  <si>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</si>
  <si>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</si>
  <si>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</si>
  <si>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</si>
  <si>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</si>
  <si>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</si>
  <si>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</si>
  <si>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</si>
  <si>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</si>
  <si>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</si>
  <si>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</si>
  <si>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</si>
  <si>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</si>
  <si>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</si>
  <si>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</si>
  <si>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</si>
  <si>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</si>
  <si>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</si>
  <si>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</si>
  <si>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</si>
  <si>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</si>
  <si>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</si>
  <si>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</si>
  <si>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</si>
  <si>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</si>
  <si>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</si>
  <si>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</si>
  <si>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</si>
  <si>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</si>
  <si>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</si>
  <si>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</si>
  <si>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</si>
  <si>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</si>
  <si>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</si>
  <si>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</si>
  <si>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</si>
  <si>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</si>
  <si>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</si>
  <si>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</si>
  <si>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</si>
  <si>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</si>
  <si>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</si>
  <si>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</si>
  <si>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</si>
  <si>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</si>
  <si>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</si>
  <si>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</si>
  <si>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</si>
  <si>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</si>
  <si>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</si>
  <si>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</si>
  <si>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</si>
  <si>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</si>
  <si>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</si>
  <si>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</si>
  <si>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</si>
  <si>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</si>
  <si>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</si>
  <si>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</si>
  <si>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</si>
  <si>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</si>
  <si>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</si>
  <si>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</si>
  <si>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</si>
  <si>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</si>
  <si>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</si>
  <si>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</si>
  <si>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</si>
  <si>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</si>
  <si>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</si>
  <si>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</si>
  <si>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</si>
  <si>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</si>
  <si>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</si>
  <si>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</si>
  <si>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</si>
  <si>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</si>
  <si>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</si>
  <si>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</si>
  <si>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</si>
  <si>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</si>
  <si>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</si>
  <si>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</si>
  <si>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</si>
  <si>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</si>
  <si>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</si>
  <si>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</si>
  <si>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</si>
  <si>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</si>
  <si>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</si>
  <si>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</si>
  <si>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</si>
  <si>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</si>
  <si>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</si>
  <si>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</si>
  <si>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</si>
  <si>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</si>
  <si>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</si>
  <si>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</si>
  <si>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</si>
  <si>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</si>
  <si>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</si>
  <si>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</si>
  <si>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</si>
  <si>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</si>
  <si>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</si>
  <si>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</si>
  <si>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</si>
  <si>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</si>
  <si>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</si>
  <si>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</si>
  <si>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</si>
  <si>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</si>
  <si>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</si>
  <si>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</si>
  <si>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</si>
  <si>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</si>
  <si>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</si>
  <si>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</si>
  <si>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</si>
  <si>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</si>
  <si>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</si>
  <si>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</si>
  <si>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</si>
  <si>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</si>
  <si>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</si>
  <si>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</si>
  <si>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</si>
  <si>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</si>
  <si>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</si>
  <si>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</si>
  <si>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</si>
  <si>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</si>
  <si>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</si>
  <si>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</si>
  <si>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</si>
  <si>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</si>
  <si>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</si>
  <si>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</si>
  <si>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</si>
  <si>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</si>
  <si>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</si>
  <si>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</si>
  <si>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</si>
  <si>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</si>
  <si>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</si>
  <si>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</si>
  <si>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</si>
  <si>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</si>
  <si>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</si>
  <si>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</si>
  <si>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</si>
  <si>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</si>
  <si>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</si>
  <si>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</si>
  <si>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</si>
  <si>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</si>
  <si>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</si>
  <si>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</si>
  <si>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</si>
  <si>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</si>
  <si>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</si>
  <si>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</si>
  <si>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</si>
  <si>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</si>
  <si>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</si>
  <si>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</si>
  <si>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</si>
  <si>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</si>
  <si>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</si>
  <si>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</si>
  <si>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</si>
  <si>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</si>
  <si>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</si>
  <si>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</si>
  <si>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</si>
  <si>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</si>
  <si>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</si>
  <si>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</si>
  <si>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</si>
  <si>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</si>
  <si>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</si>
  <si>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</si>
  <si>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</si>
  <si>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</si>
  <si>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</si>
  <si>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</si>
  <si>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</si>
  <si>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</si>
  <si>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</si>
  <si>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</si>
  <si>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</si>
  <si>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</si>
  <si>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</si>
  <si>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</si>
  <si>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</si>
  <si>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</si>
  <si>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</si>
  <si>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</si>
  <si>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</si>
  <si>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</si>
  <si>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</si>
  <si>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</si>
  <si>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</si>
  <si>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</si>
  <si>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</si>
  <si>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</si>
  <si>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</si>
  <si>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</si>
  <si>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</si>
  <si>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</si>
  <si>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</si>
  <si>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</si>
  <si>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</si>
  <si>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</si>
  <si>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</si>
  <si>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</si>
  <si>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</si>
  <si>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</si>
  <si>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</si>
  <si>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</si>
  <si>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</si>
  <si>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</si>
  <si>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</si>
  <si>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</si>
  <si>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</si>
  <si>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</si>
  <si>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</si>
  <si>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</si>
  <si>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</si>
  <si>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</si>
  <si>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</si>
  <si>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</si>
  <si>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</si>
  <si>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</si>
  <si>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</si>
  <si>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</si>
  <si>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</si>
  <si>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</si>
  <si>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</si>
  <si>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</si>
  <si>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</si>
  <si>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</si>
  <si>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</si>
  <si>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</si>
  <si>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</si>
  <si>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</si>
  <si>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</si>
  <si>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</si>
  <si>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</si>
  <si>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</si>
  <si>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</si>
  <si>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</si>
  <si>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</si>
  <si>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</si>
  <si>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</si>
  <si>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</si>
  <si>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</si>
  <si>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</si>
  <si>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</si>
  <si>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</si>
  <si>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</si>
  <si>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</si>
  <si>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</si>
  <si>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</si>
  <si>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</si>
  <si>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</si>
  <si>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</si>
  <si>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</si>
  <si>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</si>
  <si>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</si>
  <si>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</si>
  <si>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</si>
  <si>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</si>
  <si>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</si>
  <si>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</si>
  <si>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</si>
  <si>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</si>
  <si>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</si>
  <si>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</si>
  <si>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</si>
  <si>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</si>
  <si>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</si>
  <si>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</si>
  <si>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</si>
  <si>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</si>
  <si>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</si>
  <si>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</si>
  <si>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</si>
  <si>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</si>
  <si>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</si>
  <si>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</si>
  <si>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</si>
  <si>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</si>
  <si>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</si>
  <si>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</si>
  <si>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</si>
  <si>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</si>
  <si>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</si>
  <si>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</si>
  <si>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</si>
  <si>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</si>
  <si>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</si>
  <si>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</si>
  <si>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</si>
  <si>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</si>
  <si>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</si>
  <si>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</si>
  <si>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</si>
  <si>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</si>
  <si>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</si>
  <si>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</si>
  <si>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</si>
  <si>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</si>
  <si>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</si>
  <si>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</si>
  <si>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</si>
  <si>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</si>
  <si>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</si>
  <si>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</si>
  <si>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</si>
  <si>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</si>
  <si>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</si>
  <si>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</si>
  <si>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</si>
  <si>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</si>
  <si>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</si>
  <si>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</si>
  <si>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</si>
  <si>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</si>
  <si>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</si>
  <si>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</si>
  <si>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</si>
  <si>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</si>
  <si>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</si>
  <si>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</si>
  <si>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</si>
  <si>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</si>
  <si>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</si>
  <si>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</si>
  <si>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</si>
  <si>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</si>
  <si>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</si>
  <si>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</si>
  <si>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</si>
  <si>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</si>
  <si>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</si>
  <si>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</si>
  <si>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</si>
  <si>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</si>
  <si>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</si>
  <si>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</si>
  <si>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</si>
  <si>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</si>
  <si>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</si>
  <si>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</si>
  <si>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</si>
  <si>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</si>
  <si>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</si>
  <si>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</si>
  <si>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</si>
  <si>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</si>
  <si>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</si>
  <si>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</si>
  <si>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</si>
  <si>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</si>
  <si>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</si>
  <si>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</si>
  <si>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</si>
  <si>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</si>
  <si>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</si>
  <si>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</si>
  <si>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</si>
  <si>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</si>
  <si>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</si>
  <si>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</si>
  <si>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</si>
  <si>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</si>
  <si>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</si>
  <si>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</si>
  <si>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</si>
  <si>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</si>
  <si>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</si>
  <si>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</si>
  <si>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</si>
  <si>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</si>
  <si>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</si>
  <si>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</si>
  <si>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</si>
  <si>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</si>
  <si>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</si>
  <si>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</si>
  <si>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</si>
  <si>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</si>
  <si>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</si>
  <si>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</si>
  <si>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</si>
  <si>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</si>
  <si>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</si>
  <si>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</si>
  <si>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</si>
  <si>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</si>
  <si>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</si>
  <si>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</si>
  <si>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</si>
  <si>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</si>
  <si>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</si>
  <si>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</si>
  <si>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</si>
  <si>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</si>
  <si>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</si>
  <si>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</si>
  <si>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</si>
  <si>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</si>
  <si>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</si>
  <si>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</si>
  <si>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</si>
  <si>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</si>
  <si>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</si>
  <si>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</si>
  <si>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</si>
  <si>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</si>
  <si>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</si>
  <si>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</si>
  <si>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</si>
  <si>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</si>
  <si>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</si>
  <si>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</si>
  <si>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</si>
  <si>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</si>
  <si>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</si>
  <si>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</si>
  <si>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</si>
  <si>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</si>
  <si>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</si>
  <si>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</si>
  <si>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</si>
  <si>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</si>
  <si>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</si>
  <si>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</si>
  <si>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</si>
  <si>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</si>
  <si>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</si>
  <si>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</si>
  <si>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</si>
  <si>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</si>
  <si>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</si>
  <si>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</si>
  <si>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</si>
  <si>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</si>
  <si>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</si>
  <si>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</si>
  <si>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</si>
  <si>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</si>
  <si>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</si>
  <si>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</si>
  <si>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</si>
  <si>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</si>
  <si>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</si>
  <si>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</si>
  <si>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</si>
  <si>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</si>
  <si>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</si>
  <si>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</si>
  <si>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</si>
  <si>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</si>
  <si>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</si>
  <si>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</si>
  <si>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</si>
  <si>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</si>
  <si>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</si>
  <si>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</si>
  <si>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</si>
  <si>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</si>
  <si>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</si>
  <si>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</si>
  <si>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</si>
  <si>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</si>
  <si>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</si>
  <si>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</si>
  <si>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</si>
  <si>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</si>
  <si>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</si>
  <si>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</si>
  <si>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</si>
  <si>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</si>
  <si>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</si>
  <si>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</si>
  <si>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</si>
  <si>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</si>
  <si>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</si>
  <si>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</si>
  <si>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</si>
  <si>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</si>
  <si>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</si>
  <si>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</si>
  <si>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</si>
  <si>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</si>
  <si>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</si>
  <si>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</si>
  <si>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</si>
  <si>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</si>
  <si>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</si>
  <si>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</si>
  <si>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</si>
  <si>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</si>
  <si>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</si>
  <si>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</si>
  <si>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</si>
  <si>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</si>
  <si>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</si>
  <si>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</si>
  <si>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</si>
  <si>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</si>
  <si>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</si>
  <si>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</si>
  <si>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</si>
  <si>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</si>
  <si>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</si>
  <si>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</si>
  <si>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</si>
  <si>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</si>
  <si>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</si>
  <si>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</si>
  <si>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</si>
  <si>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</si>
  <si>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</si>
  <si>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</si>
  <si>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</si>
  <si>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</si>
  <si>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</si>
  <si>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</si>
  <si>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</si>
  <si>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</si>
  <si>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</si>
  <si>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</si>
  <si>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</si>
  <si>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</si>
  <si>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</si>
  <si>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</si>
  <si>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</si>
  <si>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</si>
  <si>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</si>
  <si>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</si>
  <si>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</si>
  <si>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</si>
  <si>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</si>
  <si>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</si>
  <si>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</si>
  <si>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</si>
  <si>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</si>
  <si>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</si>
  <si>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</si>
  <si>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</si>
  <si>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</si>
  <si>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</si>
  <si>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</si>
  <si>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</si>
  <si>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</si>
  <si>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</si>
  <si>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</si>
  <si>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</si>
  <si>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</si>
  <si>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</si>
  <si>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</si>
  <si>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</si>
  <si>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</si>
  <si>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</si>
  <si>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</si>
  <si>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</si>
  <si>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</si>
  <si>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</si>
  <si>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</si>
  <si>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</si>
  <si>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</si>
  <si>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</si>
  <si>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</si>
  <si>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</si>
  <si>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</si>
  <si>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</si>
  <si>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</si>
  <si>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</si>
  <si>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</si>
  <si>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</si>
  <si>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</si>
  <si>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</si>
  <si>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</si>
  <si>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</si>
  <si>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</si>
  <si>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</si>
  <si>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</si>
  <si>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</si>
  <si>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</si>
  <si>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</si>
  <si>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</si>
  <si>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</si>
  <si>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</si>
  <si>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</si>
  <si>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</si>
  <si>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</si>
  <si>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</si>
  <si>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</si>
  <si>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</si>
  <si>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</si>
  <si>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</si>
  <si>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</si>
  <si>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</si>
  <si>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</si>
  <si>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</si>
  <si>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</si>
  <si>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</si>
  <si>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</si>
  <si>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</si>
  <si>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</si>
  <si>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</si>
  <si>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</si>
  <si>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</si>
  <si>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</si>
  <si>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</si>
  <si>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</si>
  <si>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</si>
  <si>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</si>
  <si>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</si>
  <si>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</si>
  <si>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</si>
  <si>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</si>
  <si>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</si>
  <si>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</si>
  <si>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</si>
  <si>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</si>
  <si>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</si>
  <si>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</si>
  <si>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</si>
  <si>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</si>
  <si>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</si>
  <si>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</si>
  <si>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</si>
  <si>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</si>
  <si>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</si>
  <si>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</si>
  <si>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</si>
  <si>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</si>
  <si>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</si>
  <si>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</si>
  <si>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</si>
  <si>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</si>
  <si>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</si>
  <si>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</si>
  <si>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</si>
  <si>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</si>
  <si>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</si>
  <si>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</si>
  <si>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</si>
  <si>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</si>
  <si>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</si>
  <si>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</si>
  <si>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</si>
  <si>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</si>
  <si>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</si>
  <si>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</si>
  <si>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</si>
  <si>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</si>
  <si>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</si>
  <si>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</si>
  <si>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</si>
  <si>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</si>
  <si>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</si>
  <si>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</si>
  <si>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</si>
  <si>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</si>
  <si>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</si>
  <si>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</si>
  <si>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</si>
  <si>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</si>
  <si>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</si>
  <si>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</si>
  <si>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</si>
  <si>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</si>
  <si>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</si>
  <si>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</si>
  <si>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</si>
  <si>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</si>
  <si>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</si>
  <si>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</si>
  <si>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</si>
  <si>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</si>
  <si>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</si>
  <si>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</si>
  <si>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</si>
  <si>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</si>
  <si>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</si>
  <si>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</si>
  <si>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</si>
  <si>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</si>
  <si>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</si>
  <si>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</si>
  <si>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</si>
  <si>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</si>
  <si>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</si>
  <si>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</si>
  <si>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</si>
  <si>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</si>
  <si>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</si>
  <si>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</si>
  <si>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</si>
  <si>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</si>
  <si>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</si>
  <si>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</si>
  <si>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</si>
  <si>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</si>
  <si>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</si>
  <si>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</si>
  <si>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</si>
  <si>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</si>
  <si>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</si>
  <si>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</si>
  <si>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</si>
  <si>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</si>
  <si>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</si>
  <si>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</si>
  <si>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</si>
  <si>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</si>
  <si>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</si>
  <si>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</si>
  <si>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</si>
  <si>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</si>
  <si>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</si>
  <si>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</si>
  <si>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</si>
  <si>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</si>
  <si>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</si>
  <si>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</si>
  <si>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</si>
  <si>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</si>
  <si>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</si>
  <si>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</si>
  <si>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</si>
  <si>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</si>
  <si>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</si>
  <si>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</si>
  <si>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</si>
  <si>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</si>
  <si>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</si>
  <si>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</si>
  <si>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</si>
  <si>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</si>
  <si>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</si>
  <si>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</si>
  <si>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</si>
  <si>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</si>
  <si>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</si>
  <si>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</si>
  <si>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</si>
  <si>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</si>
  <si>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</si>
  <si>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</si>
  <si>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</si>
  <si>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</si>
  <si>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</si>
  <si>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</si>
  <si>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</si>
  <si>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</si>
  <si>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</si>
  <si>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</si>
  <si>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</si>
  <si>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</si>
  <si>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</si>
  <si>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</si>
  <si>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</si>
  <si>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</si>
  <si>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</si>
  <si>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</si>
  <si>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</si>
  <si>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</si>
  <si>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</si>
  <si>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</si>
  <si>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</si>
  <si>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</si>
  <si>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</si>
  <si>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</si>
  <si>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</si>
  <si>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</si>
  <si>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</si>
  <si>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</si>
  <si>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</si>
  <si>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</si>
  <si>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</si>
  <si>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</si>
  <si>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</si>
  <si>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</si>
  <si>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</si>
  <si>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</si>
  <si>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</si>
  <si>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</si>
  <si>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</si>
  <si>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</si>
  <si>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</si>
  <si>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</si>
  <si>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</si>
  <si>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</si>
  <si>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</si>
  <si>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</si>
  <si>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</si>
  <si>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</si>
  <si>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</si>
  <si>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</si>
  <si>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</si>
  <si>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</si>
  <si>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</si>
  <si>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</si>
  <si>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</si>
  <si>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</si>
  <si>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</si>
  <si>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</si>
  <si>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</si>
  <si>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</si>
  <si>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</si>
  <si>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</si>
  <si>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</si>
  <si>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</si>
  <si>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</si>
  <si>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</si>
  <si>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</si>
  <si>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</si>
  <si>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</si>
  <si>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</si>
  <si>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</si>
  <si>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</si>
  <si>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</si>
  <si>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</si>
  <si>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</si>
  <si>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</si>
  <si>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</si>
  <si>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</si>
  <si>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</si>
  <si>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</si>
  <si>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</si>
  <si>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</si>
  <si>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</si>
  <si>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</si>
  <si>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</si>
  <si>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</si>
  <si>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</si>
  <si>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</si>
  <si>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</si>
  <si>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</si>
  <si>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</si>
  <si>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</si>
  <si>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</si>
  <si>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</si>
  <si>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</si>
  <si>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</si>
  <si>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</si>
  <si>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</si>
  <si>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</si>
  <si>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</si>
  <si>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</si>
  <si>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</si>
  <si>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</si>
  <si>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</si>
  <si>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</si>
  <si>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</si>
  <si>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</si>
  <si>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</si>
  <si>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</si>
  <si>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</si>
  <si>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</si>
  <si>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</si>
  <si>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</si>
  <si>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</si>
  <si>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</si>
  <si>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</si>
  <si>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</si>
  <si>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</si>
  <si>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</si>
  <si>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</si>
  <si>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</si>
  <si>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</si>
  <si>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</si>
  <si>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</si>
  <si>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</si>
  <si>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</si>
  <si>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</si>
  <si>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</si>
  <si>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</si>
  <si>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</si>
  <si>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</si>
  <si>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</si>
  <si>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</si>
  <si>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</si>
  <si>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</si>
  <si>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</si>
  <si>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</si>
  <si>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</si>
  <si>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</si>
  <si>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</si>
  <si>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</si>
  <si>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</si>
  <si>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</si>
  <si>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</si>
  <si>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</si>
  <si>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</si>
  <si>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</si>
  <si>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</si>
  <si>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</si>
  <si>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</si>
  <si>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</si>
  <si>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</si>
  <si>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</si>
  <si>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</si>
  <si>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</si>
  <si>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</si>
  <si>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</si>
  <si>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</si>
  <si>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</si>
  <si>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</si>
  <si>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</si>
  <si>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</si>
  <si>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</si>
  <si>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</si>
  <si>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</si>
  <si>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</si>
  <si>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</si>
  <si>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</si>
  <si>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</si>
  <si>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</si>
  <si>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</si>
  <si>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</si>
  <si>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</si>
  <si>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</si>
  <si>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</si>
  <si>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</si>
  <si>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</si>
  <si>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</si>
  <si>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</si>
  <si>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</si>
  <si>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</si>
  <si>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</si>
  <si>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</si>
  <si>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</si>
  <si>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</si>
  <si>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</si>
  <si>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</si>
  <si>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</si>
  <si>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</si>
  <si>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</si>
  <si>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</si>
  <si>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</si>
  <si>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</si>
  <si>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</si>
  <si>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</si>
  <si>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</si>
  <si>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</si>
  <si>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</si>
  <si>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</si>
  <si>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</si>
  <si>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</si>
  <si>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</si>
  <si>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</si>
  <si>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</si>
  <si>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</si>
  <si>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</si>
  <si>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</si>
  <si>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</si>
  <si>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</si>
  <si>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</si>
  <si>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</si>
  <si>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</si>
  <si>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</si>
  <si>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</si>
  <si>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</si>
  <si>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</si>
  <si>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</si>
  <si>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</si>
  <si>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</si>
  <si>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</si>
  <si>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</si>
  <si>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</si>
  <si>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</si>
  <si>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</si>
  <si>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</si>
  <si>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</si>
  <si>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</si>
  <si>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</si>
  <si>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</si>
  <si>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</si>
  <si>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</si>
  <si>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</si>
  <si>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</si>
  <si>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</si>
  <si>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</si>
  <si>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</si>
  <si>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</si>
  <si>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</si>
  <si>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</si>
  <si>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</si>
  <si>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</si>
  <si>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</si>
  <si>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</si>
  <si>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</si>
  <si>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</si>
  <si>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</si>
  <si>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</si>
  <si>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</si>
  <si>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</si>
  <si>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</si>
  <si>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</si>
  <si>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</si>
  <si>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</si>
  <si>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</si>
  <si>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</si>
  <si>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</si>
  <si>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</si>
  <si>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</si>
  <si>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</si>
  <si>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</si>
  <si>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</si>
  <si>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</si>
  <si>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</si>
  <si>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</si>
  <si>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</si>
  <si>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</si>
  <si>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</si>
  <si>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</si>
  <si>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</si>
  <si>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</si>
  <si>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</si>
  <si>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</si>
  <si>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</si>
  <si>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</si>
  <si>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</si>
  <si>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</si>
  <si>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</si>
  <si>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</si>
  <si>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</si>
  <si>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</si>
  <si>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</si>
  <si>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</si>
  <si>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</si>
  <si>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</si>
  <si>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</si>
  <si>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</si>
  <si>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</si>
  <si>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</si>
  <si>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</si>
  <si>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</si>
  <si>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</si>
  <si>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</si>
  <si>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</si>
  <si>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</si>
  <si>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</si>
  <si>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</si>
  <si>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</si>
  <si>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</si>
  <si>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</si>
  <si>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</si>
  <si>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</si>
  <si>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</si>
  <si>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</si>
  <si>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</si>
  <si>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</si>
  <si>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</si>
  <si>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</si>
  <si>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</si>
  <si>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</si>
  <si>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</si>
  <si>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</si>
  <si>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</si>
  <si>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</si>
  <si>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</si>
  <si>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</si>
  <si>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</si>
  <si>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</si>
  <si>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</si>
  <si>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</si>
  <si>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</si>
  <si>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</si>
  <si>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</si>
  <si>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</si>
  <si>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</si>
  <si>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</si>
  <si>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</si>
  <si>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</si>
  <si>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</si>
  <si>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</si>
  <si>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</si>
  <si>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</si>
  <si>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</si>
  <si>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</si>
  <si>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</si>
  <si>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</si>
  <si>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</si>
  <si>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</si>
  <si>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</si>
  <si>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</si>
  <si>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</si>
  <si>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</si>
  <si>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</si>
  <si>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</si>
  <si>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</si>
  <si>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</si>
  <si>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</si>
  <si>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</si>
  <si>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</si>
  <si>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</si>
  <si>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</si>
  <si>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</si>
  <si>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</si>
  <si>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</si>
  <si>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</si>
  <si>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</si>
  <si>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</si>
  <si>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</si>
  <si>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</si>
  <si>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</si>
  <si>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</si>
  <si>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</si>
  <si>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</si>
  <si>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</si>
  <si>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</si>
  <si>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</si>
  <si>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</si>
  <si>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</si>
  <si>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</si>
  <si>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</si>
  <si>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</si>
  <si>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</si>
  <si>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</si>
  <si>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</si>
  <si>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</si>
  <si>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</si>
  <si>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</si>
  <si>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</si>
  <si>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</si>
  <si>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</si>
  <si>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</si>
  <si>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</si>
  <si>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</si>
  <si>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</si>
  <si>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</si>
  <si>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</si>
  <si>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</si>
  <si>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</si>
  <si>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</si>
  <si>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</si>
  <si>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</si>
  <si>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</si>
  <si>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</si>
  <si>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</si>
  <si>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</si>
  <si>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</si>
  <si>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</si>
  <si>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</si>
  <si>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</si>
  <si>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</si>
  <si>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</si>
  <si>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</si>
  <si>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</si>
  <si>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</si>
  <si>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</si>
  <si>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</si>
  <si>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</si>
  <si>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</si>
  <si>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</si>
  <si>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</si>
  <si>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</si>
  <si>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</si>
  <si>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</si>
  <si>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</si>
  <si>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</si>
  <si>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</si>
  <si>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</si>
  <si>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</si>
  <si>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</si>
  <si>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</si>
  <si>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</si>
  <si>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</si>
  <si>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</si>
  <si>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</si>
  <si>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</si>
  <si>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</si>
  <si>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</si>
  <si>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</si>
  <si>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</si>
  <si>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</si>
  <si>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</si>
  <si>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</si>
  <si>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</si>
  <si>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</si>
  <si>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</si>
  <si>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</si>
  <si>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</si>
  <si>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</si>
  <si>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</si>
  <si>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</si>
  <si>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</si>
  <si>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</si>
  <si>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</si>
  <si>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</si>
  <si>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</si>
  <si>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</si>
  <si>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</si>
  <si>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</si>
  <si>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</si>
  <si>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</si>
  <si>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</si>
  <si>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</si>
  <si>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</si>
  <si>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</si>
  <si>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</si>
  <si>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</si>
  <si>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</si>
  <si>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</si>
  <si>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</si>
  <si>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</si>
  <si>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</si>
  <si>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</si>
  <si>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</si>
  <si>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</si>
  <si>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</si>
  <si>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</si>
  <si>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</si>
  <si>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</si>
  <si>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</si>
  <si>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</si>
  <si>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</si>
  <si>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</si>
  <si>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</si>
  <si>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</si>
  <si>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</si>
  <si>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</si>
  <si>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</si>
  <si>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</si>
  <si>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</si>
  <si>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</si>
  <si>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</si>
  <si>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</si>
  <si>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</si>
  <si>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</si>
  <si>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</si>
  <si>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</si>
  <si>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</si>
  <si>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</si>
  <si>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</si>
  <si>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</si>
  <si>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</si>
  <si>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</si>
  <si>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</si>
  <si>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</si>
  <si>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</si>
  <si>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</si>
  <si>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</si>
  <si>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</si>
  <si>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</si>
  <si>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</si>
  <si>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</si>
  <si>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</si>
  <si>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</si>
  <si>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</si>
  <si>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</si>
  <si>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</si>
  <si>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</si>
  <si>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</si>
  <si>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</si>
  <si>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</si>
  <si>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</si>
  <si>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</si>
  <si>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</si>
  <si>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</si>
  <si>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</si>
  <si>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</si>
  <si>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</si>
  <si>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</si>
  <si>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</si>
  <si>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</si>
  <si>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</si>
  <si>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</si>
  <si>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</si>
  <si>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</si>
  <si>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</si>
  <si>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</si>
  <si>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</si>
  <si>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</si>
  <si>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</si>
  <si>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</si>
  <si>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</si>
  <si>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</si>
  <si>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</si>
  <si>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</si>
  <si>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</si>
  <si>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</si>
  <si>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</si>
  <si>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</si>
  <si>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</si>
  <si>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</si>
  <si>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</si>
  <si>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</si>
  <si>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</si>
  <si>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</si>
  <si>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</si>
  <si>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</si>
  <si>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</si>
  <si>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</si>
  <si>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</si>
  <si>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</si>
  <si>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</si>
  <si>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</si>
  <si>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</si>
  <si>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</si>
  <si>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</si>
  <si>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</si>
  <si>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</si>
  <si>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</si>
  <si>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</si>
  <si>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</si>
  <si>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</si>
  <si>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</si>
  <si>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</si>
  <si>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</si>
  <si>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</si>
  <si>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</si>
  <si>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</si>
  <si>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</si>
  <si>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</si>
  <si>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</si>
  <si>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</si>
  <si>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</si>
  <si>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</si>
  <si>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</si>
  <si>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</si>
  <si>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</si>
  <si>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</si>
  <si>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</si>
  <si>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</si>
  <si>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</si>
  <si>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</si>
  <si>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</si>
  <si>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</si>
  <si>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</si>
  <si>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</si>
  <si>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</si>
  <si>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</si>
  <si>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</si>
  <si>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</si>
  <si>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</si>
  <si>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</si>
  <si>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</si>
  <si>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</si>
  <si>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</si>
  <si>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</si>
  <si>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</si>
  <si>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</si>
  <si>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</si>
  <si>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</si>
  <si>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</si>
  <si>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</si>
  <si>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</si>
  <si>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</si>
  <si>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</si>
  <si>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</si>
  <si>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</si>
  <si>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</si>
  <si>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</si>
  <si>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</si>
  <si>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</si>
  <si>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</si>
  <si>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</si>
  <si>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</si>
  <si>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</si>
  <si>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</si>
  <si>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</si>
  <si>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</si>
  <si>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</si>
  <si>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</si>
  <si>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</si>
  <si>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</si>
  <si>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</si>
  <si>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</si>
  <si>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</si>
  <si>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</si>
  <si>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</si>
  <si>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</si>
  <si>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</si>
  <si>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</si>
  <si>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</si>
  <si>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</si>
  <si>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</si>
  <si>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</si>
  <si>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</si>
  <si>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</si>
  <si>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</si>
  <si>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</si>
  <si>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</si>
  <si>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</si>
  <si>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</si>
  <si>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</si>
  <si>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</si>
  <si>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</si>
  <si>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</si>
  <si>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</si>
  <si>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</si>
  <si>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</si>
  <si>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</si>
  <si>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</si>
  <si>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</si>
  <si>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</si>
  <si>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</si>
  <si>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</si>
  <si>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</si>
  <si>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</si>
  <si>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</si>
  <si>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</si>
  <si>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</si>
  <si>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</si>
  <si>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</si>
  <si>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</si>
  <si>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</si>
  <si>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</si>
  <si>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</si>
  <si>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</si>
  <si>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</si>
  <si>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</si>
  <si>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</si>
  <si>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</si>
  <si>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</si>
  <si>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</si>
  <si>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</si>
  <si>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</si>
  <si>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</si>
  <si>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</si>
  <si>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</si>
  <si>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</si>
  <si>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</si>
  <si>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</si>
  <si>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</si>
  <si>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</si>
  <si>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</si>
  <si>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</si>
  <si>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</si>
  <si>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</si>
  <si>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</si>
  <si>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</si>
  <si>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</si>
  <si>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</si>
  <si>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</si>
  <si>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</si>
  <si>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</si>
  <si>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</si>
  <si>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</si>
  <si>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</si>
  <si>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</si>
  <si>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</si>
  <si>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</si>
  <si>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</si>
  <si>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</si>
  <si>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</si>
  <si>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</si>
  <si>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</si>
  <si>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</si>
  <si>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</si>
  <si>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</si>
  <si>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</si>
  <si>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</si>
  <si>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</si>
  <si>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</si>
  <si>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</si>
  <si>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</si>
  <si>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</si>
  <si>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</si>
  <si>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</si>
  <si>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</si>
  <si>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</si>
  <si>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</si>
  <si>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</si>
  <si>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</si>
  <si>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</si>
  <si>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</si>
  <si>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</si>
  <si>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</si>
  <si>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</si>
  <si>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</si>
  <si>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</si>
  <si>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</si>
  <si>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</si>
  <si>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</si>
  <si>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</si>
  <si>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</si>
  <si>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</si>
  <si>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</si>
  <si>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</si>
  <si>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</si>
  <si>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</si>
  <si>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</si>
  <si>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</si>
  <si>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</si>
  <si>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</si>
  <si>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</si>
  <si>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</si>
  <si>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</si>
  <si>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</si>
  <si>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</si>
  <si>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</si>
  <si>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</si>
  <si>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</si>
  <si>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</si>
  <si>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</si>
  <si>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</si>
  <si>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</si>
  <si>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</si>
  <si>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</si>
  <si>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</si>
  <si>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</si>
  <si>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</si>
  <si>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</si>
  <si>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</si>
  <si>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</si>
  <si>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</si>
  <si>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</si>
  <si>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</si>
  <si>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</si>
  <si>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</si>
  <si>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</si>
  <si>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</si>
  <si>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</si>
  <si>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</si>
  <si>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</si>
  <si>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</si>
  <si>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</si>
  <si>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</si>
  <si>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</si>
  <si>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</si>
  <si>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</si>
  <si>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</si>
  <si>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</si>
  <si>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</si>
  <si>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</si>
  <si>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</si>
  <si>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</si>
  <si>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</si>
  <si>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</si>
  <si>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</si>
  <si>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</si>
  <si>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</si>
  <si>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</si>
  <si>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</si>
  <si>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</si>
  <si>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</si>
  <si>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</si>
  <si>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</si>
  <si>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</si>
  <si>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</si>
  <si>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</si>
  <si>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</si>
  <si>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</si>
  <si>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</si>
  <si>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</si>
  <si>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</si>
  <si>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</si>
  <si>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</si>
  <si>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</si>
  <si>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</si>
  <si>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</si>
  <si>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</si>
  <si>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</si>
  <si>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</si>
  <si>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</si>
  <si>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</si>
  <si>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</si>
  <si>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</si>
  <si>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</si>
  <si>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</si>
  <si>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</si>
  <si>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</si>
  <si>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</si>
  <si>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</si>
  <si>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</si>
  <si>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</si>
  <si>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</si>
  <si>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</si>
  <si>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</si>
  <si>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</si>
  <si>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</si>
  <si>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</si>
  <si>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</si>
  <si>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</si>
  <si>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</si>
  <si>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</si>
  <si>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</si>
  <si>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</si>
  <si>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</si>
  <si>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</si>
  <si>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</si>
  <si>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</si>
  <si>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</si>
  <si>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</si>
  <si>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</si>
  <si>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</si>
  <si>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</si>
  <si>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</si>
  <si>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</si>
  <si>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</si>
  <si>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</si>
  <si>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</si>
  <si>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</si>
  <si>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</si>
  <si>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</si>
  <si>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</si>
  <si>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</si>
  <si>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</si>
  <si>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</si>
  <si>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</si>
  <si>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</si>
  <si>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</si>
  <si>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</si>
  <si>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</si>
  <si>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</si>
  <si>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</si>
  <si>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</si>
  <si>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</si>
  <si>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</si>
  <si>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</si>
  <si>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</si>
  <si>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</si>
  <si>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</si>
  <si>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</si>
  <si>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</si>
  <si>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</si>
  <si>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</si>
  <si>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</si>
  <si>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</si>
  <si>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</si>
  <si>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</si>
  <si>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</si>
  <si>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</si>
  <si>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</si>
  <si>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</si>
  <si>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</si>
  <si>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</si>
  <si>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</si>
  <si>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</si>
  <si>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</si>
  <si>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</si>
  <si>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</si>
  <si>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</si>
  <si>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</si>
  <si>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</si>
  <si>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</si>
  <si>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</si>
  <si>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</si>
  <si>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</si>
  <si>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</si>
  <si>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</si>
  <si>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</si>
  <si>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</si>
  <si>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</si>
  <si>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</si>
  <si>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</si>
  <si>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</si>
  <si>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</si>
  <si>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</si>
  <si>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</si>
  <si>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</si>
  <si>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</si>
  <si>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</si>
  <si>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</si>
  <si>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</si>
  <si>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</si>
  <si>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</si>
  <si>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</si>
  <si>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</si>
  <si>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</si>
  <si>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</si>
  <si>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</si>
  <si>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</si>
  <si>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</si>
  <si>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</si>
  <si>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</si>
  <si>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</si>
  <si>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</si>
  <si>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</si>
  <si>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</si>
  <si>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</si>
  <si>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</si>
  <si>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</si>
  <si>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</si>
  <si>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</si>
  <si>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</si>
  <si>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</si>
  <si>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</si>
  <si>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</si>
  <si>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</si>
  <si>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</si>
  <si>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</si>
  <si>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</si>
  <si>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</si>
  <si>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</si>
  <si>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</si>
  <si>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</si>
  <si>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</si>
  <si>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</si>
  <si>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</si>
  <si>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</si>
  <si>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</si>
  <si>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</si>
  <si>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</si>
  <si>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</si>
  <si>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</si>
  <si>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</si>
  <si>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</si>
  <si>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</si>
  <si>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</si>
  <si>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</si>
  <si>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</si>
  <si>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</si>
  <si>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</si>
  <si>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</si>
  <si>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</si>
  <si>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</si>
  <si>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</si>
  <si>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</si>
  <si>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</si>
  <si>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</si>
  <si>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</si>
  <si>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</si>
  <si>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</si>
  <si>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</si>
  <si>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</si>
  <si>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</si>
  <si>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</si>
  <si>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</si>
  <si>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</si>
  <si>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</si>
  <si>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</si>
  <si>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</si>
  <si>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</si>
  <si>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</si>
  <si>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</si>
  <si>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</si>
  <si>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</si>
  <si>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</si>
  <si>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</si>
  <si>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</si>
  <si>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</si>
  <si>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</si>
  <si>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</si>
  <si>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</si>
  <si>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</si>
  <si>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</si>
  <si>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</si>
  <si>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</si>
  <si>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</si>
  <si>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</si>
  <si>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</si>
  <si>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</si>
  <si>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</si>
  <si>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</si>
  <si>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</si>
  <si>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</si>
  <si>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</si>
  <si>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</si>
  <si>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</si>
  <si>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</si>
  <si>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</si>
  <si>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</si>
  <si>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</si>
  <si>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</si>
  <si>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</si>
  <si>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</si>
  <si>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</si>
  <si>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</si>
  <si>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</si>
  <si>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</si>
  <si>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</si>
  <si>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</si>
  <si>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</si>
  <si>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</si>
  <si>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</si>
  <si>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</si>
  <si>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</si>
  <si>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</si>
  <si>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</si>
  <si>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</si>
  <si>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</si>
  <si>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</si>
  <si>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</si>
  <si>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</si>
  <si>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</si>
  <si>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</si>
  <si>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</si>
  <si>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</si>
  <si>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</si>
  <si>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</si>
  <si>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</si>
  <si>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</si>
  <si>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</si>
  <si>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</si>
  <si>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</si>
  <si>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</si>
  <si>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</si>
  <si>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</si>
  <si>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</si>
  <si>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</si>
  <si>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</si>
  <si>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</si>
  <si>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</si>
  <si>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</si>
  <si>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</si>
  <si>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</si>
  <si>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</si>
  <si>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</si>
  <si>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</si>
  <si>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</si>
  <si>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</si>
  <si>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</si>
  <si>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</si>
  <si>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</si>
  <si>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</si>
  <si>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</si>
  <si>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</si>
  <si>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</si>
  <si>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</si>
  <si>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</si>
  <si>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</si>
  <si>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</si>
  <si>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</si>
  <si>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</si>
  <si>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</si>
  <si>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</si>
  <si>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</si>
  <si>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</si>
  <si>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</si>
  <si>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</si>
  <si>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</si>
  <si>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</si>
  <si>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</si>
  <si>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</si>
  <si>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</si>
  <si>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</si>
  <si>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</si>
  <si>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</si>
  <si>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</si>
  <si>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</si>
  <si>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</si>
  <si>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</si>
  <si>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</si>
  <si>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</si>
  <si>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</si>
  <si>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</si>
  <si>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</si>
  <si>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</si>
  <si>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</si>
  <si>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</si>
  <si>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</si>
  <si>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</si>
  <si>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</si>
  <si>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</si>
  <si>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</si>
  <si>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</si>
  <si>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</si>
  <si>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</si>
  <si>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</si>
  <si>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</si>
  <si>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</si>
  <si>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</si>
  <si>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</si>
  <si>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</si>
  <si>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</si>
  <si>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</si>
  <si>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</si>
  <si>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</si>
  <si>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</si>
  <si>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</si>
  <si>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</si>
  <si>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</si>
  <si>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</si>
  <si>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</si>
  <si>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</si>
  <si>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</si>
  <si>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</si>
  <si>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</si>
  <si>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</si>
  <si>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</si>
  <si>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</si>
  <si>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</si>
  <si>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</si>
  <si>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</si>
  <si>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</si>
  <si>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</si>
  <si>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</si>
  <si>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</si>
  <si>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</si>
  <si>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</si>
  <si>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</si>
  <si>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</si>
  <si>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</si>
  <si>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</si>
  <si>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</si>
  <si>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</si>
  <si>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</si>
  <si>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</si>
  <si>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</si>
  <si>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</si>
  <si>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</si>
  <si>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</si>
  <si>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</si>
  <si>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</si>
  <si>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</si>
  <si>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</si>
  <si>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</si>
  <si>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</si>
  <si>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</si>
  <si>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</si>
  <si>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</si>
  <si>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</si>
  <si>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</si>
  <si>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</si>
  <si>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</si>
  <si>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</si>
  <si>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</si>
  <si>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</si>
  <si>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</si>
  <si>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</si>
  <si>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</si>
  <si>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</si>
  <si>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</si>
  <si>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</si>
  <si>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</si>
  <si>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</si>
  <si>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</si>
  <si>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</si>
  <si>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</si>
  <si>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</si>
  <si>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</si>
  <si>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</si>
  <si>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</si>
  <si>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</si>
  <si>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</si>
  <si>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</si>
  <si>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</si>
  <si>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</si>
  <si>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</si>
  <si>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</si>
  <si>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</si>
  <si>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</si>
  <si>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</si>
  <si>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</si>
  <si>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</si>
  <si>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</si>
  <si>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</si>
  <si>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</si>
  <si>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</si>
  <si>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</si>
  <si>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</si>
  <si>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</si>
  <si>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</si>
  <si>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</si>
  <si>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</si>
  <si>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</si>
  <si>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</si>
  <si>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</si>
  <si>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</si>
  <si>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</si>
  <si>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</si>
  <si>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</si>
  <si>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</si>
  <si>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</si>
  <si>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</si>
  <si>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</si>
  <si>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</si>
  <si>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</si>
  <si>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</si>
  <si>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</si>
  <si>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</si>
  <si>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</si>
  <si>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</si>
  <si>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</si>
  <si>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</si>
  <si>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</si>
  <si>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</si>
  <si>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</si>
  <si>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</si>
  <si>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</si>
  <si>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</si>
  <si>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</si>
  <si>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</si>
  <si>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</si>
  <si>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</si>
  <si>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</si>
  <si>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</si>
  <si>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</si>
  <si>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</si>
  <si>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</si>
  <si>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</si>
  <si>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</si>
  <si>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</si>
  <si>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</si>
  <si>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</si>
  <si>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</si>
  <si>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</si>
  <si>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</si>
  <si>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</si>
  <si>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</si>
  <si>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</si>
  <si>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</si>
  <si>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</si>
  <si>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</si>
  <si>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</si>
  <si>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</si>
  <si>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</si>
  <si>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</si>
  <si>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</si>
  <si>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</si>
  <si>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</si>
  <si>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</si>
  <si>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</si>
  <si>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</si>
  <si>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</si>
  <si>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</si>
  <si>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</si>
  <si>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</si>
  <si>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</si>
  <si>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</si>
  <si>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</si>
  <si>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</si>
  <si>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</si>
  <si>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</si>
  <si>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</si>
  <si>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</si>
  <si>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</si>
  <si>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</si>
  <si>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</si>
  <si>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</si>
  <si>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</si>
  <si>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</si>
  <si>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</si>
  <si>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</si>
  <si>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</si>
  <si>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</si>
  <si>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</si>
  <si>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</si>
  <si>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</si>
  <si>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</si>
  <si>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</si>
  <si>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</si>
  <si>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</si>
  <si>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</si>
  <si>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</si>
  <si>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</si>
  <si>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</si>
  <si>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</si>
  <si>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</si>
  <si>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</si>
  <si>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</si>
  <si>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</si>
  <si>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</si>
  <si>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</si>
  <si>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</si>
  <si>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</si>
  <si>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</si>
  <si>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</si>
  <si>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</si>
  <si>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</si>
  <si>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</si>
  <si>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</si>
  <si>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</si>
  <si>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</si>
  <si>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</si>
  <si>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</si>
  <si>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</si>
  <si>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</si>
  <si>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</si>
  <si>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</si>
  <si>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</si>
  <si>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</si>
  <si>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</si>
  <si>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</si>
  <si>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</si>
  <si>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</si>
  <si>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</si>
  <si>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</si>
  <si>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</si>
  <si>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</si>
  <si>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</si>
  <si>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</si>
  <si>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</si>
  <si>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</si>
  <si>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</si>
  <si>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</si>
  <si>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</si>
  <si>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</si>
  <si>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</si>
  <si>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</si>
  <si>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</si>
  <si>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</si>
  <si>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</si>
  <si>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</si>
  <si>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</si>
  <si>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</si>
  <si>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</si>
  <si>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</si>
  <si>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</si>
  <si>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</si>
  <si>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</si>
  <si>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</si>
  <si>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</si>
  <si>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</si>
  <si>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</si>
  <si>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</si>
  <si>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</si>
  <si>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</si>
  <si>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</si>
  <si>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</si>
  <si>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</si>
  <si>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</si>
  <si>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</si>
  <si>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</si>
  <si>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</si>
  <si>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</si>
  <si>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</si>
  <si>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</si>
  <si>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</si>
  <si>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</si>
  <si>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</si>
  <si>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</si>
  <si>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</si>
  <si>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</si>
  <si>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</si>
  <si>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</si>
  <si>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</si>
  <si>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</si>
  <si>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</si>
  <si>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</si>
  <si>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</si>
  <si>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</si>
  <si>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</si>
  <si>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</si>
  <si>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</si>
  <si>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</si>
  <si>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</si>
  <si>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</si>
  <si>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</si>
  <si>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</si>
  <si>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</si>
  <si>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</si>
  <si>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</si>
  <si>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</si>
  <si>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</si>
  <si>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</si>
  <si>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</si>
  <si>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</si>
  <si>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</si>
  <si>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</si>
  <si>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</si>
  <si>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</si>
  <si>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</si>
  <si>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</si>
  <si>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</si>
  <si>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</si>
  <si>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</si>
  <si>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</si>
  <si>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</si>
  <si>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</si>
  <si>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</si>
  <si>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</si>
  <si>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</si>
  <si>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</si>
  <si>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</si>
  <si>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</si>
  <si>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</si>
  <si>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</si>
  <si>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</si>
  <si>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</si>
  <si>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</si>
  <si>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</si>
  <si>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</si>
  <si>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</si>
  <si>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</si>
  <si>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</si>
  <si>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</si>
  <si>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</si>
  <si>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</si>
  <si>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</si>
  <si>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</si>
  <si>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</si>
  <si>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</si>
  <si>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</si>
  <si>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</si>
  <si>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</si>
  <si>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</si>
  <si>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</si>
  <si>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</si>
  <si>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</si>
  <si>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</si>
  <si>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</si>
  <si>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</si>
  <si>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</si>
  <si>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</si>
  <si>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</si>
  <si>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</si>
  <si>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</si>
  <si>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</si>
  <si>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</si>
  <si>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</si>
  <si>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</si>
  <si>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</si>
  <si>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</si>
  <si>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</si>
  <si>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</si>
  <si>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</si>
  <si>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</si>
  <si>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</si>
  <si>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</si>
  <si>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</si>
  <si>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</si>
  <si>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</si>
  <si>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</si>
  <si>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</si>
  <si>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</si>
  <si>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</si>
  <si>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</si>
  <si>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</si>
  <si>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</si>
  <si>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</si>
  <si>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</si>
  <si>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</si>
  <si>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</si>
  <si>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</si>
  <si>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</si>
  <si>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</si>
  <si>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</si>
  <si>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</si>
  <si>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</si>
  <si>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</si>
  <si>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</si>
  <si>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</si>
  <si>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</si>
  <si>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</si>
  <si>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</si>
  <si>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</si>
  <si>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</si>
  <si>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</si>
  <si>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</si>
  <si>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</si>
  <si>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</si>
  <si>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</si>
  <si>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</si>
  <si>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</si>
  <si>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</si>
  <si>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</si>
  <si>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</si>
  <si>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</si>
  <si>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</si>
  <si>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</si>
  <si>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</si>
  <si>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</si>
  <si>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</si>
  <si>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</si>
  <si>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</si>
  <si>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</si>
  <si>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</si>
  <si>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</si>
  <si>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</si>
  <si>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</si>
  <si>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</si>
  <si>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</si>
  <si>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</si>
  <si>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</si>
  <si>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</si>
  <si>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</si>
  <si>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</si>
  <si>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</si>
  <si>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</si>
  <si>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</si>
  <si>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</si>
  <si>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</si>
  <si>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</si>
  <si>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</si>
  <si>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</si>
  <si>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</si>
  <si>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</si>
  <si>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</si>
  <si>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</si>
  <si>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</si>
  <si>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</si>
  <si>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</si>
  <si>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</si>
  <si>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</si>
  <si>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</si>
  <si>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</si>
  <si>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</si>
  <si>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</si>
  <si>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</si>
  <si>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</si>
  <si>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</si>
  <si>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</si>
  <si>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</si>
  <si>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</si>
  <si>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</si>
  <si>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</si>
  <si>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</si>
  <si>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</si>
  <si>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</si>
  <si>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</si>
  <si>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</si>
  <si>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</si>
  <si>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</si>
  <si>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</si>
  <si>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</si>
  <si>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</si>
  <si>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</si>
  <si>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</si>
  <si>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</si>
  <si>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</si>
  <si>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</si>
  <si>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</si>
  <si>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</si>
  <si>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</si>
  <si>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</si>
  <si>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</si>
  <si>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</si>
  <si>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</si>
  <si>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</si>
  <si>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</si>
  <si>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</si>
  <si>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</si>
  <si>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</si>
  <si>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</si>
  <si>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</si>
  <si>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</si>
  <si>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</si>
  <si>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</si>
  <si>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</si>
  <si>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</si>
  <si>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</si>
  <si>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</si>
  <si>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</si>
  <si>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</si>
  <si>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</si>
  <si>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</si>
  <si>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</si>
  <si>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</si>
  <si>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</si>
  <si>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</si>
  <si>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</si>
  <si>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</si>
  <si>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</si>
  <si>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</si>
  <si>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</si>
  <si>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</si>
  <si>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</si>
  <si>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</si>
  <si>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</si>
  <si>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</si>
  <si>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</si>
  <si>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</si>
  <si>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</si>
  <si>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</si>
  <si>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</si>
  <si>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</si>
  <si>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</si>
  <si>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</si>
  <si>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</si>
  <si>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</si>
  <si>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</si>
  <si>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</si>
  <si>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</si>
  <si>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</si>
  <si>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</si>
  <si>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</si>
  <si>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</si>
  <si>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</si>
  <si>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</si>
  <si>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</si>
  <si>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</si>
  <si>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</si>
  <si>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</si>
  <si>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</si>
  <si>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</si>
  <si>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</si>
  <si>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</si>
  <si>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</si>
  <si>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</si>
  <si>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</si>
  <si>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</si>
  <si>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</si>
  <si>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</si>
  <si>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</si>
  <si>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</si>
  <si>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</si>
  <si>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</si>
  <si>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</si>
  <si>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</si>
  <si>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</si>
  <si>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</si>
  <si>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</si>
  <si>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</si>
  <si>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</si>
  <si>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</si>
  <si>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</si>
  <si>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</si>
  <si>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</si>
  <si>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</si>
  <si>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</si>
  <si>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</si>
  <si>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</si>
  <si>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</si>
  <si>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</si>
  <si>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</si>
  <si>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</si>
  <si>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</si>
  <si>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</si>
  <si>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</si>
  <si>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</si>
  <si>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</si>
  <si>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</si>
  <si>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</si>
  <si>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</si>
  <si>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</si>
  <si>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</si>
  <si>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</si>
  <si>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</si>
  <si>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</si>
  <si>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</si>
  <si>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</si>
  <si>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</si>
  <si>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</si>
  <si>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</si>
  <si>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</si>
  <si>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</si>
  <si>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</si>
  <si>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</si>
  <si>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</si>
  <si>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</si>
  <si>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</si>
  <si>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</si>
  <si>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</si>
  <si>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</si>
  <si>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</si>
  <si>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</si>
  <si>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</si>
  <si>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</si>
  <si>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</si>
  <si>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</si>
  <si>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</si>
  <si>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</si>
  <si>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</si>
  <si>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</si>
  <si>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</si>
  <si>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</si>
  <si>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</si>
  <si>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</si>
  <si>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</si>
  <si>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</si>
  <si>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</si>
  <si>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</si>
  <si>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</si>
  <si>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</si>
  <si>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</si>
  <si>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</si>
  <si>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</si>
  <si>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</si>
  <si>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</si>
  <si>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</si>
  <si>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</si>
  <si>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</si>
  <si>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</si>
  <si>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</si>
  <si>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</si>
  <si>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</si>
  <si>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</si>
  <si>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</si>
  <si>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</si>
  <si>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</si>
  <si>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</si>
  <si>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</si>
  <si>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</si>
  <si>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</si>
  <si>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</si>
  <si>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</si>
  <si>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</si>
  <si>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</si>
  <si>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</si>
  <si>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</si>
  <si>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</si>
  <si>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</si>
  <si>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</si>
  <si>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</si>
  <si>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</si>
  <si>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</si>
  <si>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</si>
  <si>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</si>
  <si>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</si>
  <si>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</si>
  <si>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</si>
  <si>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</si>
  <si>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</si>
  <si>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</si>
  <si>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</si>
  <si>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</si>
  <si>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</si>
  <si>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</si>
  <si>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</si>
  <si>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</si>
  <si>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</si>
  <si>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</si>
  <si>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</si>
  <si>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</si>
  <si>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</si>
  <si>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</si>
  <si>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</si>
  <si>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</si>
  <si>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</si>
  <si>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</si>
  <si>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</si>
  <si>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</si>
  <si>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</si>
  <si>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</si>
  <si>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</si>
  <si>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</si>
  <si>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</si>
  <si>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</si>
  <si>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</si>
  <si>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</si>
  <si>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</si>
  <si>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</si>
  <si>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</si>
  <si>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</si>
  <si>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</si>
  <si>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</si>
  <si>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</si>
  <si>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</si>
  <si>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</si>
  <si>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</si>
  <si>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</si>
  <si>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</si>
  <si>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</si>
  <si>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</si>
  <si>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</si>
  <si>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</si>
  <si>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</si>
  <si>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</si>
  <si>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</si>
  <si>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</si>
  <si>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</si>
  <si>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</si>
  <si>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</si>
  <si>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</si>
  <si>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</si>
  <si>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</si>
  <si>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</si>
  <si>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</si>
  <si>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</si>
  <si>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</si>
  <si>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</si>
  <si>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</si>
  <si>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</si>
  <si>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</si>
  <si>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</si>
  <si>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</si>
  <si>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</si>
  <si>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</si>
  <si>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</si>
  <si>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</si>
  <si>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</si>
  <si>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</si>
  <si>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</si>
  <si>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</si>
  <si>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</si>
  <si>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</si>
  <si>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</si>
  <si>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</si>
  <si>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</si>
  <si>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</si>
  <si>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</si>
  <si>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</si>
  <si>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</si>
  <si>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</si>
  <si>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</si>
  <si>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</si>
  <si>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</si>
  <si>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</si>
  <si>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</si>
  <si>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</si>
  <si>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</si>
  <si>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</si>
  <si>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</si>
  <si>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</si>
  <si>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</si>
  <si>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</si>
  <si>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</si>
  <si>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</si>
  <si>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</si>
  <si>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</si>
  <si>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</si>
  <si>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</si>
  <si>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</si>
  <si>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</si>
  <si>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</si>
  <si>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</si>
  <si>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</si>
  <si>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</si>
  <si>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</si>
  <si>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</si>
  <si>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</si>
  <si>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</si>
  <si>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</si>
  <si>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</si>
  <si>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</si>
  <si>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</si>
  <si>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</si>
  <si>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</si>
  <si>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</si>
  <si>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</si>
  <si>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</si>
  <si>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</si>
  <si>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</si>
  <si>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</si>
  <si>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</si>
  <si>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</si>
  <si>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</si>
  <si>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</si>
  <si>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</si>
  <si>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</si>
  <si>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</si>
  <si>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</si>
  <si>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</si>
  <si>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</si>
  <si>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</si>
  <si>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</si>
  <si>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</si>
  <si>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</si>
  <si>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</si>
  <si>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</si>
  <si>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</si>
  <si>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</si>
  <si>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</si>
  <si>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</si>
  <si>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</si>
  <si>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</si>
  <si>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</si>
  <si>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</si>
  <si>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</si>
  <si>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</si>
  <si>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</si>
  <si>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</si>
  <si>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</si>
  <si>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</si>
  <si>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</si>
  <si>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</si>
  <si>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</si>
  <si>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</si>
  <si>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</si>
  <si>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</si>
  <si>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</si>
  <si>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</si>
  <si>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</si>
  <si>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</si>
  <si>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</si>
  <si>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</si>
  <si>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</si>
  <si>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</si>
  <si>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</si>
  <si>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</si>
  <si>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</si>
  <si>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</si>
  <si>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</si>
  <si>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</si>
  <si>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</si>
  <si>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</si>
  <si>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</si>
  <si>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</si>
  <si>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</si>
  <si>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</si>
  <si>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</si>
  <si>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</si>
  <si>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</si>
  <si>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</si>
  <si>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</si>
  <si>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</si>
  <si>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</si>
  <si>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</si>
  <si>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</si>
  <si>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</si>
  <si>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</si>
  <si>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</si>
  <si>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</si>
  <si>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</si>
  <si>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</si>
  <si>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</si>
  <si>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</si>
  <si>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</si>
  <si>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</si>
  <si>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</si>
  <si>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</si>
  <si>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</si>
  <si>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</si>
  <si>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</si>
  <si>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</si>
  <si>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</si>
  <si>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</si>
  <si>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</si>
  <si>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</si>
  <si>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</si>
  <si>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</si>
  <si>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</si>
  <si>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</si>
  <si>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</si>
  <si>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</si>
  <si>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</si>
  <si>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</si>
  <si>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</si>
  <si>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</si>
  <si>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</si>
  <si>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</si>
  <si>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</si>
  <si>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</si>
  <si>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</si>
  <si>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</si>
  <si>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</si>
  <si>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</si>
  <si>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</si>
  <si>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</si>
  <si>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</si>
  <si>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</si>
  <si>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</si>
  <si>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</si>
  <si>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</si>
  <si>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</si>
  <si>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</si>
  <si>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</si>
  <si>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</si>
  <si>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</si>
  <si>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</si>
  <si>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</si>
  <si>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</si>
  <si>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</si>
  <si>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</si>
  <si>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</si>
  <si>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</si>
  <si>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</si>
  <si>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</si>
  <si>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</si>
  <si>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</si>
  <si>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</si>
  <si>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</si>
  <si>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</si>
  <si>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</si>
  <si>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</si>
  <si>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</si>
  <si>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</si>
  <si>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</si>
  <si>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</si>
  <si>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</si>
  <si>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</si>
  <si>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</si>
  <si>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</si>
  <si>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</si>
  <si>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</si>
  <si>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</si>
  <si>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</si>
  <si>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</si>
  <si>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</si>
  <si>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</si>
  <si>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</si>
  <si>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</si>
  <si>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</si>
  <si>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</si>
  <si>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</si>
  <si>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</si>
  <si>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</si>
  <si>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</si>
  <si>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</si>
  <si>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</si>
  <si>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</si>
  <si>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</si>
  <si>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</si>
  <si>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</si>
  <si>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</si>
  <si>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</si>
  <si>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</si>
  <si>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</si>
  <si>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</si>
  <si>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</si>
  <si>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</si>
  <si>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</si>
  <si>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</si>
  <si>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</si>
  <si>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</si>
  <si>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</si>
  <si>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</si>
  <si>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</si>
  <si>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</si>
  <si>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</si>
  <si>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</si>
  <si>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</si>
  <si>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</si>
  <si>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</si>
  <si>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</si>
  <si>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</si>
  <si>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</si>
  <si>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</si>
  <si>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</si>
  <si>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</si>
  <si>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</si>
  <si>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</si>
  <si>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</si>
  <si>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</si>
  <si>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</si>
  <si>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</si>
  <si>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</si>
  <si>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</si>
  <si>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</si>
  <si>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</si>
  <si>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</si>
  <si>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</si>
  <si>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</si>
  <si>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</si>
  <si>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</si>
  <si>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</si>
  <si>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</si>
  <si>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</si>
  <si>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</si>
  <si>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</si>
  <si>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</si>
  <si>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</si>
  <si>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</si>
  <si>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</si>
  <si>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</si>
  <si>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</si>
  <si>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</si>
  <si>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</si>
  <si>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</si>
  <si>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</si>
  <si>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</si>
  <si>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</si>
  <si>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</si>
  <si>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</si>
  <si>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</si>
  <si>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</si>
  <si>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</si>
  <si>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</si>
  <si>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</si>
  <si>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</si>
  <si>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</si>
  <si>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</si>
  <si>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</si>
  <si>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</si>
  <si>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</si>
  <si>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</si>
  <si>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</si>
  <si>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</si>
  <si>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</si>
  <si>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</si>
  <si>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</si>
  <si>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</si>
  <si>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</si>
  <si>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</si>
  <si>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</si>
  <si>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</si>
  <si>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</si>
  <si>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</si>
  <si>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</si>
  <si>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</si>
  <si>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</si>
  <si>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</si>
  <si>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</si>
  <si>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</si>
  <si>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</si>
  <si>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</si>
  <si>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</si>
  <si>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</si>
  <si>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</si>
  <si>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</si>
  <si>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</si>
  <si>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</si>
  <si>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</si>
  <si>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</si>
  <si>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</si>
  <si>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</si>
  <si>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</si>
  <si>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</si>
  <si>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</si>
  <si>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</si>
  <si>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</si>
  <si>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</si>
  <si>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</si>
  <si>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</si>
  <si>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</si>
  <si>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</si>
  <si>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</si>
  <si>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</si>
  <si>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</si>
  <si>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</si>
  <si>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</si>
  <si>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</si>
  <si>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</si>
  <si>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</si>
  <si>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</si>
  <si>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</si>
  <si>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</si>
  <si>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</si>
  <si>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</si>
  <si>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</si>
  <si>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</si>
  <si>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</si>
  <si>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</si>
  <si>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</si>
  <si>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</si>
  <si>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</si>
  <si>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</si>
  <si>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</si>
  <si>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</si>
  <si>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</si>
  <si>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</si>
  <si>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</si>
  <si>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</si>
  <si>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</si>
  <si>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</si>
  <si>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</si>
  <si>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</si>
  <si>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</si>
  <si>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</si>
  <si>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</si>
  <si>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</si>
  <si>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</si>
  <si>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</si>
  <si>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</si>
  <si>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</si>
  <si>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</si>
  <si>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</si>
  <si>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</si>
  <si>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</si>
  <si>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</si>
  <si>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</si>
  <si>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</si>
  <si>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</si>
  <si>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</si>
  <si>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</si>
  <si>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</si>
  <si>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</si>
  <si>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</si>
  <si>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</si>
  <si>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</si>
  <si>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</si>
  <si>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</si>
  <si>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</si>
  <si>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</si>
  <si>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</si>
  <si>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</si>
  <si>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</si>
  <si>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</si>
  <si>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</si>
  <si>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</si>
  <si>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</si>
  <si>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</si>
  <si>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</si>
  <si>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</si>
  <si>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</si>
  <si>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</si>
  <si>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</si>
  <si>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</si>
  <si>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</si>
  <si>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</si>
  <si>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</si>
  <si>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</si>
  <si>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</si>
  <si>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</si>
  <si>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</si>
  <si>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</si>
  <si>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</si>
  <si>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</si>
  <si>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</si>
  <si>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</si>
  <si>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</si>
  <si>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</si>
  <si>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</si>
  <si>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</si>
  <si>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</si>
  <si>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</si>
  <si>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</si>
  <si>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</si>
  <si>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</si>
  <si>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</si>
  <si>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</si>
  <si>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</si>
  <si>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</si>
  <si>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</si>
  <si>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</si>
  <si>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</si>
  <si>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</si>
  <si>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</si>
  <si>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</si>
  <si>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</si>
  <si>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</si>
  <si>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</si>
  <si>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</si>
  <si>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</si>
  <si>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</si>
  <si>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</si>
  <si>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</si>
  <si>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</si>
  <si>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</si>
  <si>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</si>
  <si>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</si>
  <si>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</si>
  <si>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</si>
  <si>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</si>
  <si>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</si>
  <si>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</si>
  <si>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</si>
  <si>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</si>
  <si>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</si>
  <si>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</si>
  <si>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</si>
  <si>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</si>
  <si>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</si>
  <si>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</si>
  <si>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</si>
  <si>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</si>
  <si>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</si>
  <si>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</si>
  <si>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</si>
  <si>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</si>
  <si>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</si>
  <si>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</si>
  <si>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</si>
  <si>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</si>
  <si>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</si>
  <si>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</si>
  <si>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</si>
  <si>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</si>
  <si>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</si>
  <si>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</si>
  <si>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</si>
  <si>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</si>
  <si>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</si>
  <si>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</si>
  <si>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</si>
  <si>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</si>
  <si>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</si>
  <si>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</si>
  <si>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</si>
  <si>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</si>
  <si>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</si>
  <si>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</si>
  <si>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</si>
  <si>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</si>
  <si>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</si>
  <si>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</si>
  <si>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</si>
  <si>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</si>
  <si>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</si>
  <si>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</si>
  <si>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</si>
  <si>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</si>
  <si>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</si>
  <si>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</si>
  <si>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</si>
  <si>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</si>
  <si>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</si>
  <si>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</si>
  <si>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</si>
  <si>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</si>
  <si>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</si>
  <si>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</si>
  <si>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</si>
  <si>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</si>
  <si>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</si>
  <si>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</si>
  <si>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</si>
  <si>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</si>
  <si>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</si>
  <si>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</si>
  <si>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</si>
  <si>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</si>
  <si>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</si>
  <si>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</si>
  <si>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</si>
  <si>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</si>
  <si>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</si>
  <si>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</si>
  <si>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</si>
  <si>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</si>
  <si>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</si>
  <si>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</si>
  <si>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</si>
  <si>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</si>
  <si>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</si>
  <si>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</si>
  <si>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</si>
  <si>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</si>
  <si>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</si>
  <si>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</si>
  <si>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</si>
  <si>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</si>
  <si>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</si>
  <si>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</si>
  <si>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</si>
  <si>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</si>
  <si>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</si>
  <si>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</si>
  <si>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</si>
  <si>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</si>
  <si>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</si>
  <si>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</si>
  <si>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</si>
  <si>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</si>
  <si>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</si>
  <si>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</si>
  <si>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</si>
  <si>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</si>
  <si>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</si>
  <si>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</si>
  <si>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</si>
  <si>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</si>
  <si>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</si>
  <si>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</si>
  <si>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</si>
  <si>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</si>
  <si>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</si>
  <si>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</si>
  <si>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</si>
  <si>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</si>
  <si>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</si>
  <si>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</si>
  <si>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</si>
  <si>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</si>
  <si>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</si>
  <si>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</si>
  <si>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</si>
  <si>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</si>
  <si>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</si>
  <si>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</si>
  <si>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</si>
  <si>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</si>
  <si>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</si>
  <si>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</si>
  <si>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</si>
  <si>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</si>
  <si>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</si>
  <si>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</si>
  <si>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</si>
  <si>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</si>
  <si>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</si>
  <si>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</si>
  <si>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</si>
  <si>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</si>
  <si>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</si>
  <si>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</si>
  <si>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</si>
  <si>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</si>
  <si>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</si>
  <si>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</si>
  <si>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</si>
  <si>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</si>
  <si>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</si>
  <si>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</si>
  <si>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</si>
  <si>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</si>
  <si>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</si>
  <si>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</si>
  <si>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</si>
  <si>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</si>
  <si>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</si>
  <si>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</si>
  <si>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</si>
  <si>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</si>
  <si>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</si>
  <si>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</si>
  <si>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</si>
  <si>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</si>
  <si>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</si>
  <si>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</si>
  <si>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</si>
  <si>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</si>
  <si>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</si>
  <si>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</si>
  <si>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</si>
  <si>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</si>
  <si>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</si>
  <si>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</si>
  <si>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</si>
  <si>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</si>
  <si>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</si>
  <si>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</si>
  <si>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</si>
  <si>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</si>
  <si>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</si>
  <si>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</si>
  <si>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</si>
  <si>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</si>
  <si>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</si>
  <si>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</si>
  <si>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</si>
  <si>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</si>
  <si>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</si>
  <si>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</si>
  <si>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</si>
  <si>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</si>
  <si>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</si>
  <si>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</si>
  <si>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</si>
  <si>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</si>
  <si>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</si>
  <si>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</si>
  <si>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</si>
  <si>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</si>
  <si>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</si>
  <si>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</si>
  <si>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</si>
  <si>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</si>
  <si>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</si>
  <si>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</si>
  <si>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</si>
  <si>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</si>
  <si>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</si>
  <si>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</si>
  <si>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</si>
  <si>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</si>
  <si>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</si>
  <si>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</si>
  <si>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</si>
  <si>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</si>
  <si>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</si>
  <si>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</si>
  <si>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</si>
  <si>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</si>
  <si>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</si>
  <si>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</si>
  <si>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</si>
  <si>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</si>
  <si>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</si>
  <si>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</si>
  <si>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</si>
  <si>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</si>
  <si>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</si>
  <si>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</si>
  <si>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</si>
  <si>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</si>
  <si>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</si>
  <si>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</si>
  <si>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</si>
  <si>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</si>
  <si>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</si>
  <si>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</si>
  <si>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</si>
  <si>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</si>
  <si>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</si>
  <si>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</si>
  <si>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</si>
  <si>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</si>
  <si>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</si>
  <si>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</si>
  <si>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</si>
  <si>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</si>
  <si>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</si>
  <si>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</si>
  <si>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</si>
  <si>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</si>
  <si>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</si>
  <si>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</si>
  <si>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</si>
  <si>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</si>
  <si>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</si>
  <si>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</si>
  <si>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</si>
  <si>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</si>
  <si>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</si>
  <si>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</si>
  <si>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</si>
  <si>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</si>
  <si>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</si>
  <si>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</si>
  <si>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</si>
  <si>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</si>
  <si>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</si>
  <si>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</si>
  <si>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</si>
  <si>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</si>
  <si>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</si>
  <si>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</si>
  <si>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</si>
  <si>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</si>
  <si>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</si>
  <si>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</si>
  <si>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</si>
  <si>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</si>
  <si>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</si>
  <si>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</si>
  <si>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</si>
  <si>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</si>
  <si>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</si>
  <si>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</si>
  <si>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</si>
  <si>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</si>
  <si>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</si>
  <si>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</si>
  <si>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</si>
  <si>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</si>
  <si>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</si>
  <si>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</si>
  <si>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</si>
  <si>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</si>
  <si>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</si>
  <si>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</si>
  <si>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</si>
  <si>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</si>
  <si>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</si>
  <si>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</si>
  <si>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</si>
  <si>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</si>
  <si>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</si>
  <si>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</si>
  <si>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</si>
  <si>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</si>
  <si>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</si>
  <si>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</si>
  <si>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</si>
  <si>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</si>
  <si>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</si>
  <si>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</si>
  <si>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</si>
  <si>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</si>
  <si>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</si>
  <si>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</si>
  <si>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</si>
  <si>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</si>
  <si>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</si>
  <si>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</si>
  <si>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</si>
  <si>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</si>
  <si>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</si>
  <si>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</si>
  <si>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</si>
  <si>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</si>
  <si>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</si>
  <si>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</si>
  <si>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</si>
  <si>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</si>
  <si>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</si>
  <si>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</si>
  <si>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</si>
  <si>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</si>
  <si>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</si>
  <si>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</si>
  <si>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</si>
  <si>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</si>
  <si>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</si>
  <si>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</si>
  <si>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</si>
  <si>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</si>
  <si>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</si>
  <si>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</si>
  <si>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</si>
  <si>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</si>
  <si>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</si>
  <si>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</si>
  <si>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</si>
  <si>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</si>
  <si>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</si>
  <si>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</si>
  <si>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</si>
  <si>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</si>
  <si>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</si>
  <si>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</si>
  <si>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</si>
  <si>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</si>
  <si>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</si>
  <si>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</si>
  <si>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</si>
  <si>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</si>
  <si>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</si>
  <si>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</si>
  <si>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</si>
  <si>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</si>
  <si>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</si>
  <si>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</si>
  <si>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</si>
  <si>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</si>
  <si>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</si>
  <si>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</si>
  <si>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</si>
  <si>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</si>
  <si>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</si>
  <si>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</si>
  <si>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</si>
  <si>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</si>
  <si>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</si>
  <si>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</si>
  <si>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</si>
  <si>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</si>
  <si>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</si>
  <si>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</si>
  <si>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</si>
  <si>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</si>
  <si>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</si>
  <si>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</si>
  <si>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</si>
  <si>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</si>
  <si>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</si>
  <si>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</si>
  <si>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</si>
  <si>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</si>
  <si>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</si>
  <si>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</si>
  <si>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</si>
  <si>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</si>
  <si>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</si>
  <si>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</si>
  <si>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</si>
  <si>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</si>
  <si>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</si>
  <si>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</si>
  <si>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</si>
  <si>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</si>
  <si>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</si>
  <si>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</si>
  <si>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</si>
  <si>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</si>
  <si>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</si>
  <si>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</si>
  <si>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</si>
  <si>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</si>
  <si>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</si>
  <si>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</si>
  <si>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</si>
  <si>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</si>
  <si>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</si>
  <si>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</si>
  <si>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</si>
  <si>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</si>
  <si>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</si>
  <si>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</si>
  <si>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</si>
  <si>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</si>
  <si>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</si>
  <si>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</si>
  <si>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</si>
  <si>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</si>
  <si>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</si>
  <si>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</si>
  <si>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</si>
  <si>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</si>
  <si>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</si>
  <si>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</si>
  <si>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</si>
  <si>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</si>
  <si>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</si>
  <si>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</si>
  <si>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</si>
  <si>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</si>
  <si>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</si>
  <si>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</si>
  <si>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</si>
  <si>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</si>
  <si>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</si>
  <si>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</si>
  <si>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</si>
  <si>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</si>
  <si>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</si>
  <si>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</si>
  <si>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</si>
  <si>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</si>
  <si>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</si>
  <si>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</si>
  <si>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</si>
  <si>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</si>
  <si>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</si>
  <si>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</si>
  <si>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</si>
  <si>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</si>
  <si>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</si>
  <si>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</si>
  <si>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</si>
  <si>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</si>
  <si>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</si>
  <si>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</si>
  <si>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</si>
  <si>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</si>
  <si>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</si>
  <si>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</si>
  <si>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</si>
  <si>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</si>
  <si>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</si>
  <si>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</si>
  <si>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</si>
  <si>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</si>
  <si>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</si>
  <si>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</si>
  <si>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</si>
  <si>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</si>
  <si>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</si>
  <si>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</si>
  <si>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</si>
  <si>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</si>
  <si>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</si>
  <si>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</si>
  <si>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</si>
  <si>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</si>
  <si>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</si>
  <si>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</si>
  <si>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</si>
  <si>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</si>
  <si>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</si>
  <si>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</si>
  <si>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</si>
  <si>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</si>
  <si>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</si>
  <si>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</si>
  <si>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</si>
  <si>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</si>
  <si>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</si>
  <si>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</si>
  <si>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</si>
  <si>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</si>
  <si>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</si>
  <si>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</si>
  <si>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</si>
  <si>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</si>
  <si>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</si>
  <si>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</si>
  <si>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</si>
  <si>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</si>
  <si>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</si>
  <si>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</si>
  <si>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</si>
  <si>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</si>
  <si>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</si>
  <si>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</si>
  <si>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</si>
  <si>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</si>
  <si>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</si>
  <si>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</si>
  <si>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</si>
  <si>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</si>
  <si>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</si>
  <si>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</si>
  <si>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</si>
  <si>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</si>
  <si>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</si>
  <si>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</si>
  <si>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</si>
  <si>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</si>
  <si>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</si>
  <si>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</si>
  <si>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</si>
  <si>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</si>
  <si>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</si>
  <si>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</si>
  <si>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</si>
  <si>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</si>
  <si>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</si>
  <si>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</si>
  <si>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</si>
  <si>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</si>
  <si>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</si>
  <si>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</si>
  <si>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</si>
  <si>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</si>
  <si>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</si>
  <si>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</si>
  <si>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</si>
  <si>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</si>
  <si>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</si>
  <si>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</si>
  <si>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</si>
  <si>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</si>
  <si>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</si>
  <si>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</si>
  <si>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</si>
  <si>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</si>
  <si>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</si>
  <si>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</si>
  <si>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</si>
  <si>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</si>
  <si>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</si>
  <si>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</si>
  <si>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</si>
  <si>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</si>
  <si>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</si>
  <si>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</si>
  <si>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</si>
  <si>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</si>
  <si>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</si>
  <si>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</si>
  <si>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</si>
  <si>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</si>
  <si>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</si>
  <si>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</si>
  <si>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</si>
  <si>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</si>
  <si>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</si>
  <si>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</si>
  <si>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</si>
  <si>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</si>
  <si>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</si>
  <si>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</si>
  <si>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</si>
  <si>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</si>
  <si>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</si>
  <si>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</si>
  <si>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</si>
  <si>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</si>
  <si>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</si>
  <si>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</si>
  <si>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</si>
  <si>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</si>
  <si>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</si>
  <si>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</si>
  <si>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</si>
  <si>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</si>
  <si>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</si>
  <si>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</si>
  <si>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</si>
  <si>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</si>
  <si>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</si>
  <si>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</si>
  <si>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</si>
  <si>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</si>
  <si>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</si>
  <si>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</si>
  <si>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</si>
  <si>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</si>
  <si>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</si>
  <si>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</si>
  <si>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</si>
  <si>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</si>
  <si>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</si>
  <si>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</si>
  <si>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</si>
  <si>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</si>
  <si>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</si>
  <si>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</si>
  <si>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</si>
  <si>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</si>
  <si>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</si>
  <si>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</si>
  <si>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</si>
  <si>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</si>
  <si>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</si>
  <si>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</si>
  <si>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</si>
  <si>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</si>
  <si>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</si>
  <si>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</si>
  <si>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</si>
  <si>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</si>
  <si>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</si>
  <si>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</si>
  <si>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</si>
  <si>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</si>
  <si>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</si>
  <si>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</si>
  <si>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</si>
  <si>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</si>
  <si>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</si>
  <si>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</si>
  <si>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</si>
  <si>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</si>
  <si>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</si>
  <si>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</si>
  <si>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</si>
  <si>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</si>
  <si>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</si>
  <si>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</si>
  <si>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</si>
  <si>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</si>
  <si>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</si>
  <si>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</si>
  <si>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</si>
  <si>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</si>
  <si>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</si>
  <si>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</si>
  <si>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</si>
  <si>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</si>
  <si>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</si>
  <si>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</si>
  <si>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</si>
  <si>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</si>
  <si>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</si>
  <si>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</si>
  <si>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</si>
  <si>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</si>
  <si>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</si>
  <si>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</si>
  <si>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</si>
  <si>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</si>
  <si>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</si>
  <si>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</si>
  <si>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</si>
  <si>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</si>
  <si>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</si>
  <si>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</si>
  <si>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</si>
  <si>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</si>
  <si>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</si>
  <si>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</si>
  <si>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</si>
  <si>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</si>
  <si>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</si>
  <si>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</si>
  <si>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</si>
  <si>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</si>
  <si>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</si>
  <si>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</si>
  <si>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</si>
  <si>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</si>
  <si>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</si>
  <si>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</si>
  <si>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</si>
  <si>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</si>
  <si>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</si>
  <si>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</si>
  <si>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</si>
  <si>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</si>
  <si>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</si>
  <si>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</si>
  <si>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</si>
  <si>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</si>
  <si>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</si>
  <si>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</si>
  <si>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</si>
  <si>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</si>
  <si>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</si>
  <si>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</si>
  <si>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</si>
  <si>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</si>
  <si>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</si>
  <si>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</si>
  <si>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</si>
  <si>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</si>
  <si>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</si>
  <si>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</si>
  <si>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</si>
  <si>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</si>
  <si>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</si>
  <si>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</si>
  <si>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</si>
  <si>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</si>
  <si>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</si>
  <si>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</si>
  <si>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</si>
  <si>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</si>
  <si>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</si>
  <si>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</si>
  <si>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</si>
  <si>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</si>
  <si>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</si>
  <si>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</si>
  <si>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</si>
  <si>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</si>
  <si>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</si>
  <si>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</si>
  <si>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</si>
  <si>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</si>
  <si>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</si>
  <si>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</si>
  <si>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</si>
  <si>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</si>
  <si>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</si>
  <si>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</si>
  <si>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</si>
  <si>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</si>
  <si>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</si>
  <si>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</si>
  <si>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</si>
  <si>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</si>
  <si>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</si>
  <si>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</si>
  <si>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</si>
  <si>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</si>
  <si>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</si>
  <si>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</si>
  <si>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</si>
  <si>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</si>
  <si>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</si>
  <si>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</si>
  <si>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</si>
  <si>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</si>
  <si>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</si>
  <si>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</si>
  <si>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</si>
  <si>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</si>
  <si>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</si>
  <si>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</si>
  <si>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</si>
  <si>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</si>
  <si>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</si>
  <si>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</si>
  <si>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</si>
  <si>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</si>
  <si>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</si>
  <si>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</si>
  <si>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</si>
  <si>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</si>
  <si>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</si>
  <si>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</si>
  <si>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</si>
  <si>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</si>
  <si>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</si>
  <si>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</si>
  <si>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</si>
  <si>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</si>
  <si>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</si>
  <si>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</si>
  <si>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</si>
  <si>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</si>
  <si>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</si>
  <si>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</si>
  <si>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</si>
  <si>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</si>
  <si>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</si>
  <si>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</si>
  <si>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</si>
  <si>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</si>
  <si>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</si>
  <si>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</si>
  <si>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</si>
  <si>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</si>
  <si>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</si>
  <si>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</si>
  <si>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</si>
  <si>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</si>
  <si>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</si>
  <si>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</si>
  <si>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</si>
  <si>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</si>
  <si>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</si>
  <si>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</si>
  <si>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</si>
  <si>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</si>
  <si>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</si>
  <si>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</si>
  <si>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</si>
  <si>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</si>
  <si>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</si>
  <si>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</si>
  <si>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</si>
  <si>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</si>
  <si>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</si>
  <si>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</si>
  <si>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</si>
  <si>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</si>
  <si>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</si>
  <si>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</si>
  <si>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</si>
  <si>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</si>
  <si>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</si>
  <si>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</si>
  <si>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</si>
  <si>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</si>
  <si>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</si>
  <si>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</si>
  <si>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</si>
  <si>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</si>
  <si>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</si>
  <si>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</si>
  <si>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</si>
  <si>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</si>
  <si>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</si>
  <si>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</si>
  <si>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</si>
  <si>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</si>
  <si>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</si>
  <si>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</si>
  <si>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</si>
  <si>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</si>
  <si>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</si>
  <si>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</si>
  <si>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</si>
  <si>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</si>
  <si>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</si>
  <si>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</si>
  <si>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</si>
  <si>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</si>
  <si>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</si>
  <si>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</si>
  <si>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</si>
  <si>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</si>
  <si>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</si>
  <si>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</si>
  <si>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</si>
  <si>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</si>
  <si>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</si>
  <si>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</si>
  <si>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</si>
  <si>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</si>
  <si>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</si>
  <si>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</si>
  <si>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</si>
  <si>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</si>
  <si>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</si>
  <si>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</si>
  <si>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</si>
  <si>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</si>
  <si>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</si>
  <si>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</si>
  <si>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</si>
  <si>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</si>
  <si>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</si>
  <si>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</si>
  <si>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</si>
  <si>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</si>
  <si>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</si>
  <si>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</si>
  <si>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</si>
  <si>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</si>
  <si>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</si>
  <si>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</si>
  <si>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</si>
  <si>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</si>
  <si>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</si>
  <si>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</si>
  <si>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</si>
  <si>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</si>
  <si>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</si>
  <si>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</si>
  <si>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</si>
  <si>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</si>
  <si>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</si>
  <si>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</si>
  <si>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</si>
  <si>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</si>
  <si>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</si>
  <si>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</si>
  <si>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</si>
  <si>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</si>
  <si>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</si>
  <si>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</si>
  <si>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</si>
  <si>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</si>
  <si>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</si>
  <si>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</si>
  <si>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</si>
  <si>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</si>
  <si>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</si>
  <si>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</si>
  <si>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</si>
  <si>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</si>
  <si>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</si>
  <si>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</si>
  <si>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</si>
  <si>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</si>
  <si>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</si>
  <si>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</si>
  <si>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</si>
  <si>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</si>
  <si>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</si>
  <si>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</si>
  <si>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</si>
  <si>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</si>
  <si>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</si>
  <si>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</si>
  <si>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</si>
  <si>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</si>
  <si>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</si>
  <si>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</si>
  <si>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</si>
  <si>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</si>
  <si>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</si>
  <si>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</si>
  <si>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</si>
  <si>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</si>
  <si>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</si>
  <si>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</si>
  <si>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</si>
  <si>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</si>
  <si>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</si>
  <si>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</si>
  <si>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</si>
  <si>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</si>
  <si>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</si>
  <si>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</si>
  <si>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</si>
  <si>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</si>
  <si>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</si>
  <si>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</si>
  <si>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</si>
  <si>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</si>
  <si>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</si>
  <si>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</si>
  <si>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</si>
  <si>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</si>
  <si>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</si>
  <si>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</si>
  <si>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</si>
  <si>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</si>
  <si>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</si>
  <si>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</si>
  <si>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</si>
  <si>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</si>
  <si>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</si>
  <si>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</si>
  <si>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</si>
  <si>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</si>
  <si>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</si>
  <si>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</si>
  <si>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</si>
  <si>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</si>
  <si>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</si>
  <si>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</si>
  <si>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</si>
  <si>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</si>
  <si>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</si>
  <si>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</si>
  <si>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</si>
  <si>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</si>
  <si>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</si>
  <si>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</si>
  <si>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</si>
  <si>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</si>
  <si>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</si>
  <si>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</si>
  <si>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</si>
  <si>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</si>
  <si>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</si>
  <si>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</si>
  <si>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</si>
  <si>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</si>
  <si>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</si>
  <si>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</si>
  <si>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</si>
  <si>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</si>
  <si>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</si>
  <si>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</si>
  <si>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</si>
  <si>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</si>
  <si>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</si>
  <si>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</si>
  <si>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</si>
  <si>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</si>
  <si>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</si>
  <si>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</si>
  <si>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</si>
  <si>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</si>
  <si>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</si>
  <si>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</si>
  <si>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</si>
  <si>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</si>
  <si>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</si>
  <si>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</si>
  <si>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</si>
  <si>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</si>
  <si>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</si>
  <si>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</si>
  <si>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</si>
  <si>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</si>
  <si>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</si>
  <si>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</si>
  <si>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</si>
  <si>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</si>
  <si>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</si>
  <si>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</si>
  <si>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</si>
  <si>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</si>
  <si>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</si>
  <si>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</si>
  <si>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</si>
  <si>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</si>
  <si>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</si>
  <si>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</si>
  <si>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</si>
  <si>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</si>
  <si>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</si>
  <si>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</si>
  <si>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</si>
  <si>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</si>
  <si>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</si>
  <si>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</si>
  <si>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</si>
  <si>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</si>
  <si>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</si>
  <si>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</si>
  <si>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</si>
  <si>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</si>
  <si>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</si>
  <si>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</si>
  <si>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</si>
  <si>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</si>
  <si>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</si>
  <si>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</si>
  <si>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</si>
  <si>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</si>
  <si>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</si>
  <si>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</si>
  <si>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</si>
  <si>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</si>
  <si>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</si>
  <si>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</si>
  <si>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</si>
  <si>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</si>
  <si>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</si>
  <si>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</si>
  <si>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</si>
  <si>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</si>
  <si>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</si>
  <si>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</si>
  <si>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</si>
  <si>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</si>
  <si>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</si>
  <si>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</si>
  <si>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</si>
  <si>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</si>
  <si>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</si>
  <si>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</si>
  <si>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</si>
  <si>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</si>
  <si>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</si>
  <si>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</si>
  <si>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</si>
  <si>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</si>
  <si>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</si>
  <si>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</si>
  <si>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</si>
  <si>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</si>
  <si>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</si>
  <si>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</si>
  <si>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</si>
  <si>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</si>
  <si>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</si>
  <si>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</si>
  <si>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</si>
  <si>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</si>
  <si>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</si>
  <si>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</si>
  <si>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</si>
  <si>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</si>
  <si>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</si>
  <si>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</si>
  <si>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</si>
  <si>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</si>
  <si>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</si>
  <si>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</si>
  <si>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</si>
  <si>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</si>
  <si>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</si>
  <si>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</si>
  <si>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</si>
  <si>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</si>
  <si>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</si>
  <si>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</si>
  <si>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</si>
  <si>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</si>
  <si>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</si>
  <si>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</si>
  <si>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</si>
  <si>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</si>
  <si>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</si>
  <si>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</si>
  <si>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</si>
  <si>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</si>
  <si>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</si>
  <si>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</si>
  <si>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</si>
  <si>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</si>
  <si>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</si>
  <si>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</si>
  <si>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</si>
  <si>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</si>
  <si>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</si>
  <si>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</si>
  <si>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</si>
  <si>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</si>
  <si>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</si>
  <si>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</si>
  <si>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</si>
  <si>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</si>
  <si>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</si>
  <si>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</si>
  <si>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</si>
  <si>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</si>
  <si>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</si>
  <si>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</si>
  <si>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</si>
  <si>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</si>
  <si>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</si>
  <si>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</si>
  <si>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</si>
  <si>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</si>
  <si>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</si>
  <si>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</si>
  <si>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</si>
  <si>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</si>
  <si>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</si>
  <si>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</si>
  <si>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</si>
  <si>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</si>
  <si>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</si>
  <si>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</si>
  <si>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</si>
  <si>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</si>
  <si>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</si>
  <si>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</si>
  <si>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</si>
  <si>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</si>
  <si>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</si>
  <si>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</si>
  <si>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</si>
  <si>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</si>
  <si>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</si>
  <si>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</si>
  <si>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</si>
  <si>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</si>
  <si>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</si>
  <si>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</si>
  <si>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</si>
  <si>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</si>
  <si>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</si>
  <si>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</si>
  <si>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</si>
  <si>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</si>
  <si>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</si>
  <si>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</si>
  <si>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</si>
  <si>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</si>
  <si>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</si>
  <si>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</si>
  <si>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</si>
  <si>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</si>
  <si>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</si>
  <si>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</si>
  <si>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</si>
  <si>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</si>
  <si>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</si>
  <si>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</si>
  <si>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</si>
  <si>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</si>
  <si>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</si>
  <si>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</si>
  <si>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</si>
  <si>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</si>
  <si>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</si>
  <si>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</si>
  <si>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</si>
  <si>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</si>
  <si>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</si>
  <si>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</si>
  <si>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</si>
  <si>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</si>
  <si>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</si>
  <si>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</si>
  <si>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</si>
  <si>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</si>
  <si>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</si>
  <si>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</si>
  <si>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</si>
  <si>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</si>
  <si>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</si>
  <si>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</si>
  <si>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</si>
  <si>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</si>
  <si>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</si>
  <si>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</si>
  <si>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</si>
  <si>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</si>
  <si>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</si>
  <si>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</si>
  <si>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</si>
  <si>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</si>
  <si>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</si>
  <si>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</si>
  <si>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</si>
  <si>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</si>
  <si>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</si>
  <si>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</si>
  <si>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</si>
  <si>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</si>
  <si>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</si>
  <si>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</si>
  <si>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</si>
  <si>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</si>
  <si>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</si>
  <si>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</si>
  <si>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</si>
  <si>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</si>
  <si>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</si>
  <si>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</si>
  <si>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</si>
  <si>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</si>
  <si>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</si>
  <si>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</si>
  <si>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</si>
  <si>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</si>
  <si>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</si>
  <si>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</si>
  <si>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</si>
  <si>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</si>
  <si>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</si>
  <si>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</si>
  <si>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</si>
  <si>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</si>
  <si>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</si>
  <si>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</si>
  <si>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</si>
  <si>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</si>
  <si>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</si>
  <si>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</si>
  <si>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</si>
  <si>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</si>
  <si>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</si>
  <si>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</si>
  <si>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</si>
  <si>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</si>
  <si>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</si>
  <si>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</si>
  <si>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</si>
  <si>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</si>
  <si>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</si>
  <si>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</si>
  <si>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</si>
  <si>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</si>
  <si>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</si>
  <si>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</si>
  <si>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</si>
  <si>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</si>
  <si>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</si>
  <si>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</si>
  <si>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</si>
  <si>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</si>
  <si>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</si>
  <si>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</si>
  <si>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</si>
  <si>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</si>
  <si>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</si>
  <si>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</si>
  <si>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</si>
  <si>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</si>
  <si>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</si>
  <si>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</si>
  <si>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</si>
  <si>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</si>
  <si>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</si>
  <si>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</si>
  <si>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</si>
  <si>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</si>
  <si>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</si>
  <si>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</si>
  <si>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</si>
  <si>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</si>
  <si>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</si>
  <si>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</si>
  <si>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</si>
  <si>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</si>
  <si>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</si>
  <si>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</si>
  <si>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</si>
  <si>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</si>
  <si>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</si>
  <si>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</si>
  <si>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</si>
  <si>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</si>
  <si>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</si>
  <si>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</si>
  <si>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</si>
  <si>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</si>
  <si>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</si>
  <si>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</si>
  <si>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</si>
  <si>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</si>
  <si>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</si>
  <si>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</si>
  <si>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</si>
  <si>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</si>
  <si>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</si>
  <si>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</si>
  <si>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</si>
  <si>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</si>
  <si>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</si>
  <si>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</si>
  <si>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</si>
  <si>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</si>
  <si>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</si>
  <si>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</si>
  <si>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</si>
  <si>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</si>
  <si>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</si>
  <si>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</si>
  <si>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</si>
  <si>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</si>
  <si>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</si>
  <si>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</si>
  <si>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</si>
  <si>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</si>
  <si>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</si>
  <si>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</si>
  <si>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</si>
  <si>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</si>
  <si>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</si>
  <si>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</si>
  <si>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</si>
  <si>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</si>
  <si>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</si>
  <si>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</si>
  <si>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</si>
  <si>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</si>
  <si>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</si>
  <si>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</si>
  <si>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</si>
  <si>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</si>
  <si>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</si>
  <si>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</si>
  <si>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</si>
  <si>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</si>
  <si>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</si>
  <si>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</si>
  <si>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</si>
  <si>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</si>
  <si>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</si>
  <si>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</si>
  <si>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</si>
  <si>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</si>
  <si>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</si>
  <si>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</si>
  <si>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</si>
  <si>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</si>
  <si>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</si>
  <si>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</si>
  <si>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</si>
  <si>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</si>
  <si>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</si>
  <si>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</si>
  <si>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</si>
  <si>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</si>
  <si>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</si>
  <si>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</si>
  <si>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</si>
  <si>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</si>
  <si>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</si>
  <si>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</si>
  <si>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</si>
  <si>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</si>
  <si>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</si>
  <si>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</si>
  <si>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</si>
  <si>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</si>
  <si>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</si>
  <si>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</si>
  <si>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</si>
  <si>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</si>
  <si>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</si>
  <si>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</si>
  <si>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</si>
  <si>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</si>
  <si>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</si>
  <si>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</si>
  <si>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</si>
  <si>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</si>
  <si>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</si>
  <si>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</si>
  <si>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</si>
  <si>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</si>
  <si>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</si>
  <si>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</si>
  <si>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</si>
  <si>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</si>
  <si>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</si>
  <si>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</si>
  <si>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</si>
  <si>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</si>
  <si>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</si>
  <si>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</si>
  <si>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</si>
  <si>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</si>
  <si>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</si>
  <si>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</si>
  <si>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</si>
  <si>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</si>
  <si>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</si>
  <si>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</si>
  <si>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</si>
  <si>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</si>
  <si>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</si>
  <si>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</si>
  <si>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</si>
  <si>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</si>
  <si>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</si>
  <si>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</si>
  <si>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</si>
  <si>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</si>
  <si>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</si>
  <si>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</si>
  <si>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</si>
  <si>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</si>
  <si>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</si>
  <si>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</si>
  <si>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</si>
  <si>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</si>
  <si>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</si>
  <si>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</si>
  <si>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</si>
  <si>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</si>
  <si>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</si>
  <si>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</si>
  <si>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</si>
  <si>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</si>
  <si>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</si>
  <si>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</si>
  <si>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</si>
  <si>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</si>
  <si>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</si>
  <si>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</si>
  <si>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</si>
  <si>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</si>
  <si>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</si>
  <si>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</si>
  <si>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</si>
  <si>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</si>
  <si>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</si>
  <si>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</si>
  <si>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</si>
  <si>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</si>
  <si>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</si>
  <si>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</si>
  <si>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</si>
  <si>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</si>
  <si>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</si>
  <si>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</si>
  <si>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</si>
  <si>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</si>
  <si>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</si>
  <si>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</si>
  <si>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</si>
  <si>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</si>
  <si>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</si>
  <si>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</si>
  <si>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</si>
  <si>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</si>
  <si>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</si>
  <si>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</si>
  <si>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</si>
  <si>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</si>
  <si>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</si>
  <si>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</si>
  <si>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</si>
  <si>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</si>
  <si>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</si>
  <si>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</si>
  <si>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</si>
  <si>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</si>
  <si>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</si>
  <si>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</si>
  <si>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</si>
  <si>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</si>
  <si>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</si>
  <si>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</si>
  <si>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</si>
  <si>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</si>
  <si>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</si>
  <si>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</si>
  <si>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</si>
  <si>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</si>
  <si>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</si>
  <si>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</si>
  <si>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</si>
  <si>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</si>
  <si>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</si>
  <si>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</si>
  <si>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</si>
  <si>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</si>
  <si>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</si>
  <si>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</si>
  <si>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</si>
  <si>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</si>
  <si>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</si>
  <si>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</si>
  <si>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</si>
  <si>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</si>
  <si>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</si>
  <si>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</si>
  <si>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</si>
  <si>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</si>
  <si>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</si>
  <si>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</si>
  <si>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</si>
  <si>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</si>
  <si>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</si>
  <si>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</si>
  <si>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</si>
  <si>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</si>
  <si>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</si>
  <si>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</si>
  <si>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</si>
  <si>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</si>
  <si>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</si>
  <si>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</si>
  <si>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</si>
  <si>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</si>
  <si>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</si>
  <si>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</si>
  <si>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</si>
  <si>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</si>
  <si>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</si>
  <si>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</si>
  <si>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</si>
  <si>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</si>
  <si>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</si>
  <si>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</si>
  <si>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</si>
  <si>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</si>
  <si>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</si>
  <si>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</si>
  <si>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</si>
  <si>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</si>
  <si>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</si>
  <si>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</si>
  <si>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</si>
  <si>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</si>
  <si>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</si>
  <si>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</si>
  <si>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</si>
  <si>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</si>
  <si>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</si>
  <si>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</si>
  <si>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</si>
  <si>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</si>
  <si>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</si>
  <si>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</si>
  <si>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</si>
  <si>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</si>
  <si>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</si>
  <si>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</si>
  <si>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</si>
  <si>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</si>
  <si>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</si>
  <si>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</si>
  <si>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</si>
  <si>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</si>
  <si>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</si>
  <si>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</si>
  <si>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</si>
  <si>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</si>
  <si>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</si>
  <si>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</si>
  <si>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</si>
  <si>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</si>
  <si>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</si>
  <si>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</si>
  <si>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</si>
  <si>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</si>
  <si>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</si>
  <si>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</si>
  <si>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</si>
  <si>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</si>
  <si>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</si>
  <si>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</si>
  <si>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</si>
  <si>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</si>
  <si>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</si>
  <si>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</si>
  <si>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</si>
  <si>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</si>
  <si>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</si>
  <si>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</si>
  <si>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</si>
  <si>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</si>
  <si>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</si>
  <si>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</si>
  <si>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</si>
  <si>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</si>
  <si>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</si>
  <si>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</si>
  <si>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</si>
  <si>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</si>
  <si>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</si>
  <si>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</si>
  <si>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</si>
  <si>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</si>
  <si>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</si>
  <si>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</si>
  <si>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</si>
  <si>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</si>
  <si>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</si>
  <si>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</si>
  <si>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</si>
  <si>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</si>
  <si>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</si>
  <si>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</si>
  <si>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</si>
  <si>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</si>
  <si>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</si>
  <si>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</si>
  <si>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</si>
  <si>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</si>
  <si>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</si>
  <si>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</si>
  <si>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</si>
  <si>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</si>
  <si>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</si>
  <si>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</si>
  <si>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</si>
  <si>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</si>
  <si>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</si>
  <si>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</si>
  <si>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</si>
  <si>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</si>
  <si>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</si>
  <si>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</si>
  <si>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</si>
  <si>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</si>
  <si>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</si>
  <si>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</si>
  <si>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</si>
  <si>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</si>
  <si>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</si>
  <si>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</si>
  <si>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</si>
  <si>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</si>
  <si>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</si>
  <si>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</si>
  <si>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</si>
  <si>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</si>
  <si>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</si>
  <si>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</si>
  <si>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</si>
  <si>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</si>
  <si>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</si>
  <si>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</si>
  <si>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</si>
  <si>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</si>
  <si>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</si>
  <si>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</si>
  <si>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</si>
  <si>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</si>
  <si>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</si>
  <si>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</si>
  <si>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</si>
  <si>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</si>
  <si>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</si>
  <si>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</si>
  <si>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</si>
  <si>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</si>
  <si>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</si>
  <si>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</si>
  <si>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</si>
  <si>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</si>
  <si>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</si>
  <si>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</si>
  <si>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</si>
  <si>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</si>
  <si>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</si>
  <si>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</si>
  <si>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</si>
  <si>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</si>
  <si>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</si>
  <si>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</si>
  <si>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</si>
  <si>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</si>
  <si>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</si>
  <si>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</si>
  <si>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</si>
  <si>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</si>
  <si>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</si>
  <si>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</si>
  <si>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</si>
  <si>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</si>
  <si>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</si>
  <si>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</si>
  <si>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</si>
  <si>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</si>
  <si>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</si>
  <si>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</si>
  <si>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</si>
  <si>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</si>
  <si>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</si>
  <si>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</si>
  <si>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</si>
  <si>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</si>
  <si>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</si>
  <si>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</si>
  <si>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</si>
  <si>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</si>
  <si>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</si>
  <si>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</si>
  <si>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</si>
  <si>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</si>
  <si>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</si>
  <si>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</si>
  <si>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</si>
  <si>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</si>
  <si>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</si>
  <si>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</si>
  <si>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</si>
  <si>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</si>
  <si>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</si>
  <si>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</si>
  <si>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</si>
  <si>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</si>
  <si>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</si>
  <si>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</si>
  <si>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</si>
  <si>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</si>
  <si>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</si>
  <si>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</si>
  <si>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</si>
  <si>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</si>
  <si>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</si>
  <si>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</si>
  <si>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</si>
  <si>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</si>
  <si>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</si>
  <si>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</si>
  <si>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</si>
  <si>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</si>
  <si>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</si>
  <si>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</si>
  <si>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</si>
  <si>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</si>
  <si>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</si>
  <si>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</si>
  <si>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</si>
  <si>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</si>
  <si>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</si>
  <si>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</si>
  <si>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</si>
  <si>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</si>
  <si>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</si>
  <si>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</si>
  <si>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</si>
  <si>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</si>
  <si>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</si>
  <si>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</si>
  <si>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</si>
  <si>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</si>
  <si>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</si>
  <si>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</si>
  <si>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</si>
  <si>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</si>
  <si>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</si>
  <si>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</si>
  <si>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</si>
  <si>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</si>
  <si>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</si>
  <si>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</si>
  <si>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</si>
  <si>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</si>
  <si>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</si>
  <si>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</si>
  <si>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</si>
  <si>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</si>
  <si>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</si>
  <si>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</si>
  <si>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</si>
  <si>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</si>
  <si>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</si>
  <si>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</si>
  <si>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</si>
  <si>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</si>
  <si>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</si>
  <si>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</si>
  <si>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</si>
  <si>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</si>
  <si>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</si>
  <si>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</si>
  <si>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</si>
  <si>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</si>
  <si>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</si>
  <si>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</si>
  <si>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</si>
  <si>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</si>
  <si>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</si>
  <si>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</si>
  <si>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</si>
  <si>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</si>
  <si>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</si>
  <si>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</si>
  <si>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</si>
  <si>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</si>
  <si>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</si>
  <si>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</si>
  <si>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</si>
  <si>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</si>
  <si>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</si>
  <si>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</si>
  <si>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</si>
  <si>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</si>
  <si>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</si>
  <si>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</si>
  <si>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</si>
  <si>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</si>
  <si>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</si>
  <si>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</si>
  <si>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</si>
  <si>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</si>
  <si>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</si>
  <si>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</si>
  <si>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</si>
  <si>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</si>
  <si>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</si>
  <si>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</si>
  <si>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</si>
  <si>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</si>
  <si>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</si>
  <si>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</si>
  <si>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</si>
  <si>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</si>
  <si>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</si>
  <si>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</si>
  <si>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</si>
  <si>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</si>
  <si>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</si>
  <si>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</si>
  <si>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</si>
  <si>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</si>
  <si>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</si>
  <si>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</si>
  <si>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</si>
  <si>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</si>
  <si>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</si>
  <si>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</si>
  <si>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</si>
  <si>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</si>
  <si>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</si>
  <si>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</si>
  <si>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</si>
  <si>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</si>
  <si>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</si>
  <si>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</si>
  <si>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</si>
  <si>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</si>
  <si>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</si>
  <si>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</si>
  <si>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</si>
  <si>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</si>
  <si>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</si>
  <si>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</si>
  <si>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</si>
  <si>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</si>
  <si>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</si>
  <si>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</si>
  <si>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</si>
  <si>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</si>
  <si>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</si>
  <si>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</si>
  <si>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</si>
  <si>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</si>
  <si>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</si>
  <si>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</si>
  <si>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</si>
  <si>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</si>
  <si>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</si>
  <si>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</si>
  <si>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</si>
  <si>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</si>
  <si>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</si>
  <si>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</si>
  <si>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</si>
  <si>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</si>
  <si>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</si>
  <si>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</si>
  <si>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</si>
  <si>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</si>
  <si>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</si>
  <si>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</si>
  <si>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</si>
  <si>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</si>
  <si>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</si>
  <si>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</si>
  <si>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</si>
  <si>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</si>
  <si>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</si>
  <si>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</si>
  <si>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</si>
  <si>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</si>
  <si>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</si>
  <si>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</si>
  <si>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</si>
  <si>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</si>
  <si>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</si>
  <si>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</si>
  <si>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</si>
  <si>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</si>
  <si>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</si>
  <si>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</si>
  <si>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</si>
  <si>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</si>
  <si>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</si>
  <si>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</si>
  <si>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</si>
  <si>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</si>
  <si>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</si>
  <si>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</si>
  <si>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</si>
  <si>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</si>
  <si>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</si>
  <si>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</si>
  <si>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</si>
  <si>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</si>
  <si>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</si>
  <si>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</si>
  <si>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</si>
  <si>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</si>
  <si>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</si>
  <si>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</si>
  <si>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</si>
  <si>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</si>
  <si>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</si>
  <si>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</si>
  <si>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</si>
  <si>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</si>
  <si>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</si>
  <si>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</si>
  <si>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</si>
  <si>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</si>
  <si>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</si>
  <si>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</si>
  <si>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</si>
  <si>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</si>
  <si>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</si>
  <si>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</si>
  <si>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</si>
  <si>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</si>
  <si>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</si>
  <si>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</si>
  <si>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</si>
  <si>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</si>
  <si>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</si>
  <si>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</si>
  <si>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</si>
  <si>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</si>
  <si>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</si>
  <si>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</si>
  <si>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</si>
  <si>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</si>
  <si>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</si>
  <si>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</si>
  <si>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</si>
  <si>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</si>
  <si>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</si>
  <si>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</si>
  <si>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</si>
  <si>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</si>
  <si>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</si>
  <si>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</si>
  <si>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</si>
  <si>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</si>
  <si>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</si>
  <si>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</si>
  <si>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</si>
  <si>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</si>
  <si>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</si>
  <si>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</si>
  <si>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</si>
  <si>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</si>
  <si>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</si>
  <si>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</si>
  <si>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</si>
  <si>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</si>
  <si>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</si>
  <si>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</si>
  <si>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</si>
  <si>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</si>
  <si>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</si>
  <si>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</si>
  <si>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</si>
  <si>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</si>
  <si>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</si>
  <si>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</si>
  <si>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</si>
  <si>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</si>
  <si>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</si>
  <si>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</si>
  <si>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</si>
  <si>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</si>
  <si>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</si>
  <si>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</si>
  <si>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</si>
  <si>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</si>
  <si>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</si>
  <si>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</si>
  <si>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</si>
  <si>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</si>
  <si>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</si>
  <si>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</si>
  <si>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</si>
  <si>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</si>
  <si>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</si>
  <si>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</si>
  <si>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</si>
  <si>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</si>
  <si>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</si>
  <si>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</si>
  <si>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</si>
  <si>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</si>
  <si>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</si>
  <si>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</si>
  <si>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</si>
  <si>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</si>
  <si>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</si>
  <si>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</si>
  <si>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</si>
  <si>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</si>
  <si>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</si>
  <si>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</si>
  <si>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</si>
  <si>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</si>
  <si>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</si>
  <si>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</si>
  <si>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</si>
  <si>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</si>
  <si>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</si>
  <si>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</si>
  <si>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</si>
  <si>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</si>
  <si>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</si>
  <si>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</si>
  <si>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</si>
  <si>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</si>
  <si>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</si>
  <si>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</si>
  <si>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</si>
  <si>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</si>
  <si>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</si>
  <si>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</si>
  <si>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</si>
  <si>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</si>
  <si>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</si>
  <si>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</si>
  <si>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</si>
  <si>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</si>
  <si>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</si>
  <si>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</si>
  <si>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</si>
  <si>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</si>
  <si>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</si>
  <si>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</si>
  <si>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</si>
  <si>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</si>
  <si>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</si>
  <si>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</si>
  <si>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</si>
  <si>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</si>
  <si>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</si>
  <si>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</si>
  <si>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</si>
  <si>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</si>
  <si>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</si>
  <si>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</si>
  <si>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</si>
  <si>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</si>
  <si>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</si>
  <si>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</si>
  <si>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</si>
  <si>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</si>
  <si>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</si>
  <si>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</si>
  <si>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</si>
  <si>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</si>
  <si>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</si>
  <si>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</si>
  <si>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</si>
  <si>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</si>
  <si>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</si>
  <si>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</si>
  <si>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</si>
  <si>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</si>
  <si>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</si>
  <si>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</si>
  <si>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</si>
  <si>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</si>
  <si>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</si>
  <si>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</si>
  <si>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</si>
  <si>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</si>
  <si>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</si>
  <si>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</si>
  <si>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</si>
  <si>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</si>
  <si>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</si>
  <si>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</si>
  <si>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</si>
  <si>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</si>
  <si>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</si>
  <si>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</si>
  <si>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</si>
  <si>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</si>
  <si>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</si>
  <si>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</si>
  <si>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</si>
  <si>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</si>
  <si>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</si>
  <si>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</si>
  <si>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</si>
  <si>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</si>
  <si>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</si>
  <si>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</si>
  <si>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</si>
  <si>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</si>
  <si>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</si>
  <si>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</si>
  <si>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</si>
  <si>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</si>
  <si>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</si>
  <si>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</si>
  <si>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</si>
  <si>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</si>
  <si>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</si>
  <si>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</si>
  <si>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</si>
  <si>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</si>
  <si>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</si>
  <si>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</si>
  <si>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</si>
  <si>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</si>
  <si>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</si>
  <si>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</si>
  <si>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</si>
  <si>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</si>
  <si>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</si>
  <si>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</si>
  <si>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</si>
  <si>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</si>
  <si>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</si>
  <si>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</si>
  <si>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</si>
  <si>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</si>
  <si>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</si>
  <si>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</si>
  <si>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</si>
  <si>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</si>
  <si>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</si>
  <si>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</si>
  <si>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</si>
  <si>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</si>
  <si>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</si>
  <si>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</si>
  <si>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</si>
  <si>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</si>
  <si>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</si>
  <si>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</si>
  <si>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</si>
  <si>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</si>
  <si>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</si>
  <si>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</si>
  <si>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</si>
  <si>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</si>
  <si>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</si>
  <si>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</si>
  <si>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</si>
  <si>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</si>
  <si>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</si>
  <si>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</si>
  <si>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</si>
  <si>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</si>
  <si>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</si>
  <si>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</si>
  <si>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</si>
  <si>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</si>
  <si>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</si>
  <si>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</si>
  <si>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</si>
  <si>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</si>
  <si>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</si>
  <si>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</si>
  <si>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</si>
  <si>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</si>
  <si>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</si>
  <si>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</si>
  <si>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</si>
  <si>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</si>
  <si>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</si>
  <si>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</si>
  <si>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</si>
  <si>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</si>
  <si>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</si>
  <si>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</si>
  <si>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</si>
  <si>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</si>
  <si>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</si>
  <si>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</si>
  <si>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</si>
  <si>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</si>
  <si>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</si>
  <si>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</si>
  <si>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</si>
  <si>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</si>
  <si>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وغدیر 30169 تا 196.2</t>
  </si>
  <si>
    <t>زاگرس 226 تا 18850</t>
  </si>
  <si>
    <t>پارس 27503 تا 15615.5</t>
  </si>
  <si>
    <t>کلید برای مریم 12/5/1399</t>
  </si>
  <si>
    <t>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</si>
  <si>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</si>
  <si>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</si>
  <si>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</si>
  <si>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</si>
  <si>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</si>
  <si>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</si>
  <si>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</si>
  <si>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</si>
  <si>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</si>
  <si>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</si>
  <si>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</si>
  <si>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</si>
  <si>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</si>
  <si>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</si>
  <si>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</si>
  <si>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</si>
  <si>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</si>
  <si>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</si>
  <si>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</si>
  <si>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</si>
  <si>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</si>
  <si>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</si>
  <si>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</si>
  <si>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</si>
  <si>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</si>
  <si>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</si>
  <si>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</si>
  <si>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</si>
  <si>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</si>
  <si>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</si>
  <si>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</si>
  <si>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</si>
  <si>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</si>
  <si>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</si>
  <si>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</si>
  <si>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</si>
  <si>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</si>
  <si>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</si>
  <si>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</si>
  <si>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</si>
  <si>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</si>
  <si>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</si>
  <si>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</si>
  <si>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</si>
  <si>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</si>
  <si>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وغدیر 41747 تا</t>
  </si>
  <si>
    <t>16/6/1399</t>
  </si>
  <si>
    <t>وغدیر 257489 تا</t>
  </si>
  <si>
    <t>پارس 14222 تا 17851.5</t>
  </si>
  <si>
    <t>زاگرس 89274 تا 18150.3</t>
  </si>
  <si>
    <t>بدهی بابت اعتبار 20 میلیونی به مهدی 16/6/1399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</si>
</sst>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I69" zoomScaleNormal="100" workbookViewId="0">
      <selection activeCell="Q89" sqref="Q89"/>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26">
      <c r="B81" s="94"/>
      <c r="E81" s="94"/>
      <c r="F81" s="94"/>
      <c r="O81" s="97" t="s">
        <v>5627</v>
      </c>
      <c r="P81" s="18">
        <v>3000000</v>
      </c>
      <c r="Q81" s="97">
        <v>3</v>
      </c>
      <c r="R81" s="97"/>
    </row>
    <row r="82" spans="2:26">
      <c r="E82" s="94"/>
      <c r="F82" s="94"/>
      <c r="O82" s="97" t="s">
        <v>5646</v>
      </c>
      <c r="P82" s="18">
        <v>300000</v>
      </c>
      <c r="Q82" s="97">
        <v>8</v>
      </c>
      <c r="R82" s="97"/>
    </row>
    <row r="83" spans="2:26">
      <c r="E83" s="94"/>
      <c r="F83" s="94"/>
      <c r="O83" s="97" t="s">
        <v>5671</v>
      </c>
      <c r="P83" s="18">
        <v>-3500000</v>
      </c>
      <c r="Q83" s="97">
        <v>6</v>
      </c>
      <c r="R83" s="97"/>
    </row>
    <row r="84" spans="2:26">
      <c r="E84" s="94"/>
      <c r="F84" s="94"/>
      <c r="O84" s="97" t="s">
        <v>5680</v>
      </c>
      <c r="P84" s="18">
        <v>-70000</v>
      </c>
      <c r="Q84" s="97">
        <v>1</v>
      </c>
      <c r="R84" s="97"/>
    </row>
    <row r="85" spans="2:26">
      <c r="E85" s="94"/>
      <c r="F85" s="94"/>
      <c r="M85" t="s">
        <v>25</v>
      </c>
      <c r="O85" s="97" t="s">
        <v>5685</v>
      </c>
      <c r="P85" s="18">
        <v>70085</v>
      </c>
      <c r="Q85" s="97">
        <v>7</v>
      </c>
      <c r="R85" s="97" t="s">
        <v>5686</v>
      </c>
    </row>
    <row r="86" spans="2:26">
      <c r="E86" s="94"/>
      <c r="F86" s="94"/>
      <c r="O86" s="97" t="s">
        <v>5705</v>
      </c>
      <c r="P86" s="18">
        <v>-1000000</v>
      </c>
      <c r="Q86" s="97">
        <v>31</v>
      </c>
      <c r="R86" s="97"/>
    </row>
    <row r="87" spans="2:26">
      <c r="O87" s="97" t="s">
        <v>5750</v>
      </c>
      <c r="P87" s="18">
        <v>6000000</v>
      </c>
      <c r="Q87" s="97">
        <v>1</v>
      </c>
      <c r="R87" s="97"/>
      <c r="S87" t="s">
        <v>25</v>
      </c>
    </row>
    <row r="88" spans="2:26">
      <c r="O88" s="97" t="s">
        <v>5752</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4931</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5683</v>
      </c>
    </row>
    <row r="144" spans="4:5">
      <c r="D144" s="18">
        <v>-550000</v>
      </c>
      <c r="E144" s="247" t="s">
        <v>5682</v>
      </c>
    </row>
    <row r="145" spans="4:9">
      <c r="D145" s="18">
        <v>-25000</v>
      </c>
      <c r="E145" s="247" t="s">
        <v>5704</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K13" zoomScale="85" zoomScaleNormal="85" workbookViewId="0">
      <selection activeCell="O45" activeCellId="2" sqref="O24 O29 O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S103</f>
        <v>694</v>
      </c>
      <c r="T20" s="166" t="s">
        <v>4285</v>
      </c>
      <c r="U20" s="166">
        <v>192.1</v>
      </c>
      <c r="V20" s="166">
        <f t="shared" ref="V20:V51" si="6">U20*(1+$R$99+$Q$15*S20/36500)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4875881916.8579445</v>
      </c>
      <c r="M21" s="166" t="s">
        <v>4277</v>
      </c>
      <c r="N21" s="111">
        <f>O21*P21</f>
        <v>614790100</v>
      </c>
      <c r="O21" s="97">
        <v>355370</v>
      </c>
      <c r="P21" s="183">
        <f>P49</f>
        <v>1730</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5709</v>
      </c>
      <c r="N22" s="111">
        <f>O22*P22</f>
        <v>0</v>
      </c>
      <c r="O22" s="97">
        <v>0</v>
      </c>
      <c r="P22" s="183">
        <f>P48</f>
        <v>4000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1768737600</v>
      </c>
      <c r="O23" s="97">
        <v>122829</v>
      </c>
      <c r="P23" s="183">
        <f>P46</f>
        <v>14400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5063821326.8579445</v>
      </c>
      <c r="G24" s="93">
        <f t="shared" si="0"/>
        <v>-4783514981.4760056</v>
      </c>
      <c r="H24" s="11"/>
      <c r="I24" s="94"/>
      <c r="J24" s="94"/>
      <c r="K24" s="210"/>
      <c r="L24" s="115"/>
      <c r="M24" s="210" t="s">
        <v>4359</v>
      </c>
      <c r="N24" s="111">
        <f>O24*P24</f>
        <v>753449500</v>
      </c>
      <c r="O24" s="97">
        <v>54205</v>
      </c>
      <c r="P24" s="183">
        <f>P45</f>
        <v>13900</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55612800</v>
      </c>
      <c r="O27" s="67">
        <v>3862</v>
      </c>
      <c r="P27" s="97">
        <f>P46</f>
        <v>14400</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5709</v>
      </c>
      <c r="N28" s="111">
        <f>O28*P28</f>
        <v>1272000</v>
      </c>
      <c r="O28" s="67">
        <v>318</v>
      </c>
      <c r="P28" s="97">
        <f>P48</f>
        <v>4000</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9035000</v>
      </c>
      <c r="O29" s="67">
        <v>650</v>
      </c>
      <c r="P29" s="97">
        <f>P45</f>
        <v>13900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278125180</v>
      </c>
      <c r="O30" s="67">
        <v>160766</v>
      </c>
      <c r="P30" s="97">
        <f>P49</f>
        <v>1730</v>
      </c>
      <c r="Q30" s="167">
        <v>7046042.5001907032</v>
      </c>
      <c r="R30" s="210" t="s">
        <v>4892</v>
      </c>
      <c r="S30" s="195">
        <f>S29-5</f>
        <v>462</v>
      </c>
      <c r="T30" s="210" t="s">
        <v>5713</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-W155</f>
        <v>-4875881916.8579445</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4943</v>
      </c>
      <c r="L36" s="115">
        <v>-47500000</v>
      </c>
      <c r="M36" s="71"/>
      <c r="N36" s="111"/>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5393</v>
      </c>
      <c r="N38" s="111">
        <v>-14000000</v>
      </c>
      <c r="O38" t="s">
        <v>25</v>
      </c>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4942</v>
      </c>
      <c r="N39" s="111">
        <v>-47000000</v>
      </c>
      <c r="O39" s="293"/>
      <c r="P39" s="94"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284</v>
      </c>
      <c r="O41" s="112"/>
      <c r="P41" t="s">
        <v>25</v>
      </c>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5756</v>
      </c>
      <c r="L42" s="115">
        <v>-32000000</v>
      </c>
      <c r="M42" s="166"/>
      <c r="N42" s="111"/>
      <c r="O42" s="97"/>
      <c r="P42" s="97"/>
      <c r="Q42" s="167">
        <v>86262245.771123007</v>
      </c>
      <c r="R42" s="210" t="s">
        <v>5345</v>
      </c>
      <c r="S42" s="195">
        <f>S41-6</f>
        <v>104</v>
      </c>
      <c r="T42" s="210" t="s">
        <v>5625</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t="s">
        <v>5509</v>
      </c>
      <c r="L43" s="115">
        <v>-35425716</v>
      </c>
      <c r="M43" s="21" t="s">
        <v>5567</v>
      </c>
      <c r="N43" s="115">
        <f>O43*P43</f>
        <v>40766400</v>
      </c>
      <c r="O43" s="67">
        <v>2831</v>
      </c>
      <c r="P43" s="67">
        <f>P46</f>
        <v>14400</v>
      </c>
      <c r="Q43" s="167">
        <v>6660442</v>
      </c>
      <c r="R43" s="210" t="s">
        <v>5607</v>
      </c>
      <c r="S43" s="195">
        <f>S42-56</f>
        <v>48</v>
      </c>
      <c r="T43" s="210" t="s">
        <v>5612</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L43/6850000</f>
        <v>-5.171637372262774</v>
      </c>
      <c r="K44" s="97" t="s">
        <v>5693</v>
      </c>
      <c r="L44" s="115">
        <f>N43</f>
        <v>40766400</v>
      </c>
      <c r="M44" s="21" t="s">
        <v>5276</v>
      </c>
      <c r="N44" s="115">
        <f t="shared" ref="N44:N52" si="18">O44*P44</f>
        <v>0</v>
      </c>
      <c r="O44" s="67">
        <v>0</v>
      </c>
      <c r="P44" s="67">
        <v>85200</v>
      </c>
      <c r="Q44" s="167">
        <v>5258398</v>
      </c>
      <c r="R44" s="210" t="s">
        <v>5646</v>
      </c>
      <c r="S44" s="195">
        <f>S43-15</f>
        <v>33</v>
      </c>
      <c r="T44" s="210" t="s">
        <v>5649</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5561</v>
      </c>
      <c r="L45" s="115">
        <f>J150</f>
        <v>294476940</v>
      </c>
      <c r="M45" s="19" t="s">
        <v>4359</v>
      </c>
      <c r="N45" s="115">
        <f t="shared" si="18"/>
        <v>495882500</v>
      </c>
      <c r="O45" s="67">
        <v>35675</v>
      </c>
      <c r="P45" s="67">
        <v>13900</v>
      </c>
      <c r="Q45" s="167">
        <v>5334013</v>
      </c>
      <c r="R45" s="210" t="s">
        <v>5650</v>
      </c>
      <c r="S45" s="195">
        <f>S44-1</f>
        <v>32</v>
      </c>
      <c r="T45" s="210" t="s">
        <v>5651</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5175</v>
      </c>
      <c r="L46" s="115">
        <f>-1200*P52</f>
        <v>-30000000</v>
      </c>
      <c r="M46" s="19" t="s">
        <v>4363</v>
      </c>
      <c r="N46" s="115">
        <f t="shared" si="18"/>
        <v>3013689600</v>
      </c>
      <c r="O46" s="67">
        <v>209284</v>
      </c>
      <c r="P46" s="67">
        <v>14400</v>
      </c>
      <c r="Q46" s="167">
        <v>1279078</v>
      </c>
      <c r="R46" s="210" t="s">
        <v>5677</v>
      </c>
      <c r="S46" s="195">
        <f>S45-12</f>
        <v>20</v>
      </c>
      <c r="T46" s="210" t="s">
        <v>5678</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5681</v>
      </c>
      <c r="L47" s="115">
        <v>200000</v>
      </c>
      <c r="M47" s="19" t="s">
        <v>5338</v>
      </c>
      <c r="N47" s="115">
        <f t="shared" si="18"/>
        <v>0</v>
      </c>
      <c r="O47" s="67">
        <v>0</v>
      </c>
      <c r="P47" s="67">
        <v>1300</v>
      </c>
      <c r="Q47" s="167">
        <v>149218251</v>
      </c>
      <c r="R47" s="210" t="s">
        <v>5677</v>
      </c>
      <c r="S47" s="195">
        <f>S46</f>
        <v>20</v>
      </c>
      <c r="T47" s="210" t="s">
        <v>5679</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5623</v>
      </c>
      <c r="L48" s="115"/>
      <c r="M48" s="19" t="s">
        <v>5709</v>
      </c>
      <c r="N48" s="115">
        <f t="shared" si="18"/>
        <v>0</v>
      </c>
      <c r="O48" s="67">
        <v>0</v>
      </c>
      <c r="P48" s="67">
        <v>4000</v>
      </c>
      <c r="Q48" s="167"/>
      <c r="R48" s="210" t="s">
        <v>5680</v>
      </c>
      <c r="S48" s="195">
        <f>S47-1</f>
        <v>19</v>
      </c>
      <c r="T48" s="210" t="s">
        <v>5689</v>
      </c>
      <c r="U48" s="210">
        <v>17700.2</v>
      </c>
      <c r="V48" s="210">
        <f t="shared" si="6"/>
        <v>18227.22951671233</v>
      </c>
      <c r="W48" s="32">
        <f t="shared" ref="W48:W60" si="19">V48*(1+$W$19/100)</f>
        <v>18591.774107046578</v>
      </c>
      <c r="X48" s="32">
        <f t="shared" ref="X48:X60"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1811813430</v>
      </c>
      <c r="O49" s="97">
        <v>1047291</v>
      </c>
      <c r="P49" s="97">
        <v>1730</v>
      </c>
      <c r="Q49" s="167">
        <v>107014127</v>
      </c>
      <c r="R49" s="210" t="s">
        <v>5680</v>
      </c>
      <c r="S49" s="195">
        <f>S48</f>
        <v>19</v>
      </c>
      <c r="T49" s="210" t="s">
        <v>5688</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5652</v>
      </c>
      <c r="L50" s="115">
        <v>-1605910</v>
      </c>
      <c r="M50" s="19" t="s">
        <v>5090</v>
      </c>
      <c r="N50" s="111">
        <f t="shared" si="18"/>
        <v>0</v>
      </c>
      <c r="O50" s="97">
        <v>0</v>
      </c>
      <c r="P50" s="97">
        <v>9700</v>
      </c>
      <c r="Q50" s="167">
        <v>292985709</v>
      </c>
      <c r="R50" s="210" t="s">
        <v>5665</v>
      </c>
      <c r="S50" s="195">
        <f>S49-1</f>
        <v>18</v>
      </c>
      <c r="T50" s="210" t="s">
        <v>5690</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t="s">
        <v>5748</v>
      </c>
      <c r="L51" s="115">
        <v>-4000000</v>
      </c>
      <c r="M51" s="21" t="s">
        <v>1070</v>
      </c>
      <c r="N51" s="115">
        <f t="shared" si="18"/>
        <v>0</v>
      </c>
      <c r="O51" s="67">
        <v>0</v>
      </c>
      <c r="P51" s="67">
        <v>1120000</v>
      </c>
      <c r="Q51" s="167">
        <v>34658814</v>
      </c>
      <c r="R51" s="210" t="s">
        <v>5665</v>
      </c>
      <c r="S51" s="195">
        <f>S50</f>
        <v>18</v>
      </c>
      <c r="T51" s="210" t="s">
        <v>5691</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5749</v>
      </c>
      <c r="L52" s="115">
        <v>3000000</v>
      </c>
      <c r="M52" s="71" t="s">
        <v>5089</v>
      </c>
      <c r="N52" s="115">
        <f t="shared" si="18"/>
        <v>0</v>
      </c>
      <c r="O52" s="67">
        <v>0</v>
      </c>
      <c r="P52" s="67">
        <v>25000</v>
      </c>
      <c r="Q52" s="167">
        <v>197784616</v>
      </c>
      <c r="R52" s="210" t="s">
        <v>5663</v>
      </c>
      <c r="S52" s="195">
        <f>S51-3</f>
        <v>15</v>
      </c>
      <c r="T52" s="210" t="s">
        <v>5692</v>
      </c>
      <c r="U52" s="210">
        <v>17852.099999999999</v>
      </c>
      <c r="V52" s="210">
        <f t="shared" ref="V52:V70" si="21">U52*(1+$R$99+$Q$15*S52/36500)</f>
        <v>18328.873344657535</v>
      </c>
      <c r="W52" s="32">
        <f t="shared" si="19"/>
        <v>18695.450811550687</v>
      </c>
      <c r="X52" s="32">
        <f t="shared" si="20"/>
        <v>19062.028278443839</v>
      </c>
      <c r="Y52" t="s">
        <v>25</v>
      </c>
      <c r="Z52" t="s">
        <v>25</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5694</v>
      </c>
      <c r="S53" s="195">
        <f>S52-1</f>
        <v>14</v>
      </c>
      <c r="T53" s="210" t="s">
        <v>5695</v>
      </c>
      <c r="U53" s="210">
        <v>18283</v>
      </c>
      <c r="V53" s="210">
        <f t="shared" si="21"/>
        <v>18757.256010958907</v>
      </c>
      <c r="W53" s="32">
        <f t="shared" si="19"/>
        <v>19132.401131178085</v>
      </c>
      <c r="X53" s="32">
        <f t="shared" si="20"/>
        <v>19507.546251397263</v>
      </c>
      <c r="Y53" t="s">
        <v>25</v>
      </c>
      <c r="Z53" t="s">
        <v>25</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5696</v>
      </c>
      <c r="S54" s="195">
        <f>S53-1</f>
        <v>13</v>
      </c>
      <c r="T54" s="210" t="s">
        <v>5697</v>
      </c>
      <c r="U54" s="210">
        <v>18976.3</v>
      </c>
      <c r="V54" s="210">
        <f t="shared" si="21"/>
        <v>19453.982861369863</v>
      </c>
      <c r="W54" s="32">
        <f t="shared" si="19"/>
        <v>19843.06251859726</v>
      </c>
      <c r="X54" s="32">
        <f t="shared" si="20"/>
        <v>20232.142175824658</v>
      </c>
      <c r="Y54" t="s">
        <v>25</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5698</v>
      </c>
      <c r="S55" s="195">
        <f>S54-1</f>
        <v>12</v>
      </c>
      <c r="T55" s="210" t="s">
        <v>5702</v>
      </c>
      <c r="U55" s="210">
        <v>18850</v>
      </c>
      <c r="V55" s="210">
        <f t="shared" si="21"/>
        <v>19310.043287671237</v>
      </c>
      <c r="W55" s="32">
        <f t="shared" si="19"/>
        <v>19696.244153424661</v>
      </c>
      <c r="X55" s="32">
        <f t="shared" si="20"/>
        <v>20082.445019178085</v>
      </c>
      <c r="Y55" t="s">
        <v>25</v>
      </c>
      <c r="Z55" t="s">
        <v>25</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431068721</v>
      </c>
      <c r="R56" s="210" t="s">
        <v>5698</v>
      </c>
      <c r="S56" s="195">
        <f>S55</f>
        <v>12</v>
      </c>
      <c r="T56" s="210" t="s">
        <v>5703</v>
      </c>
      <c r="U56" s="210">
        <v>15615.5</v>
      </c>
      <c r="V56" s="210">
        <f t="shared" si="21"/>
        <v>15996.603764383564</v>
      </c>
      <c r="W56" s="32">
        <f t="shared" si="19"/>
        <v>16316.535839671236</v>
      </c>
      <c r="X56" s="32">
        <f t="shared" si="20"/>
        <v>16636.467914958906</v>
      </c>
      <c r="Y56" s="94" t="s">
        <v>25</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5705</v>
      </c>
      <c r="S57" s="195">
        <f>S56-1</f>
        <v>11</v>
      </c>
      <c r="T57" s="210" t="s">
        <v>5706</v>
      </c>
      <c r="U57" s="210">
        <v>18530.3</v>
      </c>
      <c r="V57" s="210">
        <f t="shared" si="21"/>
        <v>18968.325831232876</v>
      </c>
      <c r="W57" s="32">
        <f t="shared" si="19"/>
        <v>19347.692347857534</v>
      </c>
      <c r="X57" s="32">
        <f t="shared" si="20"/>
        <v>19727.058864482191</v>
      </c>
      <c r="Y57" t="s">
        <v>25</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O58">
        <f>O49+257489</f>
        <v>1304780</v>
      </c>
      <c r="Q58" s="167">
        <v>94357445</v>
      </c>
      <c r="R58" s="210" t="s">
        <v>5705</v>
      </c>
      <c r="S58" s="195">
        <f>S57</f>
        <v>11</v>
      </c>
      <c r="T58" s="210" t="s">
        <v>5707</v>
      </c>
      <c r="U58" s="210">
        <v>14993.3</v>
      </c>
      <c r="V58" s="210">
        <f t="shared" si="21"/>
        <v>15347.716965479452</v>
      </c>
      <c r="W58" s="32">
        <f t="shared" si="19"/>
        <v>15654.671304789043</v>
      </c>
      <c r="X58" s="32">
        <f t="shared" si="20"/>
        <v>15961.625644098631</v>
      </c>
      <c r="Y58" t="s">
        <v>25</v>
      </c>
      <c r="Z58" t="s">
        <v>25</v>
      </c>
      <c r="AA58" t="s">
        <v>25</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-W156</f>
        <v>-123376607.18833701</v>
      </c>
      <c r="P59" t="s">
        <v>25</v>
      </c>
      <c r="Q59" s="167">
        <v>217254004</v>
      </c>
      <c r="R59" s="210" t="s">
        <v>5708</v>
      </c>
      <c r="S59" s="195">
        <f>S58-4</f>
        <v>7</v>
      </c>
      <c r="T59" s="210" t="s">
        <v>5710</v>
      </c>
      <c r="U59" s="210">
        <v>18115.400000000001</v>
      </c>
      <c r="V59" s="210">
        <f t="shared" si="21"/>
        <v>18488.031296438359</v>
      </c>
      <c r="W59" s="32">
        <f t="shared" si="19"/>
        <v>18857.791922367127</v>
      </c>
      <c r="X59" s="32">
        <f t="shared" si="20"/>
        <v>19227.552548295895</v>
      </c>
      <c r="Y59" t="s">
        <v>25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269225263</v>
      </c>
      <c r="R60" s="210" t="s">
        <v>5711</v>
      </c>
      <c r="S60" s="195">
        <f>S59-1</f>
        <v>6</v>
      </c>
      <c r="T60" s="210" t="s">
        <v>5712</v>
      </c>
      <c r="U60" s="210">
        <v>17649.8</v>
      </c>
      <c r="V60" s="210">
        <f t="shared" si="21"/>
        <v>17999.314395616439</v>
      </c>
      <c r="W60" s="32">
        <f t="shared" si="19"/>
        <v>18359.300683528767</v>
      </c>
      <c r="X60" s="32">
        <f t="shared" si="20"/>
        <v>18719.286971441095</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519350</v>
      </c>
      <c r="R61" s="210" t="s">
        <v>5719</v>
      </c>
      <c r="S61" s="195">
        <f>S60-7</f>
        <v>-1</v>
      </c>
      <c r="T61" s="210" t="s">
        <v>5720</v>
      </c>
      <c r="U61" s="210">
        <v>15220</v>
      </c>
      <c r="V61" s="210">
        <f t="shared" si="21"/>
        <v>15439.668383561646</v>
      </c>
      <c r="W61" s="32">
        <f t="shared" ref="W61:W65" si="22">V61*(1+$W$19/100)</f>
        <v>15748.461751232879</v>
      </c>
      <c r="X61" s="32">
        <f t="shared" ref="X61:X65" si="23">V61*(1+$X$19/100)</f>
        <v>16057.255118904111</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3787838765.9537187</v>
      </c>
      <c r="P62" t="s">
        <v>25</v>
      </c>
      <c r="Q62" s="167">
        <v>5368238</v>
      </c>
      <c r="R62" s="210" t="s">
        <v>5722</v>
      </c>
      <c r="S62" s="195">
        <f>S61-2</f>
        <v>-3</v>
      </c>
      <c r="T62" s="210" t="s">
        <v>5723</v>
      </c>
      <c r="U62" s="210">
        <v>1843</v>
      </c>
      <c r="V62" s="210">
        <f t="shared" si="21"/>
        <v>1866.772175342466</v>
      </c>
      <c r="W62" s="32">
        <f t="shared" si="22"/>
        <v>1904.1076188493153</v>
      </c>
      <c r="X62" s="32">
        <f t="shared" si="23"/>
        <v>1941.4430623561648</v>
      </c>
      <c r="AA62" s="94"/>
      <c r="AB62" s="94"/>
      <c r="AC62" s="94"/>
      <c r="AH62" s="20">
        <v>43</v>
      </c>
      <c r="AI62" s="115" t="s">
        <v>4072</v>
      </c>
      <c r="AJ62" s="115">
        <v>200000</v>
      </c>
      <c r="AK62" s="20">
        <v>3</v>
      </c>
      <c r="AL62" s="97">
        <f>AL63+AK62</f>
        <v>720</v>
      </c>
      <c r="AM62" s="111">
        <f t="shared" si="10"/>
        <v>144000000</v>
      </c>
      <c r="AN62" s="20"/>
    </row>
    <row r="63" spans="1:45">
      <c r="E63" s="26"/>
      <c r="K63" s="166" t="s">
        <v>593</v>
      </c>
      <c r="L63" s="111">
        <f>SUM(L16:L46)</f>
        <v>5063821326.8579445</v>
      </c>
      <c r="M63" s="166"/>
      <c r="N63" s="111">
        <f>N16+N17+N34</f>
        <v>641053</v>
      </c>
      <c r="Q63" s="167">
        <v>40195775</v>
      </c>
      <c r="R63" s="210" t="s">
        <v>5724</v>
      </c>
      <c r="S63" s="195">
        <f>S62-3</f>
        <v>-6</v>
      </c>
      <c r="T63" s="210" t="s">
        <v>5725</v>
      </c>
      <c r="U63" s="210">
        <v>1751</v>
      </c>
      <c r="V63" s="210">
        <f t="shared" si="21"/>
        <v>1769.5558027397265</v>
      </c>
      <c r="W63" s="32">
        <f t="shared" si="22"/>
        <v>1804.946918794521</v>
      </c>
      <c r="X63" s="32">
        <f t="shared" si="23"/>
        <v>1840.3380348493156</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16176504</v>
      </c>
      <c r="R64" s="210" t="s">
        <v>5726</v>
      </c>
      <c r="S64" s="195">
        <f>S63-1</f>
        <v>-7</v>
      </c>
      <c r="T64" s="210" t="s">
        <v>5727</v>
      </c>
      <c r="U64" s="210">
        <v>1730</v>
      </c>
      <c r="V64" s="210">
        <f t="shared" si="21"/>
        <v>1747.0061369863015</v>
      </c>
      <c r="W64" s="32">
        <f t="shared" si="22"/>
        <v>1781.9462597260276</v>
      </c>
      <c r="X64" s="32">
        <f t="shared" si="23"/>
        <v>1816.8863824657535</v>
      </c>
      <c r="AA64" s="94" t="s">
        <v>25</v>
      </c>
      <c r="AB64" s="94"/>
      <c r="AC64" s="94"/>
      <c r="AH64" s="20">
        <v>45</v>
      </c>
      <c r="AI64" s="115" t="s">
        <v>4091</v>
      </c>
      <c r="AJ64" s="115">
        <v>1300000</v>
      </c>
      <c r="AK64" s="20">
        <v>0</v>
      </c>
      <c r="AL64" s="97">
        <f>AL65+AK64</f>
        <v>714</v>
      </c>
      <c r="AM64" s="111">
        <f t="shared" si="10"/>
        <v>928200000</v>
      </c>
      <c r="AN64" s="20"/>
    </row>
    <row r="65" spans="1:40">
      <c r="K65" s="54" t="s">
        <v>709</v>
      </c>
      <c r="L65" s="1">
        <f>L63+N7</f>
        <v>5163821326.8579445</v>
      </c>
      <c r="O65" s="94"/>
      <c r="P65" s="94"/>
      <c r="Q65" s="167">
        <v>47880291</v>
      </c>
      <c r="R65" s="210" t="s">
        <v>5737</v>
      </c>
      <c r="S65" s="195">
        <f>S64-8</f>
        <v>-15</v>
      </c>
      <c r="T65" s="210" t="s">
        <v>5743</v>
      </c>
      <c r="U65" s="210">
        <v>1737.1</v>
      </c>
      <c r="V65" s="210">
        <f t="shared" si="21"/>
        <v>1743.5153720547946</v>
      </c>
      <c r="W65" s="32">
        <f t="shared" si="22"/>
        <v>1778.3856794958906</v>
      </c>
      <c r="X65" s="32">
        <f t="shared" si="23"/>
        <v>1813.2559869369866</v>
      </c>
      <c r="Y65" t="s">
        <v>25</v>
      </c>
      <c r="AA65" s="94"/>
      <c r="AB65" s="94"/>
      <c r="AC65" s="94"/>
      <c r="AH65" s="20">
        <v>45</v>
      </c>
      <c r="AI65" s="115" t="s">
        <v>4091</v>
      </c>
      <c r="AJ65" s="115">
        <v>995000</v>
      </c>
      <c r="AK65" s="20">
        <v>2</v>
      </c>
      <c r="AL65" s="97">
        <f t="shared" ref="AL65:AL92" si="24">AL66+AK65</f>
        <v>714</v>
      </c>
      <c r="AM65" s="111">
        <f t="shared" si="10"/>
        <v>710430000</v>
      </c>
      <c r="AN65" s="20"/>
    </row>
    <row r="66" spans="1:40">
      <c r="M66" s="25"/>
      <c r="O66" t="s">
        <v>25</v>
      </c>
      <c r="Q66" s="167">
        <v>48859908</v>
      </c>
      <c r="R66" s="210" t="s">
        <v>5740</v>
      </c>
      <c r="S66" s="195">
        <f>S65-1</f>
        <v>-16</v>
      </c>
      <c r="T66" s="210" t="s">
        <v>5746</v>
      </c>
      <c r="U66" s="210">
        <v>1730.1</v>
      </c>
      <c r="V66" s="210">
        <f t="shared" si="21"/>
        <v>1735.1623200000001</v>
      </c>
      <c r="W66" s="32">
        <f t="shared" ref="W66:W70" si="25">V66*(1+$W$19/100)</f>
        <v>1769.8655664000003</v>
      </c>
      <c r="X66" s="32">
        <f t="shared" ref="X66:X70" si="26">V66*(1+$X$19/100)</f>
        <v>1804.5688128000002</v>
      </c>
      <c r="Z66" t="s">
        <v>25</v>
      </c>
      <c r="AA66" s="94"/>
      <c r="AB66" s="94"/>
      <c r="AC66" s="94"/>
      <c r="AH66" s="20">
        <v>46</v>
      </c>
      <c r="AI66" s="115" t="s">
        <v>4101</v>
      </c>
      <c r="AJ66" s="115">
        <v>13000000</v>
      </c>
      <c r="AK66" s="20">
        <v>2</v>
      </c>
      <c r="AL66" s="97">
        <f t="shared" si="24"/>
        <v>712</v>
      </c>
      <c r="AM66" s="111">
        <f t="shared" si="10"/>
        <v>9256000000</v>
      </c>
      <c r="AN66" s="20"/>
    </row>
    <row r="67" spans="1:40">
      <c r="A67" t="s">
        <v>25</v>
      </c>
      <c r="F67" t="s">
        <v>310</v>
      </c>
      <c r="G67" t="s">
        <v>4083</v>
      </c>
      <c r="M67" s="25" t="s">
        <v>4064</v>
      </c>
      <c r="N67" s="273" t="s">
        <v>5239</v>
      </c>
      <c r="O67" s="94" t="s">
        <v>25</v>
      </c>
      <c r="P67" s="113"/>
      <c r="Q67" s="167">
        <v>38191823</v>
      </c>
      <c r="R67" s="210" t="s">
        <v>5744</v>
      </c>
      <c r="S67" s="195">
        <f>S66-1</f>
        <v>-17</v>
      </c>
      <c r="T67" s="210" t="s">
        <v>5745</v>
      </c>
      <c r="U67" s="210">
        <v>1646</v>
      </c>
      <c r="V67" s="210">
        <f t="shared" si="21"/>
        <v>1649.5535561643835</v>
      </c>
      <c r="W67" s="32">
        <f t="shared" si="25"/>
        <v>1682.5446272876711</v>
      </c>
      <c r="X67" s="32">
        <f t="shared" si="26"/>
        <v>1715.535698410959</v>
      </c>
      <c r="AA67" s="94"/>
      <c r="AB67" s="94"/>
      <c r="AC67" s="94"/>
      <c r="AH67" s="20">
        <v>47</v>
      </c>
      <c r="AI67" s="115" t="s">
        <v>4114</v>
      </c>
      <c r="AJ67" s="115">
        <v>-3100000</v>
      </c>
      <c r="AK67" s="20">
        <v>3</v>
      </c>
      <c r="AL67" s="97">
        <f t="shared" si="24"/>
        <v>710</v>
      </c>
      <c r="AM67" s="111">
        <f t="shared" si="10"/>
        <v>-2201000000</v>
      </c>
      <c r="AN67" s="20"/>
    </row>
    <row r="68" spans="1:40">
      <c r="F68" t="s">
        <v>4087</v>
      </c>
      <c r="G68" t="s">
        <v>4082</v>
      </c>
      <c r="M68" s="175"/>
      <c r="N68" s="94"/>
      <c r="O68" s="94"/>
      <c r="P68" s="113"/>
      <c r="Q68" s="167"/>
      <c r="R68" s="210" t="s">
        <v>5750</v>
      </c>
      <c r="S68" s="195">
        <f>S67-3</f>
        <v>-20</v>
      </c>
      <c r="T68" s="210" t="s">
        <v>5751</v>
      </c>
      <c r="U68" s="210"/>
      <c r="V68" s="210">
        <f t="shared" si="21"/>
        <v>0</v>
      </c>
      <c r="W68" s="32">
        <f t="shared" si="25"/>
        <v>0</v>
      </c>
      <c r="X68" s="32">
        <f t="shared" si="26"/>
        <v>0</v>
      </c>
      <c r="Z68" t="s">
        <v>25</v>
      </c>
      <c r="AA68" s="94" t="s">
        <v>25</v>
      </c>
      <c r="AB68" s="94"/>
      <c r="AC68" s="94"/>
      <c r="AH68" s="20">
        <v>48</v>
      </c>
      <c r="AI68" s="115" t="s">
        <v>4129</v>
      </c>
      <c r="AJ68" s="115">
        <v>45640000</v>
      </c>
      <c r="AK68" s="20">
        <v>1</v>
      </c>
      <c r="AL68" s="97">
        <f t="shared" si="24"/>
        <v>707</v>
      </c>
      <c r="AM68" s="111">
        <f t="shared" si="10"/>
        <v>32267480000</v>
      </c>
      <c r="AN68" s="20"/>
    </row>
    <row r="69" spans="1:40">
      <c r="F69" t="s">
        <v>4088</v>
      </c>
      <c r="G69" t="s">
        <v>4084</v>
      </c>
      <c r="M69" s="94" t="s">
        <v>4733</v>
      </c>
      <c r="N69" s="94"/>
      <c r="O69" s="94"/>
      <c r="Q69" s="167"/>
      <c r="R69" s="210" t="s">
        <v>25</v>
      </c>
      <c r="S69" s="195"/>
      <c r="T69" s="210" t="s">
        <v>25</v>
      </c>
      <c r="U69" s="210"/>
      <c r="V69" s="210">
        <f t="shared" si="21"/>
        <v>0</v>
      </c>
      <c r="W69" s="32">
        <f t="shared" si="25"/>
        <v>0</v>
      </c>
      <c r="X69" s="32">
        <f t="shared" si="26"/>
        <v>0</v>
      </c>
      <c r="AA69" s="94"/>
      <c r="AB69" s="94"/>
      <c r="AC69" s="94"/>
      <c r="AH69" s="20">
        <v>49</v>
      </c>
      <c r="AI69" s="115" t="s">
        <v>4134</v>
      </c>
      <c r="AJ69" s="115">
        <v>33500000</v>
      </c>
      <c r="AK69" s="20">
        <v>1</v>
      </c>
      <c r="AL69" s="97">
        <f t="shared" si="24"/>
        <v>706</v>
      </c>
      <c r="AM69" s="111">
        <f t="shared" si="10"/>
        <v>23651000000</v>
      </c>
      <c r="AN69" s="20"/>
    </row>
    <row r="70" spans="1:40">
      <c r="G70" t="s">
        <v>4085</v>
      </c>
      <c r="M70" s="120" t="s">
        <v>4377</v>
      </c>
      <c r="O70" s="112"/>
      <c r="Q70" s="167" t="s">
        <v>25</v>
      </c>
      <c r="R70" s="166" t="s">
        <v>25</v>
      </c>
      <c r="S70" s="166"/>
      <c r="T70" s="166" t="s">
        <v>25</v>
      </c>
      <c r="U70" s="166"/>
      <c r="V70" s="210">
        <f t="shared" si="21"/>
        <v>0</v>
      </c>
      <c r="W70" s="32">
        <f t="shared" si="25"/>
        <v>0</v>
      </c>
      <c r="X70" s="32">
        <f t="shared" si="26"/>
        <v>0</v>
      </c>
      <c r="Z70" t="s">
        <v>25</v>
      </c>
      <c r="AH70" s="20">
        <v>50</v>
      </c>
      <c r="AI70" s="115" t="s">
        <v>4139</v>
      </c>
      <c r="AJ70" s="115">
        <v>12000000</v>
      </c>
      <c r="AK70" s="20">
        <v>1</v>
      </c>
      <c r="AL70" s="97">
        <f t="shared" si="24"/>
        <v>705</v>
      </c>
      <c r="AM70" s="115">
        <f t="shared" si="10"/>
        <v>8460000000</v>
      </c>
      <c r="AN70" s="20"/>
    </row>
    <row r="71" spans="1:40">
      <c r="G71" t="s">
        <v>4086</v>
      </c>
      <c r="M71" s="120" t="s">
        <v>4460</v>
      </c>
      <c r="N71" s="94"/>
      <c r="Q71" s="167">
        <f>SUM(N21:N24)-SUM(Q20:Q70)</f>
        <v>260521087.72868633</v>
      </c>
      <c r="R71" s="166" t="s">
        <v>25</v>
      </c>
      <c r="S71" s="166" t="s">
        <v>25</v>
      </c>
      <c r="T71" s="166" t="s">
        <v>25</v>
      </c>
      <c r="U71" s="166"/>
      <c r="V71" s="166"/>
      <c r="W71" s="32"/>
      <c r="X71" s="32"/>
      <c r="Y71" t="s">
        <v>25</v>
      </c>
      <c r="AH71" s="20">
        <v>51</v>
      </c>
      <c r="AI71" s="115" t="s">
        <v>4144</v>
      </c>
      <c r="AJ71" s="115">
        <v>15500000</v>
      </c>
      <c r="AK71" s="20">
        <v>4</v>
      </c>
      <c r="AL71" s="97">
        <f t="shared" si="24"/>
        <v>704</v>
      </c>
      <c r="AM71" s="115">
        <f t="shared" si="10"/>
        <v>10912000000</v>
      </c>
      <c r="AN71" s="20"/>
    </row>
    <row r="72" spans="1:40">
      <c r="G72" t="s">
        <v>4090</v>
      </c>
      <c r="M72" s="120" t="s">
        <v>4527</v>
      </c>
      <c r="N72" s="94"/>
      <c r="O72" s="274"/>
      <c r="P72" t="s">
        <v>25</v>
      </c>
      <c r="R72" s="113" t="s">
        <v>25</v>
      </c>
      <c r="S72" s="113" t="s">
        <v>25</v>
      </c>
      <c r="T72" s="120" t="s">
        <v>25</v>
      </c>
      <c r="U72" s="113" t="s">
        <v>25</v>
      </c>
      <c r="V72" s="113" t="s">
        <v>25</v>
      </c>
      <c r="W72" s="192" t="s">
        <v>25</v>
      </c>
      <c r="X72" s="192"/>
      <c r="AH72" s="20">
        <v>52</v>
      </c>
      <c r="AI72" s="115" t="s">
        <v>4148</v>
      </c>
      <c r="AJ72" s="115">
        <v>150000</v>
      </c>
      <c r="AK72" s="20">
        <v>1</v>
      </c>
      <c r="AL72" s="97">
        <f t="shared" si="24"/>
        <v>700</v>
      </c>
      <c r="AM72" s="115">
        <f t="shared" si="10"/>
        <v>105000000</v>
      </c>
      <c r="AN72" s="20"/>
    </row>
    <row r="73" spans="1:40" ht="30">
      <c r="G73" t="s">
        <v>4089</v>
      </c>
      <c r="M73" s="203" t="s">
        <v>4630</v>
      </c>
      <c r="N73" s="94"/>
      <c r="P73" s="113"/>
      <c r="Q73" s="94" t="s">
        <v>25</v>
      </c>
      <c r="R73" s="113" t="s">
        <v>25</v>
      </c>
      <c r="S73" s="113"/>
      <c r="T73" s="113" t="s">
        <v>25</v>
      </c>
      <c r="U73" s="113" t="s">
        <v>25</v>
      </c>
      <c r="V73" s="120" t="s">
        <v>25</v>
      </c>
      <c r="W73" s="192"/>
      <c r="X73" s="192" t="s">
        <v>25</v>
      </c>
      <c r="Z73" s="113"/>
      <c r="AH73" s="177">
        <v>53</v>
      </c>
      <c r="AI73" s="178" t="s">
        <v>4154</v>
      </c>
      <c r="AJ73" s="178">
        <v>29000000</v>
      </c>
      <c r="AK73" s="177">
        <v>15</v>
      </c>
      <c r="AL73" s="177">
        <f t="shared" si="24"/>
        <v>699</v>
      </c>
      <c r="AM73" s="178">
        <f t="shared" si="10"/>
        <v>20271000000</v>
      </c>
      <c r="AN73" s="177" t="s">
        <v>4164</v>
      </c>
    </row>
    <row r="74" spans="1:40" ht="31.5">
      <c r="K74" s="209" t="s">
        <v>4673</v>
      </c>
      <c r="L74" s="22" t="s">
        <v>4651</v>
      </c>
      <c r="M74" s="251" t="s">
        <v>4954</v>
      </c>
      <c r="N74" s="94"/>
      <c r="P74" s="113" t="s">
        <v>25</v>
      </c>
      <c r="Q74" s="166" t="s">
        <v>650</v>
      </c>
      <c r="R74" s="166"/>
      <c r="S74" s="166"/>
      <c r="T74" s="166"/>
      <c r="U74" s="166"/>
      <c r="V74" s="166"/>
      <c r="W74" s="32"/>
      <c r="X74" s="32"/>
      <c r="Z74" s="120"/>
      <c r="AH74" s="20">
        <v>54</v>
      </c>
      <c r="AI74" s="115" t="s">
        <v>4188</v>
      </c>
      <c r="AJ74" s="115">
        <v>-130000</v>
      </c>
      <c r="AK74" s="20">
        <v>7</v>
      </c>
      <c r="AL74" s="97">
        <f t="shared" si="24"/>
        <v>684</v>
      </c>
      <c r="AM74" s="115">
        <f t="shared" si="10"/>
        <v>-88920000</v>
      </c>
      <c r="AN74" s="20" t="s">
        <v>4190</v>
      </c>
    </row>
    <row r="75" spans="1:40" ht="30">
      <c r="G75" s="94"/>
      <c r="H75" s="94"/>
      <c r="K75" t="s">
        <v>4674</v>
      </c>
      <c r="M75" s="120"/>
      <c r="O75" t="s">
        <v>25</v>
      </c>
      <c r="P75" s="113"/>
      <c r="Q75" s="166" t="s">
        <v>267</v>
      </c>
      <c r="R75" s="166" t="s">
        <v>180</v>
      </c>
      <c r="S75" s="166" t="s">
        <v>183</v>
      </c>
      <c r="T75" s="166" t="s">
        <v>8</v>
      </c>
      <c r="U75" s="166" t="s">
        <v>4334</v>
      </c>
      <c r="V75" s="71" t="s">
        <v>4336</v>
      </c>
      <c r="W75" s="32">
        <v>2</v>
      </c>
      <c r="X75" s="32">
        <v>4</v>
      </c>
      <c r="Y75" s="94">
        <v>4661</v>
      </c>
      <c r="Z75" s="113"/>
      <c r="AH75" s="20">
        <v>55</v>
      </c>
      <c r="AI75" s="115" t="s">
        <v>4236</v>
      </c>
      <c r="AJ75" s="115">
        <v>232000</v>
      </c>
      <c r="AK75" s="20">
        <v>2</v>
      </c>
      <c r="AL75" s="97">
        <f t="shared" si="24"/>
        <v>677</v>
      </c>
      <c r="AM75" s="115">
        <f>AJ75*AL75</f>
        <v>157064000</v>
      </c>
      <c r="AN75" s="20" t="s">
        <v>4238</v>
      </c>
    </row>
    <row r="76" spans="1:40">
      <c r="D76" s="3"/>
      <c r="E76" s="11" t="s">
        <v>304</v>
      </c>
      <c r="G76" s="94"/>
      <c r="H76" s="94"/>
      <c r="K76" t="s">
        <v>4530</v>
      </c>
      <c r="L76" s="94"/>
      <c r="M76" s="94"/>
      <c r="N76" s="111"/>
      <c r="P76" s="114"/>
      <c r="Q76" s="166">
        <v>0</v>
      </c>
      <c r="R76" s="166" t="s">
        <v>4154</v>
      </c>
      <c r="S76" s="166">
        <f>S103</f>
        <v>694</v>
      </c>
      <c r="T76" s="166"/>
      <c r="U76" s="166"/>
      <c r="V76" s="71"/>
      <c r="W76" s="32"/>
      <c r="X76" s="32"/>
      <c r="Y76" s="94">
        <v>10000</v>
      </c>
      <c r="Z76" s="113"/>
      <c r="AH76" s="20">
        <v>56</v>
      </c>
      <c r="AI76" s="115" t="s">
        <v>4246</v>
      </c>
      <c r="AJ76" s="115">
        <v>-170000</v>
      </c>
      <c r="AK76" s="20">
        <v>3</v>
      </c>
      <c r="AL76" s="97">
        <f t="shared" si="24"/>
        <v>675</v>
      </c>
      <c r="AM76" s="115">
        <f t="shared" si="10"/>
        <v>-114750000</v>
      </c>
      <c r="AN76" s="20"/>
    </row>
    <row r="77" spans="1:40">
      <c r="D77" s="1" t="s">
        <v>305</v>
      </c>
      <c r="E77" s="1">
        <v>70000</v>
      </c>
      <c r="G77" s="94"/>
      <c r="H77" s="94"/>
      <c r="K77" t="s">
        <v>4734</v>
      </c>
      <c r="P77" s="113"/>
      <c r="Q77" s="167">
        <v>863944</v>
      </c>
      <c r="R77" s="166" t="s">
        <v>4399</v>
      </c>
      <c r="S77" s="166">
        <f>S76-62</f>
        <v>632</v>
      </c>
      <c r="T77" s="188" t="s">
        <v>4463</v>
      </c>
      <c r="U77" s="166">
        <v>184.6</v>
      </c>
      <c r="V77" s="166">
        <f t="shared" ref="V77:V92" si="27">U77*(1+$R$99+$Q$15*S77/36500)</f>
        <v>276.90404602739727</v>
      </c>
      <c r="W77" s="32">
        <f t="shared" ref="W77:W84" si="28">V77*(1+$W$19/100)</f>
        <v>282.44212694794521</v>
      </c>
      <c r="X77" s="32">
        <f t="shared" ref="X77:X84" si="29">V77*(1+$X$19/100)</f>
        <v>287.98020786849315</v>
      </c>
      <c r="Y77" s="94">
        <v>604</v>
      </c>
      <c r="Z77" s="120"/>
      <c r="AA77" t="s">
        <v>25</v>
      </c>
      <c r="AH77" s="20">
        <v>57</v>
      </c>
      <c r="AI77" s="115" t="s">
        <v>4260</v>
      </c>
      <c r="AJ77" s="115">
        <v>-300000</v>
      </c>
      <c r="AK77" s="20">
        <v>3</v>
      </c>
      <c r="AL77" s="97">
        <f t="shared" si="24"/>
        <v>672</v>
      </c>
      <c r="AM77" s="115">
        <f t="shared" si="10"/>
        <v>-201600000</v>
      </c>
      <c r="AN77" s="20"/>
    </row>
    <row r="78" spans="1:40">
      <c r="D78" s="1" t="s">
        <v>321</v>
      </c>
      <c r="E78" s="1">
        <v>100000</v>
      </c>
      <c r="G78" s="94"/>
      <c r="H78" s="94"/>
      <c r="K78" t="s">
        <v>4735</v>
      </c>
      <c r="N78" t="s">
        <v>25</v>
      </c>
      <c r="P78" s="113"/>
      <c r="Q78" s="167">
        <v>1692313</v>
      </c>
      <c r="R78" s="166" t="s">
        <v>4466</v>
      </c>
      <c r="S78" s="195">
        <f>S77-21</f>
        <v>611</v>
      </c>
      <c r="T78" s="187" t="s">
        <v>4467</v>
      </c>
      <c r="U78" s="166">
        <v>168.5</v>
      </c>
      <c r="V78" s="166">
        <f t="shared" si="27"/>
        <v>250.0392273972603</v>
      </c>
      <c r="W78" s="32">
        <f t="shared" si="28"/>
        <v>255.04001194520552</v>
      </c>
      <c r="X78" s="32">
        <f t="shared" si="29"/>
        <v>260.04079649315071</v>
      </c>
      <c r="Y78" s="94">
        <v>1094</v>
      </c>
      <c r="Z78" s="120"/>
      <c r="AD78" s="113"/>
      <c r="AE78" s="113"/>
      <c r="AH78" s="20">
        <v>58</v>
      </c>
      <c r="AI78" s="115" t="s">
        <v>4269</v>
      </c>
      <c r="AJ78" s="115">
        <v>-11400000</v>
      </c>
      <c r="AK78" s="20">
        <v>13</v>
      </c>
      <c r="AL78" s="97">
        <f t="shared" ref="AL78:AL83" si="30">AL79+AK78</f>
        <v>669</v>
      </c>
      <c r="AM78" s="115">
        <f t="shared" si="10"/>
        <v>-7626600000</v>
      </c>
      <c r="AN78" s="20"/>
    </row>
    <row r="79" spans="1:40" ht="26.25">
      <c r="D79" s="1" t="s">
        <v>306</v>
      </c>
      <c r="E79" s="1">
        <v>80000</v>
      </c>
      <c r="G79" s="94"/>
      <c r="H79" s="94"/>
      <c r="K79" t="s">
        <v>4736</v>
      </c>
      <c r="M79" s="248"/>
      <c r="Q79" s="167">
        <v>101153</v>
      </c>
      <c r="R79" s="166" t="s">
        <v>4469</v>
      </c>
      <c r="S79" s="195">
        <f>S78-1</f>
        <v>610</v>
      </c>
      <c r="T79" s="187" t="s">
        <v>4471</v>
      </c>
      <c r="U79" s="166">
        <v>166.7</v>
      </c>
      <c r="V79" s="166">
        <f t="shared" si="27"/>
        <v>247.24030575342465</v>
      </c>
      <c r="W79" s="32">
        <f t="shared" si="28"/>
        <v>252.18511186849315</v>
      </c>
      <c r="X79" s="32">
        <f t="shared" si="29"/>
        <v>257.12991798356165</v>
      </c>
      <c r="Y79" s="94">
        <v>976</v>
      </c>
      <c r="Z79" s="120"/>
      <c r="AC79" s="113"/>
      <c r="AD79" s="113"/>
      <c r="AE79" s="113"/>
      <c r="AF79"/>
      <c r="AH79" s="20">
        <v>59</v>
      </c>
      <c r="AI79" s="115" t="s">
        <v>4318</v>
      </c>
      <c r="AJ79" s="115">
        <v>-10000000</v>
      </c>
      <c r="AK79" s="20">
        <v>1</v>
      </c>
      <c r="AL79" s="97">
        <f t="shared" si="30"/>
        <v>656</v>
      </c>
      <c r="AM79" s="115">
        <f>AJ79*AL79</f>
        <v>-6560000000</v>
      </c>
      <c r="AN79" s="20"/>
    </row>
    <row r="80" spans="1:40">
      <c r="D80" s="31" t="s">
        <v>307</v>
      </c>
      <c r="E80" s="1">
        <v>150000</v>
      </c>
      <c r="G80" s="94"/>
      <c r="H80" s="94"/>
      <c r="J80" t="s">
        <v>25</v>
      </c>
      <c r="K80" t="s">
        <v>4492</v>
      </c>
      <c r="Q80" s="167">
        <v>183105</v>
      </c>
      <c r="R80" s="166" t="s">
        <v>4209</v>
      </c>
      <c r="S80" s="195">
        <f>S79-1</f>
        <v>609</v>
      </c>
      <c r="T80" s="187" t="s">
        <v>4475</v>
      </c>
      <c r="U80" s="166">
        <v>166.6</v>
      </c>
      <c r="V80" s="166">
        <f t="shared" si="27"/>
        <v>246.96418849315069</v>
      </c>
      <c r="W80" s="32">
        <f t="shared" si="28"/>
        <v>251.9034722630137</v>
      </c>
      <c r="X80" s="32">
        <f t="shared" si="29"/>
        <v>256.84275603287671</v>
      </c>
      <c r="Y80" s="94">
        <v>108344</v>
      </c>
      <c r="Z80" s="120"/>
      <c r="AC80" s="113"/>
      <c r="AD80" s="113"/>
      <c r="AE80" s="113"/>
      <c r="AF80"/>
      <c r="AH80" s="20">
        <v>60</v>
      </c>
      <c r="AI80" s="115" t="s">
        <v>4319</v>
      </c>
      <c r="AJ80" s="115">
        <v>-2450000</v>
      </c>
      <c r="AK80" s="20">
        <v>5</v>
      </c>
      <c r="AL80" s="97">
        <f t="shared" si="30"/>
        <v>655</v>
      </c>
      <c r="AM80" s="115">
        <f>AJ80*AL80</f>
        <v>-1604750000</v>
      </c>
      <c r="AN80" s="20"/>
    </row>
    <row r="81" spans="4:52">
      <c r="D81" s="31" t="s">
        <v>308</v>
      </c>
      <c r="E81" s="1">
        <v>300000</v>
      </c>
      <c r="G81" s="94"/>
      <c r="H81" s="94"/>
      <c r="K81" t="s">
        <v>4533</v>
      </c>
      <c r="M81" s="253" t="s">
        <v>4959</v>
      </c>
      <c r="Q81" s="167">
        <v>168846</v>
      </c>
      <c r="R81" s="166" t="s">
        <v>3675</v>
      </c>
      <c r="S81" s="195">
        <f>S80-30</f>
        <v>579</v>
      </c>
      <c r="T81" s="187" t="s">
        <v>4561</v>
      </c>
      <c r="U81" s="166">
        <v>172.2</v>
      </c>
      <c r="V81" s="166">
        <f t="shared" si="27"/>
        <v>251.30254684931506</v>
      </c>
      <c r="W81" s="32">
        <f t="shared" si="28"/>
        <v>256.32859778630137</v>
      </c>
      <c r="X81" s="32">
        <f t="shared" si="29"/>
        <v>261.35464872328765</v>
      </c>
      <c r="Y81" s="94">
        <v>5468</v>
      </c>
      <c r="Z81" s="120"/>
      <c r="AA81" t="s">
        <v>25</v>
      </c>
      <c r="AD81" s="113"/>
      <c r="AE81" s="113"/>
      <c r="AF81" s="113"/>
      <c r="AH81" s="20">
        <v>61</v>
      </c>
      <c r="AI81" s="115" t="s">
        <v>4343</v>
      </c>
      <c r="AJ81" s="115">
        <v>-456081</v>
      </c>
      <c r="AK81" s="20">
        <v>1</v>
      </c>
      <c r="AL81" s="97">
        <f t="shared" si="30"/>
        <v>650</v>
      </c>
      <c r="AM81" s="115">
        <f t="shared" si="10"/>
        <v>-296452650</v>
      </c>
      <c r="AN81" s="20"/>
    </row>
    <row r="82" spans="4:52">
      <c r="D82" s="31" t="s">
        <v>309</v>
      </c>
      <c r="E82" s="1">
        <v>100000</v>
      </c>
      <c r="G82" s="94"/>
      <c r="H82" s="94"/>
      <c r="K82" t="s">
        <v>4491</v>
      </c>
      <c r="M82" s="253" t="s">
        <v>4960</v>
      </c>
      <c r="Q82" s="167">
        <v>19918023</v>
      </c>
      <c r="R82" s="5" t="s">
        <v>4794</v>
      </c>
      <c r="S82" s="195">
        <f>S81-75</f>
        <v>504</v>
      </c>
      <c r="T82" s="187" t="s">
        <v>4796</v>
      </c>
      <c r="U82" s="210">
        <v>183</v>
      </c>
      <c r="V82" s="210">
        <f t="shared" si="27"/>
        <v>256.53491506849321</v>
      </c>
      <c r="W82" s="32">
        <f t="shared" si="28"/>
        <v>261.66561336986308</v>
      </c>
      <c r="X82" s="32">
        <f t="shared" si="29"/>
        <v>266.79631167123296</v>
      </c>
      <c r="Y82" s="94">
        <v>31131</v>
      </c>
      <c r="Z82" s="120"/>
      <c r="AA82" s="113"/>
      <c r="AB82" s="113"/>
      <c r="AC82" s="113"/>
      <c r="AD82" s="113"/>
      <c r="AE82" s="113"/>
      <c r="AF82" s="113"/>
      <c r="AH82" s="20">
        <v>62</v>
      </c>
      <c r="AI82" s="115" t="s">
        <v>4345</v>
      </c>
      <c r="AJ82" s="115">
        <v>-500000</v>
      </c>
      <c r="AK82" s="20">
        <v>2</v>
      </c>
      <c r="AL82" s="97">
        <f t="shared" si="30"/>
        <v>649</v>
      </c>
      <c r="AM82" s="115">
        <f t="shared" si="10"/>
        <v>-324500000</v>
      </c>
      <c r="AN82" s="20"/>
      <c r="AO82" t="s">
        <v>25</v>
      </c>
      <c r="AU82"/>
      <c r="AW82" t="s">
        <v>25</v>
      </c>
    </row>
    <row r="83" spans="4:52">
      <c r="D83" s="31" t="s">
        <v>310</v>
      </c>
      <c r="E83" s="1">
        <v>200000</v>
      </c>
      <c r="G83" s="94"/>
      <c r="H83" s="94"/>
      <c r="K83" s="22" t="s">
        <v>4221</v>
      </c>
      <c r="Q83" s="167">
        <v>1200301</v>
      </c>
      <c r="R83" s="19" t="s">
        <v>4877</v>
      </c>
      <c r="S83" s="195">
        <f>S82-34</f>
        <v>470</v>
      </c>
      <c r="T83" s="187" t="s">
        <v>4879</v>
      </c>
      <c r="U83" s="210">
        <v>218.5</v>
      </c>
      <c r="V83" s="210">
        <f t="shared" si="27"/>
        <v>300.60092602739729</v>
      </c>
      <c r="W83" s="32">
        <f t="shared" si="28"/>
        <v>306.61294454794523</v>
      </c>
      <c r="X83" s="32">
        <f t="shared" si="29"/>
        <v>312.62496306849317</v>
      </c>
      <c r="Y83" s="94">
        <v>521</v>
      </c>
      <c r="AA83" s="113"/>
      <c r="AB83" s="113"/>
      <c r="AC83" s="126"/>
      <c r="AD83" s="113"/>
      <c r="AE83" s="113"/>
      <c r="AF83" s="113"/>
      <c r="AH83" s="20">
        <v>63</v>
      </c>
      <c r="AI83" s="115" t="s">
        <v>4361</v>
      </c>
      <c r="AJ83" s="115">
        <v>-6234370</v>
      </c>
      <c r="AK83" s="20">
        <v>3</v>
      </c>
      <c r="AL83" s="97">
        <f t="shared" si="30"/>
        <v>647</v>
      </c>
      <c r="AM83" s="115">
        <f t="shared" si="10"/>
        <v>-4033637390</v>
      </c>
      <c r="AN83" s="20"/>
      <c r="AU83"/>
    </row>
    <row r="84" spans="4:52">
      <c r="D84" s="18" t="s">
        <v>311</v>
      </c>
      <c r="E84" s="18">
        <v>300000</v>
      </c>
      <c r="G84" s="94"/>
      <c r="H84" s="94"/>
      <c r="K84" t="s">
        <v>4488</v>
      </c>
      <c r="Q84" s="167">
        <v>5945617.8668850986</v>
      </c>
      <c r="R84" s="19" t="s">
        <v>4902</v>
      </c>
      <c r="S84" s="195">
        <f>S83-16</f>
        <v>454</v>
      </c>
      <c r="T84" s="187" t="s">
        <v>5701</v>
      </c>
      <c r="U84" s="210">
        <v>196.2</v>
      </c>
      <c r="V84" s="210">
        <f t="shared" si="27"/>
        <v>267.51359342465753</v>
      </c>
      <c r="W84" s="32">
        <f t="shared" si="28"/>
        <v>272.8638652931507</v>
      </c>
      <c r="X84" s="32">
        <f t="shared" si="29"/>
        <v>278.21413716164386</v>
      </c>
      <c r="Y84" s="94">
        <v>595</v>
      </c>
      <c r="AA84" s="113"/>
      <c r="AB84" s="113"/>
      <c r="AC84" s="126"/>
      <c r="AD84" s="113"/>
      <c r="AE84" s="113"/>
      <c r="AF84" s="113"/>
      <c r="AH84" s="20">
        <v>64</v>
      </c>
      <c r="AI84" s="115" t="s">
        <v>4370</v>
      </c>
      <c r="AJ84" s="115">
        <v>1950957</v>
      </c>
      <c r="AK84" s="20">
        <v>4</v>
      </c>
      <c r="AL84" s="97">
        <f t="shared" si="24"/>
        <v>644</v>
      </c>
      <c r="AM84" s="115">
        <f t="shared" si="10"/>
        <v>1256416308</v>
      </c>
      <c r="AN84" s="20"/>
      <c r="AZ84" t="s">
        <v>25</v>
      </c>
    </row>
    <row r="85" spans="4:52" ht="18.75">
      <c r="D85" s="32" t="s">
        <v>312</v>
      </c>
      <c r="E85" s="1">
        <v>200000</v>
      </c>
      <c r="G85" s="94"/>
      <c r="H85" s="94"/>
      <c r="K85" t="s">
        <v>4273</v>
      </c>
      <c r="M85" s="330" t="s">
        <v>5717</v>
      </c>
      <c r="Q85" s="167">
        <v>6990657</v>
      </c>
      <c r="R85" s="19" t="s">
        <v>5397</v>
      </c>
      <c r="S85" s="195">
        <f>S84-286</f>
        <v>168</v>
      </c>
      <c r="T85" s="187" t="s">
        <v>5402</v>
      </c>
      <c r="U85" s="210">
        <v>7792.9</v>
      </c>
      <c r="V85" s="210">
        <f t="shared" si="27"/>
        <v>8915.6754115068488</v>
      </c>
      <c r="W85" s="32">
        <f t="shared" ref="W85:W94" si="31">V85*(1+$W$19/100)</f>
        <v>9093.9889197369866</v>
      </c>
      <c r="X85" s="32">
        <f t="shared" ref="X85:X94" si="32">V85*(1+$X$19/100)</f>
        <v>9272.3024279671226</v>
      </c>
      <c r="Y85" s="94">
        <v>11086</v>
      </c>
      <c r="AA85" s="113"/>
      <c r="AB85" s="113"/>
      <c r="AC85" s="126"/>
      <c r="AD85" s="113"/>
      <c r="AE85" s="113"/>
      <c r="AF85" s="113"/>
      <c r="AH85" s="20">
        <v>65</v>
      </c>
      <c r="AI85" s="115" t="s">
        <v>4393</v>
      </c>
      <c r="AJ85" s="115">
        <v>600000</v>
      </c>
      <c r="AK85" s="20">
        <v>5</v>
      </c>
      <c r="AL85" s="97">
        <f t="shared" si="24"/>
        <v>640</v>
      </c>
      <c r="AM85" s="115">
        <f t="shared" si="10"/>
        <v>384000000</v>
      </c>
      <c r="AN85" s="20"/>
    </row>
    <row r="86" spans="4:52">
      <c r="D86" s="32" t="s">
        <v>313</v>
      </c>
      <c r="E86" s="1">
        <v>20000</v>
      </c>
      <c r="G86" s="94"/>
      <c r="H86" s="94"/>
      <c r="K86" t="s">
        <v>25</v>
      </c>
      <c r="M86" s="191"/>
      <c r="Q86" s="167">
        <v>4411104</v>
      </c>
      <c r="R86" s="19" t="s">
        <v>5403</v>
      </c>
      <c r="S86" s="195">
        <f>S85-2</f>
        <v>166</v>
      </c>
      <c r="T86" s="187" t="s">
        <v>5406</v>
      </c>
      <c r="U86" s="210">
        <v>8086.9</v>
      </c>
      <c r="V86" s="210">
        <f t="shared" si="27"/>
        <v>9239.6266663013703</v>
      </c>
      <c r="W86" s="32">
        <f t="shared" si="31"/>
        <v>9424.4191996273985</v>
      </c>
      <c r="X86" s="32">
        <f t="shared" si="32"/>
        <v>9609.2117329534249</v>
      </c>
      <c r="Y86" s="94" t="s">
        <v>25</v>
      </c>
      <c r="AA86" s="120" t="s">
        <v>25</v>
      </c>
      <c r="AB86" s="113"/>
      <c r="AC86" s="126"/>
      <c r="AD86" s="113"/>
      <c r="AE86" s="113"/>
      <c r="AF86" s="113"/>
      <c r="AH86" s="20">
        <v>66</v>
      </c>
      <c r="AI86" s="115" t="s">
        <v>4401</v>
      </c>
      <c r="AJ86" s="115">
        <v>7500000</v>
      </c>
      <c r="AK86" s="20">
        <v>2</v>
      </c>
      <c r="AL86" s="97">
        <f t="shared" si="24"/>
        <v>635</v>
      </c>
      <c r="AM86" s="115">
        <f t="shared" si="10"/>
        <v>4762500000</v>
      </c>
      <c r="AN86" s="20"/>
      <c r="AS86" s="94"/>
    </row>
    <row r="87" spans="4:52">
      <c r="D87" s="32" t="s">
        <v>315</v>
      </c>
      <c r="E87" s="1">
        <v>50000</v>
      </c>
      <c r="G87" s="94"/>
      <c r="H87" s="94"/>
      <c r="K87" s="94"/>
      <c r="Q87" s="167">
        <v>750391</v>
      </c>
      <c r="R87" s="19" t="s">
        <v>5480</v>
      </c>
      <c r="S87" s="195">
        <f>S86-50</f>
        <v>116</v>
      </c>
      <c r="T87" s="187" t="s">
        <v>5481</v>
      </c>
      <c r="U87" s="210">
        <v>9000</v>
      </c>
      <c r="V87" s="210">
        <f t="shared" si="27"/>
        <v>9937.6767123287682</v>
      </c>
      <c r="W87" s="32">
        <f t="shared" si="31"/>
        <v>10136.430246575344</v>
      </c>
      <c r="X87" s="32">
        <f t="shared" si="32"/>
        <v>10335.183780821919</v>
      </c>
      <c r="Y87" s="120" t="s">
        <v>25</v>
      </c>
      <c r="AA87" s="113" t="s">
        <v>25</v>
      </c>
      <c r="AB87" s="113"/>
      <c r="AC87" s="126"/>
      <c r="AD87" s="113"/>
      <c r="AE87" s="113"/>
      <c r="AF87" s="113"/>
      <c r="AH87" s="20">
        <v>67</v>
      </c>
      <c r="AI87" s="115" t="s">
        <v>4405</v>
      </c>
      <c r="AJ87" s="115">
        <v>-587816</v>
      </c>
      <c r="AK87" s="20">
        <v>3</v>
      </c>
      <c r="AL87" s="97">
        <f t="shared" si="24"/>
        <v>633</v>
      </c>
      <c r="AM87" s="115">
        <f t="shared" si="10"/>
        <v>-372087528</v>
      </c>
      <c r="AN87" s="20"/>
      <c r="AS87" s="94"/>
    </row>
    <row r="88" spans="4:52">
      <c r="D88" s="32" t="s">
        <v>316</v>
      </c>
      <c r="E88" s="1">
        <v>90000</v>
      </c>
      <c r="G88" s="94"/>
      <c r="H88" s="94"/>
      <c r="K88" s="94"/>
      <c r="Q88" s="167">
        <v>1386553</v>
      </c>
      <c r="R88" s="19" t="s">
        <v>5491</v>
      </c>
      <c r="S88" s="195">
        <f>S87-6</f>
        <v>110</v>
      </c>
      <c r="T88" s="187" t="s">
        <v>5560</v>
      </c>
      <c r="U88" s="210">
        <v>10699.9</v>
      </c>
      <c r="V88" s="210">
        <f t="shared" si="27"/>
        <v>11765.434151232877</v>
      </c>
      <c r="W88" s="32">
        <f t="shared" si="31"/>
        <v>12000.742834257535</v>
      </c>
      <c r="X88" s="32">
        <f t="shared" si="32"/>
        <v>12236.051517282192</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5621614</v>
      </c>
      <c r="R89" s="19" t="s">
        <v>5646</v>
      </c>
      <c r="S89" s="195">
        <f>S88-77</f>
        <v>33</v>
      </c>
      <c r="T89" s="187" t="s">
        <v>5648</v>
      </c>
      <c r="U89" s="210">
        <v>18288.3</v>
      </c>
      <c r="V89" s="210">
        <f t="shared" si="27"/>
        <v>19029.25172712329</v>
      </c>
      <c r="W89" s="32">
        <f t="shared" si="31"/>
        <v>19409.836761665756</v>
      </c>
      <c r="X89" s="32">
        <f t="shared" si="32"/>
        <v>19790.421796208222</v>
      </c>
      <c r="Z89" s="113"/>
      <c r="AA89" s="113"/>
      <c r="AB89" s="113"/>
      <c r="AC89" s="113"/>
      <c r="AD89" s="113"/>
      <c r="AE89" s="113"/>
      <c r="AF89" s="113"/>
      <c r="AG89" s="113"/>
      <c r="AH89" s="20">
        <v>69</v>
      </c>
      <c r="AI89" s="115" t="s">
        <v>4404</v>
      </c>
      <c r="AJ89" s="115">
        <v>2450000</v>
      </c>
      <c r="AK89" s="20">
        <v>1</v>
      </c>
      <c r="AL89" s="97">
        <f t="shared" si="24"/>
        <v>630</v>
      </c>
      <c r="AM89" s="115">
        <f t="shared" si="10"/>
        <v>1543500000</v>
      </c>
      <c r="AN89" s="20" t="s">
        <v>4436</v>
      </c>
      <c r="AQ89" t="s">
        <v>25</v>
      </c>
      <c r="AR89" t="s">
        <v>25</v>
      </c>
    </row>
    <row r="90" spans="4:52">
      <c r="D90" s="32" t="s">
        <v>327</v>
      </c>
      <c r="E90" s="1">
        <v>150000</v>
      </c>
      <c r="F90" s="94"/>
      <c r="G90" s="94"/>
      <c r="H90" s="94"/>
      <c r="I90" s="94"/>
      <c r="J90" s="94"/>
      <c r="K90" s="94"/>
      <c r="M90" s="94"/>
      <c r="N90" s="94"/>
      <c r="Q90" s="167">
        <v>10001487</v>
      </c>
      <c r="R90" s="19" t="s">
        <v>5698</v>
      </c>
      <c r="S90" s="195">
        <f>S89-21</f>
        <v>12</v>
      </c>
      <c r="T90" s="187" t="s">
        <v>5699</v>
      </c>
      <c r="U90" s="210">
        <v>15330</v>
      </c>
      <c r="V90" s="210">
        <f t="shared" si="27"/>
        <v>15704.136000000002</v>
      </c>
      <c r="W90" s="32">
        <f t="shared" si="31"/>
        <v>16018.218720000003</v>
      </c>
      <c r="X90" s="32">
        <f t="shared" si="32"/>
        <v>16332.301440000003</v>
      </c>
      <c r="Z90" s="113"/>
      <c r="AA90" s="113"/>
      <c r="AB90" s="113"/>
      <c r="AC90" s="113"/>
      <c r="AD90" s="113"/>
      <c r="AE90"/>
      <c r="AG90" s="113"/>
      <c r="AH90" s="20">
        <v>70</v>
      </c>
      <c r="AI90" s="115" t="s">
        <v>4438</v>
      </c>
      <c r="AJ90" s="115">
        <v>1500000</v>
      </c>
      <c r="AK90" s="20">
        <v>1</v>
      </c>
      <c r="AL90" s="97">
        <f t="shared" si="24"/>
        <v>629</v>
      </c>
      <c r="AM90" s="115">
        <f t="shared" si="10"/>
        <v>943500000</v>
      </c>
      <c r="AN90" s="20"/>
      <c r="AP90" t="s">
        <v>25</v>
      </c>
      <c r="AU90" s="94" t="s">
        <v>25</v>
      </c>
    </row>
    <row r="91" spans="4:52">
      <c r="D91" s="32" t="s">
        <v>318</v>
      </c>
      <c r="E91" s="1">
        <v>15000</v>
      </c>
      <c r="F91" s="94"/>
      <c r="G91" s="94"/>
      <c r="H91" s="94"/>
      <c r="I91" s="94"/>
      <c r="J91" s="94"/>
      <c r="K91" s="94"/>
      <c r="L91" s="94"/>
      <c r="M91" s="94"/>
      <c r="N91" s="94"/>
      <c r="Q91" s="167">
        <v>35631257</v>
      </c>
      <c r="R91" s="19" t="s">
        <v>5698</v>
      </c>
      <c r="S91" s="195">
        <f>S90</f>
        <v>12</v>
      </c>
      <c r="T91" s="187" t="s">
        <v>5700</v>
      </c>
      <c r="U91" s="210">
        <v>18610</v>
      </c>
      <c r="V91" s="210">
        <f t="shared" si="27"/>
        <v>19064.185972602743</v>
      </c>
      <c r="W91" s="32">
        <f t="shared" si="31"/>
        <v>19445.469692054798</v>
      </c>
      <c r="X91" s="32">
        <f t="shared" si="32"/>
        <v>19826.753411506852</v>
      </c>
      <c r="Z91" s="113"/>
      <c r="AA91" s="113"/>
      <c r="AE91"/>
      <c r="AG91" s="94"/>
      <c r="AH91" s="20">
        <v>71</v>
      </c>
      <c r="AI91" s="115" t="s">
        <v>4444</v>
      </c>
      <c r="AJ91" s="115">
        <v>2648000</v>
      </c>
      <c r="AK91" s="20">
        <v>1</v>
      </c>
      <c r="AL91" s="97">
        <f t="shared" si="24"/>
        <v>628</v>
      </c>
      <c r="AM91" s="115">
        <f t="shared" si="10"/>
        <v>1662944000</v>
      </c>
      <c r="AN91" s="20" t="s">
        <v>4445</v>
      </c>
      <c r="AU91" s="94" t="s">
        <v>25</v>
      </c>
    </row>
    <row r="92" spans="4:52">
      <c r="D92" s="32" t="s">
        <v>319</v>
      </c>
      <c r="E92" s="1">
        <v>20000</v>
      </c>
      <c r="F92" s="94"/>
      <c r="G92" s="94"/>
      <c r="H92" s="94"/>
      <c r="I92" s="94"/>
      <c r="J92" s="94"/>
      <c r="K92" s="94"/>
      <c r="L92" s="94"/>
      <c r="Q92" s="167">
        <v>1334811</v>
      </c>
      <c r="R92" s="19" t="s">
        <v>5719</v>
      </c>
      <c r="S92" s="195">
        <f>S91-13</f>
        <v>-1</v>
      </c>
      <c r="T92" s="187" t="s">
        <v>5721</v>
      </c>
      <c r="U92" s="210">
        <v>4182</v>
      </c>
      <c r="V92" s="210">
        <f t="shared" si="27"/>
        <v>4242.3582904109599</v>
      </c>
      <c r="W92" s="32">
        <f t="shared" si="31"/>
        <v>4327.2054562191788</v>
      </c>
      <c r="X92" s="32">
        <f t="shared" si="32"/>
        <v>4412.0526220273987</v>
      </c>
      <c r="Z92" s="113"/>
      <c r="AA92" s="113"/>
      <c r="AE92"/>
      <c r="AG92" s="94"/>
      <c r="AH92" s="20">
        <v>72</v>
      </c>
      <c r="AI92" s="115" t="s">
        <v>4210</v>
      </c>
      <c r="AJ92" s="115">
        <v>615000</v>
      </c>
      <c r="AK92" s="20">
        <v>4</v>
      </c>
      <c r="AL92" s="97">
        <f t="shared" si="24"/>
        <v>627</v>
      </c>
      <c r="AM92" s="115">
        <f t="shared" si="10"/>
        <v>385605000</v>
      </c>
      <c r="AN92" s="20"/>
      <c r="AV92" t="s">
        <v>25</v>
      </c>
    </row>
    <row r="93" spans="4:52">
      <c r="D93" s="32" t="s">
        <v>320</v>
      </c>
      <c r="E93" s="1">
        <v>40000</v>
      </c>
      <c r="F93" s="94"/>
      <c r="G93" s="94"/>
      <c r="H93" s="94"/>
      <c r="I93" s="94"/>
      <c r="J93" s="94"/>
      <c r="K93" s="94"/>
      <c r="P93" t="s">
        <v>25</v>
      </c>
      <c r="Q93" s="167"/>
      <c r="R93" s="19"/>
      <c r="S93" s="195"/>
      <c r="T93" s="187"/>
      <c r="U93" s="210"/>
      <c r="V93" s="210"/>
      <c r="W93" s="32"/>
      <c r="X93" s="32"/>
      <c r="Z93" s="113"/>
      <c r="AA93" s="113"/>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c r="R94" s="166"/>
      <c r="S94" s="111"/>
      <c r="T94" s="111"/>
      <c r="U94" s="166" t="s">
        <v>25</v>
      </c>
      <c r="V94" s="210" t="e">
        <f>U94*(1+$R$99+$Q$15*S94/36500)</f>
        <v>#VALUE!</v>
      </c>
      <c r="W94" s="32" t="e">
        <f t="shared" si="31"/>
        <v>#VALUE!</v>
      </c>
      <c r="X94" s="32" t="e">
        <f t="shared" si="32"/>
        <v>#VALUE!</v>
      </c>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11">
        <f>SUM(N27:N30)-SUM(Q76:Q94)</f>
        <v>247843803.1331149</v>
      </c>
      <c r="R95" s="166"/>
      <c r="S95" s="166"/>
      <c r="T95" s="166"/>
      <c r="U95" s="166"/>
      <c r="V95" s="166"/>
      <c r="W95" s="32"/>
      <c r="X95" s="32"/>
      <c r="AH95" s="97">
        <v>75</v>
      </c>
      <c r="AI95" s="111" t="s">
        <v>4459</v>
      </c>
      <c r="AJ95" s="111">
        <v>2269000</v>
      </c>
      <c r="AK95" s="97">
        <v>1</v>
      </c>
      <c r="AL95" s="97">
        <f t="shared" ref="AL95:AL120" si="33">AL96+AK95</f>
        <v>621</v>
      </c>
      <c r="AM95" s="115">
        <f t="shared" si="10"/>
        <v>1409049000</v>
      </c>
      <c r="AN95" s="97"/>
    </row>
    <row r="96" spans="4:52">
      <c r="D96" s="32" t="s">
        <v>314</v>
      </c>
      <c r="E96" s="1">
        <v>140000</v>
      </c>
      <c r="F96" s="94"/>
      <c r="G96" s="94"/>
      <c r="H96" s="94"/>
      <c r="I96" s="94" t="s">
        <v>25</v>
      </c>
      <c r="J96" s="94" t="s">
        <v>25</v>
      </c>
      <c r="K96" s="94" t="s">
        <v>25</v>
      </c>
      <c r="P96" s="126"/>
      <c r="R96" s="113"/>
      <c r="S96" s="113"/>
      <c r="T96" s="113" t="s">
        <v>25</v>
      </c>
      <c r="U96" s="113" t="s">
        <v>25</v>
      </c>
      <c r="V96" s="113" t="s">
        <v>25</v>
      </c>
      <c r="W96" s="192" t="s">
        <v>25</v>
      </c>
      <c r="X96" s="192"/>
      <c r="Y96" s="94"/>
      <c r="AH96" s="97">
        <v>76</v>
      </c>
      <c r="AI96" s="111" t="s">
        <v>4211</v>
      </c>
      <c r="AJ96" s="111">
        <v>750000</v>
      </c>
      <c r="AK96" s="97">
        <v>4</v>
      </c>
      <c r="AL96" s="97">
        <f t="shared" si="33"/>
        <v>620</v>
      </c>
      <c r="AM96" s="115">
        <f t="shared" si="10"/>
        <v>465000000</v>
      </c>
      <c r="AN96" s="97"/>
      <c r="AQ96" t="s">
        <v>25</v>
      </c>
    </row>
    <row r="97" spans="4:47">
      <c r="D97" s="2" t="s">
        <v>477</v>
      </c>
      <c r="E97" s="3">
        <v>1083333</v>
      </c>
      <c r="F97" s="94"/>
      <c r="G97" s="94"/>
      <c r="H97" s="94"/>
      <c r="I97" s="94"/>
      <c r="J97" s="94" t="s">
        <v>25</v>
      </c>
      <c r="K97" s="94" t="s">
        <v>25</v>
      </c>
      <c r="M97" s="94"/>
      <c r="N97" s="94"/>
      <c r="P97" s="113"/>
      <c r="Q97" s="97" t="s">
        <v>934</v>
      </c>
      <c r="R97" s="97">
        <v>1.03E-2</v>
      </c>
      <c r="S97" s="26" t="s">
        <v>25</v>
      </c>
      <c r="T97" t="s">
        <v>25</v>
      </c>
      <c r="U97" s="94" t="s">
        <v>25</v>
      </c>
      <c r="V97" s="113" t="s">
        <v>25</v>
      </c>
      <c r="W97" s="192" t="s">
        <v>25</v>
      </c>
      <c r="X97" s="192"/>
      <c r="Y97" s="94" t="s">
        <v>25</v>
      </c>
      <c r="AH97" s="97">
        <v>77</v>
      </c>
      <c r="AI97" s="111" t="s">
        <v>4466</v>
      </c>
      <c r="AJ97" s="111">
        <v>1900000</v>
      </c>
      <c r="AK97" s="97">
        <v>3</v>
      </c>
      <c r="AL97" s="97">
        <f t="shared" si="33"/>
        <v>616</v>
      </c>
      <c r="AM97" s="115">
        <f t="shared" si="10"/>
        <v>1170400000</v>
      </c>
      <c r="AN97" s="97"/>
    </row>
    <row r="98" spans="4:47">
      <c r="D98" s="2"/>
      <c r="E98" s="3"/>
      <c r="F98" s="94"/>
      <c r="G98" s="94"/>
      <c r="H98" s="94"/>
      <c r="I98" s="94"/>
      <c r="J98" s="94" t="s">
        <v>25</v>
      </c>
      <c r="K98" s="94" t="s">
        <v>25</v>
      </c>
      <c r="L98" s="94"/>
      <c r="M98" s="94"/>
      <c r="N98" s="94"/>
      <c r="Q98" s="97" t="s">
        <v>61</v>
      </c>
      <c r="R98" s="97">
        <v>4.8999999999999998E-3</v>
      </c>
      <c r="T98" s="112" t="s">
        <v>25</v>
      </c>
      <c r="U98" s="94" t="s">
        <v>25</v>
      </c>
      <c r="V98" t="s">
        <v>25</v>
      </c>
      <c r="W98" s="192" t="s">
        <v>25</v>
      </c>
      <c r="X98" s="192" t="s">
        <v>25</v>
      </c>
      <c r="Y98" s="94"/>
      <c r="AH98" s="97">
        <v>78</v>
      </c>
      <c r="AI98" s="111" t="s">
        <v>4479</v>
      </c>
      <c r="AJ98" s="111">
        <v>6400000</v>
      </c>
      <c r="AK98" s="97">
        <v>1</v>
      </c>
      <c r="AL98" s="97">
        <f t="shared" si="33"/>
        <v>613</v>
      </c>
      <c r="AM98" s="115">
        <f t="shared" si="10"/>
        <v>3923200000</v>
      </c>
      <c r="AN98" s="97"/>
    </row>
    <row r="99" spans="4:47">
      <c r="D99" s="2"/>
      <c r="E99" s="3"/>
      <c r="F99" s="94"/>
      <c r="G99" s="94"/>
      <c r="H99" s="94"/>
      <c r="I99" s="94"/>
      <c r="J99" s="94" t="s">
        <v>25</v>
      </c>
      <c r="K99" s="94"/>
      <c r="L99" s="94"/>
      <c r="M99" s="94"/>
      <c r="N99" s="94"/>
      <c r="Q99" s="97" t="s">
        <v>6</v>
      </c>
      <c r="R99" s="97">
        <f>R97+R98</f>
        <v>1.52E-2</v>
      </c>
      <c r="T99" t="s">
        <v>25</v>
      </c>
      <c r="U99" s="94" t="s">
        <v>25</v>
      </c>
      <c r="V99" t="s">
        <v>25</v>
      </c>
      <c r="W99" s="192"/>
      <c r="X99" s="192"/>
      <c r="Y99" s="94"/>
      <c r="AH99" s="97">
        <v>79</v>
      </c>
      <c r="AI99" s="111" t="s">
        <v>4477</v>
      </c>
      <c r="AJ99" s="111">
        <v>5000</v>
      </c>
      <c r="AK99" s="97">
        <v>5</v>
      </c>
      <c r="AL99" s="97">
        <f t="shared" si="33"/>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W100" s="192"/>
      <c r="X100" s="192"/>
      <c r="Y100" s="94"/>
      <c r="AH100" s="97">
        <v>80</v>
      </c>
      <c r="AI100" s="111" t="s">
        <v>4508</v>
      </c>
      <c r="AJ100" s="111">
        <v>-1750148</v>
      </c>
      <c r="AK100" s="97">
        <v>1</v>
      </c>
      <c r="AL100" s="97">
        <f t="shared" si="33"/>
        <v>607</v>
      </c>
      <c r="AM100" s="115">
        <f t="shared" si="10"/>
        <v>-1062339836</v>
      </c>
      <c r="AN100" s="97"/>
    </row>
    <row r="101" spans="4:47" ht="30">
      <c r="D101" s="2" t="s">
        <v>328</v>
      </c>
      <c r="E101" s="3">
        <f>E100/30</f>
        <v>112777.76666666666</v>
      </c>
      <c r="J101" t="s">
        <v>25</v>
      </c>
      <c r="Q101" s="71" t="s">
        <v>4272</v>
      </c>
      <c r="R101" s="110"/>
      <c r="S101" s="110"/>
      <c r="T101" s="110"/>
      <c r="U101" s="166" t="s">
        <v>4334</v>
      </c>
      <c r="V101" s="36" t="s">
        <v>4336</v>
      </c>
      <c r="W101" s="32"/>
      <c r="X101" s="32"/>
      <c r="Y101" s="94"/>
      <c r="AH101" s="97">
        <v>81</v>
      </c>
      <c r="AI101" s="111" t="s">
        <v>4511</v>
      </c>
      <c r="AJ101" s="111">
        <v>400000</v>
      </c>
      <c r="AK101" s="97">
        <v>0</v>
      </c>
      <c r="AL101" s="97">
        <f t="shared" si="33"/>
        <v>606</v>
      </c>
      <c r="AM101" s="115">
        <f t="shared" si="10"/>
        <v>242400000</v>
      </c>
      <c r="AN101" s="97"/>
    </row>
    <row r="102" spans="4:47">
      <c r="Q102" s="110" t="s">
        <v>267</v>
      </c>
      <c r="R102" s="110" t="s">
        <v>180</v>
      </c>
      <c r="S102" s="110" t="s">
        <v>183</v>
      </c>
      <c r="T102" s="110" t="s">
        <v>8</v>
      </c>
      <c r="U102" s="166"/>
      <c r="V102" s="97"/>
      <c r="W102" s="32">
        <v>2</v>
      </c>
      <c r="X102" s="32">
        <v>4</v>
      </c>
      <c r="Y102" s="94"/>
      <c r="AH102" s="97">
        <v>82</v>
      </c>
      <c r="AI102" s="111" t="s">
        <v>4511</v>
      </c>
      <c r="AJ102" s="111">
        <v>-2105421</v>
      </c>
      <c r="AK102" s="97">
        <v>1</v>
      </c>
      <c r="AL102" s="97">
        <f t="shared" si="33"/>
        <v>606</v>
      </c>
      <c r="AM102" s="115">
        <f t="shared" si="10"/>
        <v>-1275885126</v>
      </c>
      <c r="AN102" s="97"/>
      <c r="AO102" t="s">
        <v>25</v>
      </c>
    </row>
    <row r="103" spans="4:47">
      <c r="F103" s="210" t="s">
        <v>4625</v>
      </c>
      <c r="G103" s="210" t="s">
        <v>926</v>
      </c>
      <c r="H103" s="210" t="s">
        <v>4618</v>
      </c>
      <c r="I103" s="210" t="s">
        <v>4617</v>
      </c>
      <c r="J103" s="32" t="s">
        <v>4493</v>
      </c>
      <c r="K103" s="210" t="s">
        <v>4611</v>
      </c>
      <c r="L103" s="32" t="s">
        <v>4613</v>
      </c>
      <c r="M103" s="32" t="s">
        <v>4588</v>
      </c>
      <c r="N103" s="210" t="s">
        <v>4589</v>
      </c>
      <c r="Q103" s="35">
        <v>38474780.062005915</v>
      </c>
      <c r="R103" s="5" t="s">
        <v>4154</v>
      </c>
      <c r="S103" s="5">
        <v>694</v>
      </c>
      <c r="T103" s="5" t="s">
        <v>5714</v>
      </c>
      <c r="U103" s="166">
        <v>192</v>
      </c>
      <c r="V103" s="97">
        <f t="shared" ref="V103:V145" si="34">U103*(1+$R$99+$Q$15*S103/36500)</f>
        <v>297.13604383561648</v>
      </c>
      <c r="W103" s="32">
        <f t="shared" ref="W103" si="35">V103*(1+$W$19/100)</f>
        <v>303.07876471232879</v>
      </c>
      <c r="X103" s="32">
        <f t="shared" ref="X103" si="36">V103*(1+$X$19/100)</f>
        <v>309.02148558904116</v>
      </c>
      <c r="Y103" s="94"/>
      <c r="AH103" s="97">
        <v>83</v>
      </c>
      <c r="AI103" s="111" t="s">
        <v>4514</v>
      </c>
      <c r="AJ103" s="111">
        <v>-5527618</v>
      </c>
      <c r="AK103" s="97">
        <v>0</v>
      </c>
      <c r="AL103" s="97">
        <f t="shared" si="33"/>
        <v>605</v>
      </c>
      <c r="AM103" s="115">
        <f t="shared" si="10"/>
        <v>-3344208890</v>
      </c>
      <c r="AN103" s="97"/>
    </row>
    <row r="104" spans="4:47">
      <c r="F104" s="197">
        <f>$L$112/G104</f>
        <v>6473.9884393063585</v>
      </c>
      <c r="G104" s="197">
        <f>P49</f>
        <v>1730</v>
      </c>
      <c r="H104" s="197" t="s">
        <v>4718</v>
      </c>
      <c r="I104" s="197" t="s">
        <v>5344</v>
      </c>
      <c r="J104" s="211" t="s">
        <v>4221</v>
      </c>
      <c r="K104" s="197">
        <v>210</v>
      </c>
      <c r="L104" s="212">
        <f t="shared" ref="L104:L109" si="37">K104*$L$112</f>
        <v>2352000000</v>
      </c>
      <c r="M104" s="212">
        <f>N21+N30+N49+N43</f>
        <v>2745495110</v>
      </c>
      <c r="N104" s="181">
        <f t="shared" ref="N104:N109" si="38">L104-M104</f>
        <v>-393495110</v>
      </c>
      <c r="P104" s="94"/>
      <c r="Q104" s="167">
        <v>7032.8</v>
      </c>
      <c r="R104" s="210" t="s">
        <v>5271</v>
      </c>
      <c r="S104" s="210">
        <f>S103-480</f>
        <v>214</v>
      </c>
      <c r="T104" s="210" t="s">
        <v>5278</v>
      </c>
      <c r="U104" s="210">
        <v>7001.1</v>
      </c>
      <c r="V104" s="97">
        <f t="shared" si="34"/>
        <v>8256.8479857534257</v>
      </c>
      <c r="W104" s="32">
        <f t="shared" ref="W104:W111" si="39">V104*(1+$W$19/100)</f>
        <v>8421.9849454684936</v>
      </c>
      <c r="X104" s="32">
        <f t="shared" ref="X104:X111" si="40">V104*(1+$X$19/100)</f>
        <v>8587.1219051835633</v>
      </c>
      <c r="Y104" s="94">
        <v>200000</v>
      </c>
      <c r="AH104" s="97">
        <v>84</v>
      </c>
      <c r="AI104" s="111" t="s">
        <v>4514</v>
      </c>
      <c r="AJ104" s="111">
        <v>3900000</v>
      </c>
      <c r="AK104" s="97">
        <v>3</v>
      </c>
      <c r="AL104" s="97">
        <f t="shared" si="33"/>
        <v>605</v>
      </c>
      <c r="AM104" s="115">
        <f t="shared" si="10"/>
        <v>2359500000</v>
      </c>
      <c r="AN104" s="97"/>
    </row>
    <row r="105" spans="4:47">
      <c r="F105" s="210">
        <v>0</v>
      </c>
      <c r="G105" s="210">
        <f>P46</f>
        <v>14400</v>
      </c>
      <c r="H105" s="210" t="s">
        <v>4880</v>
      </c>
      <c r="I105" s="210" t="s">
        <v>5345</v>
      </c>
      <c r="J105" s="32" t="s">
        <v>4363</v>
      </c>
      <c r="K105" s="210">
        <v>33</v>
      </c>
      <c r="L105" s="1">
        <f t="shared" si="37"/>
        <v>369600000</v>
      </c>
      <c r="M105" s="1">
        <f>N46+N27+N23</f>
        <v>4838040000</v>
      </c>
      <c r="N105" s="111">
        <f t="shared" si="38"/>
        <v>-4468440000</v>
      </c>
      <c r="P105" s="94"/>
      <c r="Q105" s="167">
        <v>4038752</v>
      </c>
      <c r="R105" s="210" t="s">
        <v>5283</v>
      </c>
      <c r="S105" s="210">
        <f>S104-6</f>
        <v>208</v>
      </c>
      <c r="T105" s="210" t="s">
        <v>5284</v>
      </c>
      <c r="U105" s="210">
        <v>7310</v>
      </c>
      <c r="V105" s="97">
        <f t="shared" si="34"/>
        <v>8587.5076164383572</v>
      </c>
      <c r="W105" s="32">
        <f t="shared" si="39"/>
        <v>8759.2577687671237</v>
      </c>
      <c r="X105" s="32">
        <f t="shared" si="40"/>
        <v>8931.007921095892</v>
      </c>
      <c r="Y105" s="94"/>
      <c r="AH105" s="97">
        <v>85</v>
      </c>
      <c r="AI105" s="111" t="s">
        <v>4515</v>
      </c>
      <c r="AJ105" s="111">
        <v>-3969754</v>
      </c>
      <c r="AK105" s="97">
        <v>1</v>
      </c>
      <c r="AL105" s="97">
        <f t="shared" si="33"/>
        <v>602</v>
      </c>
      <c r="AM105" s="115">
        <f t="shared" si="10"/>
        <v>-2389791908</v>
      </c>
      <c r="AN105" s="97"/>
    </row>
    <row r="106" spans="4:47">
      <c r="F106" s="197">
        <v>0</v>
      </c>
      <c r="G106" s="197">
        <f>P45</f>
        <v>13900</v>
      </c>
      <c r="H106" s="197" t="s">
        <v>4998</v>
      </c>
      <c r="I106" s="197" t="s">
        <v>5346</v>
      </c>
      <c r="J106" s="211" t="s">
        <v>4359</v>
      </c>
      <c r="K106" s="197">
        <v>0</v>
      </c>
      <c r="L106" s="212">
        <f t="shared" si="37"/>
        <v>0</v>
      </c>
      <c r="M106" s="212">
        <f>N45+N24</f>
        <v>1249332000</v>
      </c>
      <c r="N106" s="181">
        <f t="shared" si="38"/>
        <v>-1249332000</v>
      </c>
      <c r="P106" s="94"/>
      <c r="Q106" s="167">
        <v>632415</v>
      </c>
      <c r="R106" s="210" t="s">
        <v>5291</v>
      </c>
      <c r="S106" s="210">
        <f>S105-5</f>
        <v>203</v>
      </c>
      <c r="T106" s="210" t="s">
        <v>5293</v>
      </c>
      <c r="U106" s="210">
        <v>7236.3</v>
      </c>
      <c r="V106" s="97">
        <f t="shared" si="34"/>
        <v>8473.1720120547961</v>
      </c>
      <c r="W106" s="32">
        <f t="shared" si="39"/>
        <v>8642.6354522958918</v>
      </c>
      <c r="X106" s="32">
        <f t="shared" si="40"/>
        <v>8812.0988925369875</v>
      </c>
      <c r="Y106" s="94"/>
      <c r="AA106" t="s">
        <v>25</v>
      </c>
      <c r="AH106" s="97">
        <v>86</v>
      </c>
      <c r="AI106" s="111" t="s">
        <v>4525</v>
      </c>
      <c r="AJ106" s="111">
        <v>-25574455</v>
      </c>
      <c r="AK106" s="97">
        <v>0</v>
      </c>
      <c r="AL106" s="97">
        <f t="shared" si="33"/>
        <v>601</v>
      </c>
      <c r="AM106" s="115">
        <f t="shared" si="10"/>
        <v>-15370247455</v>
      </c>
      <c r="AN106" s="97"/>
      <c r="AP106" t="s">
        <v>25</v>
      </c>
    </row>
    <row r="107" spans="4:47">
      <c r="F107" s="187"/>
      <c r="G107" s="187"/>
      <c r="H107" s="187"/>
      <c r="I107" s="187"/>
      <c r="J107" s="277" t="s">
        <v>5347</v>
      </c>
      <c r="K107" s="187">
        <v>0</v>
      </c>
      <c r="L107" s="278">
        <f t="shared" si="37"/>
        <v>0</v>
      </c>
      <c r="M107" s="278">
        <f>N20+N26+N41</f>
        <v>26242</v>
      </c>
      <c r="N107" s="186">
        <f t="shared" si="38"/>
        <v>-26242</v>
      </c>
      <c r="P107" s="94"/>
      <c r="Q107" s="167">
        <v>6417109</v>
      </c>
      <c r="R107" s="210" t="s">
        <v>5294</v>
      </c>
      <c r="S107" s="210">
        <f>S106-1</f>
        <v>202</v>
      </c>
      <c r="T107" s="210" t="s">
        <v>5295</v>
      </c>
      <c r="U107" s="210">
        <v>7097.9</v>
      </c>
      <c r="V107" s="97">
        <f t="shared" si="34"/>
        <v>8305.6708854794524</v>
      </c>
      <c r="W107" s="32">
        <f t="shared" si="39"/>
        <v>8471.7843031890425</v>
      </c>
      <c r="X107" s="32">
        <f t="shared" si="40"/>
        <v>8637.8977208986307</v>
      </c>
      <c r="AA107" t="s">
        <v>25</v>
      </c>
      <c r="AH107" s="97">
        <v>87</v>
      </c>
      <c r="AI107" s="111" t="s">
        <v>4525</v>
      </c>
      <c r="AJ107" s="111">
        <v>4000000</v>
      </c>
      <c r="AK107" s="97">
        <v>1</v>
      </c>
      <c r="AL107" s="97">
        <f t="shared" si="33"/>
        <v>601</v>
      </c>
      <c r="AM107" s="115">
        <f t="shared" si="10"/>
        <v>2404000000</v>
      </c>
      <c r="AN107" s="97"/>
    </row>
    <row r="108" spans="4:47">
      <c r="F108" s="197"/>
      <c r="G108" s="197"/>
      <c r="H108" s="197"/>
      <c r="I108" s="197"/>
      <c r="J108" s="211" t="s">
        <v>314</v>
      </c>
      <c r="K108" s="197">
        <v>1</v>
      </c>
      <c r="L108" s="212">
        <f t="shared" si="37"/>
        <v>11200000</v>
      </c>
      <c r="M108" s="212">
        <v>0</v>
      </c>
      <c r="N108" s="181">
        <f t="shared" si="38"/>
        <v>11200000</v>
      </c>
      <c r="Q108" s="167">
        <v>7802773</v>
      </c>
      <c r="R108" s="210" t="s">
        <v>5298</v>
      </c>
      <c r="S108" s="210">
        <f>S107-1</f>
        <v>201</v>
      </c>
      <c r="T108" s="210" t="s">
        <v>5300</v>
      </c>
      <c r="U108" s="210">
        <v>7100.1</v>
      </c>
      <c r="V108" s="97">
        <f t="shared" si="34"/>
        <v>8302.7985830136986</v>
      </c>
      <c r="W108" s="32">
        <f t="shared" si="39"/>
        <v>8468.8545546739733</v>
      </c>
      <c r="X108" s="32">
        <f t="shared" si="40"/>
        <v>8634.9105263342462</v>
      </c>
      <c r="AH108" s="97">
        <v>88</v>
      </c>
      <c r="AI108" s="111" t="s">
        <v>979</v>
      </c>
      <c r="AJ108" s="111">
        <v>-5000000</v>
      </c>
      <c r="AK108" s="97">
        <v>2</v>
      </c>
      <c r="AL108" s="97">
        <f t="shared" si="33"/>
        <v>600</v>
      </c>
      <c r="AM108" s="115">
        <f t="shared" si="10"/>
        <v>-3000000000</v>
      </c>
      <c r="AN108" s="97"/>
    </row>
    <row r="109" spans="4:47">
      <c r="F109" s="189"/>
      <c r="G109" s="189"/>
      <c r="H109" s="189"/>
      <c r="I109" s="189"/>
      <c r="J109" s="249" t="s">
        <v>5475</v>
      </c>
      <c r="K109" s="189">
        <v>798</v>
      </c>
      <c r="L109" s="250">
        <f t="shared" si="37"/>
        <v>8937600000</v>
      </c>
      <c r="M109" s="250">
        <v>0</v>
      </c>
      <c r="N109" s="84">
        <f t="shared" si="38"/>
        <v>8937600000</v>
      </c>
      <c r="P109" t="s">
        <v>25</v>
      </c>
      <c r="Q109" s="167">
        <v>497886</v>
      </c>
      <c r="R109" s="210" t="s">
        <v>5301</v>
      </c>
      <c r="S109" s="210">
        <f>S108-4</f>
        <v>197</v>
      </c>
      <c r="T109" s="210" t="s">
        <v>5302</v>
      </c>
      <c r="U109" s="210">
        <v>6980.8</v>
      </c>
      <c r="V109" s="97">
        <f t="shared" si="34"/>
        <v>8141.8696065753438</v>
      </c>
      <c r="W109" s="32">
        <f t="shared" si="39"/>
        <v>8304.7069987068517</v>
      </c>
      <c r="X109" s="32">
        <f t="shared" si="40"/>
        <v>8467.5443908383586</v>
      </c>
      <c r="AD109" s="94"/>
      <c r="AE109"/>
      <c r="AF109"/>
      <c r="AH109" s="97">
        <v>89</v>
      </c>
      <c r="AI109" s="111" t="s">
        <v>4529</v>
      </c>
      <c r="AJ109" s="111">
        <v>10000000</v>
      </c>
      <c r="AK109" s="97">
        <v>4</v>
      </c>
      <c r="AL109" s="97">
        <f t="shared" si="33"/>
        <v>598</v>
      </c>
      <c r="AM109" s="115">
        <f t="shared" si="10"/>
        <v>5980000000</v>
      </c>
      <c r="AN109" s="97"/>
    </row>
    <row r="110" spans="4:47">
      <c r="F110" s="210"/>
      <c r="G110" s="210"/>
      <c r="H110" s="210"/>
      <c r="I110" s="210"/>
      <c r="J110" s="32" t="s">
        <v>4693</v>
      </c>
      <c r="K110" s="210"/>
      <c r="L110" s="1"/>
      <c r="M110" s="1"/>
      <c r="N110" s="111">
        <f>20000000-L42</f>
        <v>52000000</v>
      </c>
      <c r="O110" t="s">
        <v>25</v>
      </c>
      <c r="P110" t="s">
        <v>25</v>
      </c>
      <c r="Q110" s="167">
        <v>4160802</v>
      </c>
      <c r="R110" s="210" t="s">
        <v>983</v>
      </c>
      <c r="S110" s="210">
        <f>S109-2</f>
        <v>195</v>
      </c>
      <c r="T110" s="210" t="s">
        <v>5310</v>
      </c>
      <c r="U110" s="210">
        <v>7092.5</v>
      </c>
      <c r="V110" s="97">
        <f t="shared" si="34"/>
        <v>8261.2662739726038</v>
      </c>
      <c r="W110" s="32">
        <f t="shared" si="39"/>
        <v>8426.4915994520561</v>
      </c>
      <c r="X110" s="32">
        <f t="shared" si="40"/>
        <v>8591.7169249315084</v>
      </c>
      <c r="AH110" s="97">
        <v>90</v>
      </c>
      <c r="AI110" s="111" t="s">
        <v>4531</v>
      </c>
      <c r="AJ110" s="111">
        <v>-5241937</v>
      </c>
      <c r="AK110" s="97">
        <v>0</v>
      </c>
      <c r="AL110" s="97">
        <f t="shared" si="33"/>
        <v>594</v>
      </c>
      <c r="AM110" s="115">
        <f t="shared" si="10"/>
        <v>-3113710578</v>
      </c>
      <c r="AN110" s="97"/>
    </row>
    <row r="111" spans="4:47">
      <c r="F111" s="197"/>
      <c r="G111" s="197"/>
      <c r="H111" s="197"/>
      <c r="I111" s="197"/>
      <c r="J111" s="211" t="s">
        <v>5017</v>
      </c>
      <c r="K111" s="197">
        <f>SUM(K104:K109)</f>
        <v>1042</v>
      </c>
      <c r="L111" s="212"/>
      <c r="M111" s="212"/>
      <c r="N111" s="181"/>
      <c r="Q111" s="167">
        <v>5397012</v>
      </c>
      <c r="R111" s="210" t="s">
        <v>5311</v>
      </c>
      <c r="S111" s="210">
        <f>S110-1</f>
        <v>194</v>
      </c>
      <c r="T111" s="210" t="s">
        <v>5326</v>
      </c>
      <c r="U111" s="210">
        <v>6923.5</v>
      </c>
      <c r="V111" s="97">
        <f t="shared" si="34"/>
        <v>8059.1057479452056</v>
      </c>
      <c r="W111" s="32">
        <f t="shared" si="39"/>
        <v>8220.2878629041097</v>
      </c>
      <c r="X111" s="32">
        <f t="shared" si="40"/>
        <v>8381.4699778630147</v>
      </c>
      <c r="AH111" s="97">
        <v>91</v>
      </c>
      <c r="AI111" s="111" t="s">
        <v>4531</v>
      </c>
      <c r="AJ111" s="111">
        <v>21900000</v>
      </c>
      <c r="AK111" s="97">
        <v>2</v>
      </c>
      <c r="AL111" s="97">
        <f t="shared" si="33"/>
        <v>594</v>
      </c>
      <c r="AM111" s="115">
        <f t="shared" si="10"/>
        <v>13008600000</v>
      </c>
      <c r="AN111" s="97"/>
      <c r="AP111" t="s">
        <v>25</v>
      </c>
      <c r="AU111"/>
    </row>
    <row r="112" spans="4:47">
      <c r="F112" s="210"/>
      <c r="G112" s="210"/>
      <c r="H112" s="210" t="s">
        <v>25</v>
      </c>
      <c r="I112" s="210"/>
      <c r="J112" s="32"/>
      <c r="K112" s="210">
        <v>0</v>
      </c>
      <c r="L112" s="39">
        <f>10*P51</f>
        <v>11200000</v>
      </c>
      <c r="M112" s="1">
        <f>K112*L112</f>
        <v>0</v>
      </c>
      <c r="N112" s="111">
        <f>SUM(N104:N110)-M112</f>
        <v>2889506648</v>
      </c>
      <c r="P112" s="112"/>
      <c r="Q112" s="167">
        <v>6908862</v>
      </c>
      <c r="R112" s="210" t="s">
        <v>5324</v>
      </c>
      <c r="S112" s="210">
        <f>S111-11</f>
        <v>183</v>
      </c>
      <c r="T112" s="210" t="s">
        <v>5333</v>
      </c>
      <c r="U112" s="210">
        <v>7301.1</v>
      </c>
      <c r="V112" s="97">
        <f t="shared" si="34"/>
        <v>8437.0311419178088</v>
      </c>
      <c r="W112" s="32">
        <f t="shared" ref="W112:W117" si="41">V112*(1+$W$19/100)</f>
        <v>8605.7717647561658</v>
      </c>
      <c r="X112" s="32">
        <f t="shared" ref="X112:X117" si="42">V112*(1+$X$19/100)</f>
        <v>8774.512387594521</v>
      </c>
      <c r="AH112" s="97">
        <v>92</v>
      </c>
      <c r="AI112" s="111" t="s">
        <v>4538</v>
      </c>
      <c r="AJ112" s="111">
        <v>-15000000</v>
      </c>
      <c r="AK112" s="97">
        <v>0</v>
      </c>
      <c r="AL112" s="97">
        <f t="shared" si="33"/>
        <v>592</v>
      </c>
      <c r="AM112" s="115">
        <f t="shared" si="10"/>
        <v>-8880000000</v>
      </c>
      <c r="AN112" s="97"/>
      <c r="AO112" t="s">
        <v>25</v>
      </c>
    </row>
    <row r="113" spans="6:46">
      <c r="F113" s="197"/>
      <c r="G113" s="197"/>
      <c r="H113" s="197"/>
      <c r="I113" s="197"/>
      <c r="J113" s="211"/>
      <c r="K113" s="237"/>
      <c r="L113" s="212" t="s">
        <v>4231</v>
      </c>
      <c r="M113" s="212" t="s">
        <v>4605</v>
      </c>
      <c r="N113" s="181" t="s">
        <v>4606</v>
      </c>
      <c r="P113" t="s">
        <v>25</v>
      </c>
      <c r="Q113" s="167">
        <v>36895962</v>
      </c>
      <c r="R113" s="210" t="s">
        <v>5334</v>
      </c>
      <c r="S113" s="210">
        <f>S112-1</f>
        <v>182</v>
      </c>
      <c r="T113" s="210" t="s">
        <v>5339</v>
      </c>
      <c r="U113" s="210">
        <v>7372.4</v>
      </c>
      <c r="V113" s="97">
        <f t="shared" si="34"/>
        <v>8513.7687101369866</v>
      </c>
      <c r="W113" s="32">
        <f t="shared" si="41"/>
        <v>8684.0440843397264</v>
      </c>
      <c r="X113" s="32">
        <f t="shared" si="42"/>
        <v>8854.3194585424662</v>
      </c>
      <c r="AH113" s="97">
        <v>93</v>
      </c>
      <c r="AI113" s="111" t="s">
        <v>4538</v>
      </c>
      <c r="AJ113" s="111">
        <v>3000000</v>
      </c>
      <c r="AK113" s="97">
        <v>1</v>
      </c>
      <c r="AL113" s="97">
        <f t="shared" si="33"/>
        <v>592</v>
      </c>
      <c r="AM113" s="115">
        <f t="shared" si="10"/>
        <v>1776000000</v>
      </c>
      <c r="AN113" s="97"/>
    </row>
    <row r="114" spans="6:46">
      <c r="F114" s="210"/>
      <c r="G114" s="210"/>
      <c r="H114" s="210"/>
      <c r="I114" s="210"/>
      <c r="J114" s="32" t="s">
        <v>4612</v>
      </c>
      <c r="K114" s="210"/>
      <c r="L114" s="1"/>
      <c r="M114" s="1"/>
      <c r="N114" s="111"/>
      <c r="Q114" s="167">
        <v>25972060</v>
      </c>
      <c r="R114" s="210" t="s">
        <v>5348</v>
      </c>
      <c r="S114" s="210">
        <f>S113-3</f>
        <v>179</v>
      </c>
      <c r="T114" s="210" t="s">
        <v>5443</v>
      </c>
      <c r="U114" s="210">
        <v>7557.6</v>
      </c>
      <c r="V114" s="97">
        <f t="shared" si="34"/>
        <v>8710.2478816438379</v>
      </c>
      <c r="W114" s="32">
        <f t="shared" si="41"/>
        <v>8884.4528392767152</v>
      </c>
      <c r="X114" s="32">
        <f t="shared" si="42"/>
        <v>9058.6577969095924</v>
      </c>
      <c r="AH114" s="97">
        <v>94</v>
      </c>
      <c r="AI114" s="111" t="s">
        <v>4541</v>
      </c>
      <c r="AJ114" s="111">
        <v>-2103736</v>
      </c>
      <c r="AK114" s="97">
        <v>0</v>
      </c>
      <c r="AL114" s="97">
        <f t="shared" si="33"/>
        <v>591</v>
      </c>
      <c r="AM114" s="115">
        <f t="shared" si="10"/>
        <v>-1243307976</v>
      </c>
      <c r="AN114" s="97"/>
    </row>
    <row r="115" spans="6:46">
      <c r="M115" t="s">
        <v>25</v>
      </c>
      <c r="Q115" s="167">
        <v>29717771</v>
      </c>
      <c r="R115" s="210" t="s">
        <v>5444</v>
      </c>
      <c r="S115" s="210">
        <f>S114-40</f>
        <v>139</v>
      </c>
      <c r="T115" s="210" t="s">
        <v>5446</v>
      </c>
      <c r="U115" s="210">
        <v>7159.6</v>
      </c>
      <c r="V115" s="97">
        <f t="shared" si="34"/>
        <v>8031.8550487671246</v>
      </c>
      <c r="W115" s="32">
        <f t="shared" si="41"/>
        <v>8192.4921497424675</v>
      </c>
      <c r="X115" s="32">
        <f t="shared" si="42"/>
        <v>8353.1292507178096</v>
      </c>
      <c r="AH115" s="97">
        <v>95</v>
      </c>
      <c r="AI115" s="111" t="s">
        <v>4541</v>
      </c>
      <c r="AJ115" s="111">
        <v>220000</v>
      </c>
      <c r="AK115" s="97">
        <v>3</v>
      </c>
      <c r="AL115" s="97">
        <f t="shared" si="33"/>
        <v>591</v>
      </c>
      <c r="AM115" s="115">
        <f t="shared" si="10"/>
        <v>130020000</v>
      </c>
      <c r="AN115" s="97"/>
      <c r="AR115" s="94"/>
      <c r="AS115" s="94"/>
      <c r="AT115"/>
    </row>
    <row r="116" spans="6:46">
      <c r="I116" t="s">
        <v>25</v>
      </c>
      <c r="P116" s="112"/>
      <c r="Q116" s="167">
        <v>7374741</v>
      </c>
      <c r="R116" s="210" t="s">
        <v>5451</v>
      </c>
      <c r="S116" s="210">
        <f>S115-8</f>
        <v>131</v>
      </c>
      <c r="T116" s="210" t="s">
        <v>5452</v>
      </c>
      <c r="U116" s="210">
        <v>7601</v>
      </c>
      <c r="V116" s="97">
        <f t="shared" si="34"/>
        <v>8480.3836383561666</v>
      </c>
      <c r="W116" s="32">
        <f t="shared" si="41"/>
        <v>8649.9913111232909</v>
      </c>
      <c r="X116" s="32">
        <f t="shared" si="42"/>
        <v>8819.5989838904134</v>
      </c>
      <c r="AH116" s="97">
        <v>96</v>
      </c>
      <c r="AI116" s="111" t="s">
        <v>4550</v>
      </c>
      <c r="AJ116" s="111">
        <v>4000000</v>
      </c>
      <c r="AK116" s="97">
        <v>1</v>
      </c>
      <c r="AL116" s="97">
        <f t="shared" si="33"/>
        <v>588</v>
      </c>
      <c r="AM116" s="115">
        <f t="shared" si="10"/>
        <v>2352000000</v>
      </c>
      <c r="AN116" s="97"/>
    </row>
    <row r="117" spans="6:46">
      <c r="J117" s="112"/>
      <c r="K117" s="166" t="s">
        <v>4493</v>
      </c>
      <c r="L117" s="166" t="s">
        <v>4494</v>
      </c>
      <c r="M117" s="166" t="s">
        <v>4397</v>
      </c>
      <c r="N117" s="54" t="s">
        <v>190</v>
      </c>
      <c r="Q117" s="167">
        <v>2612032</v>
      </c>
      <c r="R117" s="210" t="s">
        <v>5456</v>
      </c>
      <c r="S117" s="210">
        <f>S116-4</f>
        <v>127</v>
      </c>
      <c r="T117" s="210" t="s">
        <v>5457</v>
      </c>
      <c r="U117" s="210">
        <v>8000.7</v>
      </c>
      <c r="V117" s="97">
        <f t="shared" si="34"/>
        <v>8901.7760975342462</v>
      </c>
      <c r="W117" s="32">
        <f t="shared" si="41"/>
        <v>9079.8116194849317</v>
      </c>
      <c r="X117" s="32">
        <f t="shared" si="42"/>
        <v>9257.8471414356172</v>
      </c>
      <c r="AH117" s="97">
        <v>97</v>
      </c>
      <c r="AI117" s="111" t="s">
        <v>4554</v>
      </c>
      <c r="AJ117" s="111">
        <v>-9000000</v>
      </c>
      <c r="AK117" s="97">
        <v>0</v>
      </c>
      <c r="AL117" s="97">
        <f t="shared" si="33"/>
        <v>587</v>
      </c>
      <c r="AM117" s="115">
        <f t="shared" si="10"/>
        <v>-5283000000</v>
      </c>
      <c r="AN117" s="97"/>
      <c r="AP117" t="s">
        <v>25</v>
      </c>
    </row>
    <row r="118" spans="6:46">
      <c r="H118" s="112"/>
      <c r="K118" s="166" t="s">
        <v>4221</v>
      </c>
      <c r="L118" s="167">
        <v>1100000</v>
      </c>
      <c r="M118" s="167">
        <v>1637000</v>
      </c>
      <c r="N118" s="166">
        <f t="shared" ref="N118:N126" si="43">(M118-L118)*100/L118</f>
        <v>48.81818181818182</v>
      </c>
      <c r="Q118" s="167">
        <v>6180139</v>
      </c>
      <c r="R118" s="210" t="s">
        <v>5460</v>
      </c>
      <c r="S118" s="210">
        <f>S117-2</f>
        <v>125</v>
      </c>
      <c r="T118" s="210" t="s">
        <v>5462</v>
      </c>
      <c r="U118" s="210">
        <v>8485.7999999999993</v>
      </c>
      <c r="V118" s="97">
        <f t="shared" si="34"/>
        <v>9428.4910093150684</v>
      </c>
      <c r="W118" s="32">
        <f t="shared" ref="W118:W123" si="44">V118*(1+$W$19/100)</f>
        <v>9617.0608295013699</v>
      </c>
      <c r="X118" s="32">
        <f t="shared" ref="X118:X123" si="45">V118*(1+$X$19/100)</f>
        <v>9805.6306496876714</v>
      </c>
      <c r="AH118" s="97">
        <v>98</v>
      </c>
      <c r="AI118" s="111" t="s">
        <v>4554</v>
      </c>
      <c r="AJ118" s="111">
        <v>13900000</v>
      </c>
      <c r="AK118" s="97">
        <v>2</v>
      </c>
      <c r="AL118" s="97">
        <f t="shared" si="33"/>
        <v>587</v>
      </c>
      <c r="AM118" s="115">
        <f t="shared" si="10"/>
        <v>8159300000</v>
      </c>
      <c r="AN118" s="97"/>
    </row>
    <row r="119" spans="6:46">
      <c r="F119" s="94"/>
      <c r="G119" s="210"/>
      <c r="H119" s="210" t="s">
        <v>5664</v>
      </c>
      <c r="I119" s="213" t="s">
        <v>5440</v>
      </c>
      <c r="J119" s="1">
        <v>79922415</v>
      </c>
      <c r="K119" s="5" t="s">
        <v>4488</v>
      </c>
      <c r="L119" s="167">
        <v>1100000</v>
      </c>
      <c r="M119" s="167">
        <v>4748000</v>
      </c>
      <c r="N119" s="166">
        <f t="shared" si="43"/>
        <v>331.63636363636363</v>
      </c>
      <c r="Q119" s="167">
        <v>17185077</v>
      </c>
      <c r="R119" s="210" t="s">
        <v>5461</v>
      </c>
      <c r="S119" s="210">
        <f>S118-1</f>
        <v>124</v>
      </c>
      <c r="T119" s="210" t="s">
        <v>5466</v>
      </c>
      <c r="U119" s="210">
        <v>8377.7999999999993</v>
      </c>
      <c r="V119" s="97">
        <f t="shared" si="34"/>
        <v>9302.0664394520554</v>
      </c>
      <c r="W119" s="32">
        <f t="shared" si="44"/>
        <v>9488.107768241096</v>
      </c>
      <c r="X119" s="32">
        <f t="shared" si="45"/>
        <v>9674.1490970301384</v>
      </c>
      <c r="AH119" s="97">
        <v>99</v>
      </c>
      <c r="AI119" s="111" t="s">
        <v>4559</v>
      </c>
      <c r="AJ119" s="111">
        <v>-8127577</v>
      </c>
      <c r="AK119" s="97">
        <v>1</v>
      </c>
      <c r="AL119" s="97">
        <f t="shared" si="33"/>
        <v>585</v>
      </c>
      <c r="AM119" s="115">
        <f t="shared" si="10"/>
        <v>-4754632545</v>
      </c>
      <c r="AN119" s="97"/>
      <c r="AO119" t="s">
        <v>25</v>
      </c>
      <c r="AQ119" t="s">
        <v>25</v>
      </c>
    </row>
    <row r="120" spans="6:46">
      <c r="F120" s="94"/>
      <c r="G120" s="210" t="s">
        <v>926</v>
      </c>
      <c r="H120" s="210" t="s">
        <v>4493</v>
      </c>
      <c r="I120" s="210" t="s">
        <v>922</v>
      </c>
      <c r="J120" s="210" t="s">
        <v>4691</v>
      </c>
      <c r="K120" s="5" t="s">
        <v>4489</v>
      </c>
      <c r="L120" s="167">
        <v>1100000</v>
      </c>
      <c r="M120" s="167">
        <v>5137000</v>
      </c>
      <c r="N120" s="166">
        <f t="shared" si="43"/>
        <v>367</v>
      </c>
      <c r="Q120" s="167">
        <v>83684098</v>
      </c>
      <c r="R120" s="210" t="s">
        <v>5464</v>
      </c>
      <c r="S120" s="210">
        <f>S119-1</f>
        <v>123</v>
      </c>
      <c r="T120" s="210" t="s">
        <v>5467</v>
      </c>
      <c r="U120" s="210">
        <v>8337.2999999999993</v>
      </c>
      <c r="V120" s="97">
        <f t="shared" si="34"/>
        <v>9250.7026093150689</v>
      </c>
      <c r="W120" s="32">
        <f t="shared" si="44"/>
        <v>9435.7166615013703</v>
      </c>
      <c r="X120" s="32">
        <f t="shared" si="45"/>
        <v>9620.7307136876716</v>
      </c>
      <c r="AH120" s="97">
        <v>100</v>
      </c>
      <c r="AI120" s="111" t="s">
        <v>3675</v>
      </c>
      <c r="AJ120" s="111">
        <v>15792549</v>
      </c>
      <c r="AK120" s="97">
        <v>3</v>
      </c>
      <c r="AL120" s="97">
        <f t="shared" si="33"/>
        <v>584</v>
      </c>
      <c r="AM120" s="115">
        <f t="shared" si="10"/>
        <v>9222848616</v>
      </c>
      <c r="AN120" s="97"/>
      <c r="AO120" t="s">
        <v>25</v>
      </c>
      <c r="AP120" t="s">
        <v>25</v>
      </c>
    </row>
    <row r="121" spans="6:46">
      <c r="F121" s="94"/>
      <c r="G121" s="1">
        <f>P49</f>
        <v>1730</v>
      </c>
      <c r="H121" s="210" t="s">
        <v>4221</v>
      </c>
      <c r="I121" s="210">
        <v>241029</v>
      </c>
      <c r="J121" s="1">
        <f>I121*G121</f>
        <v>416980170</v>
      </c>
      <c r="K121" s="19" t="s">
        <v>4359</v>
      </c>
      <c r="L121" s="167">
        <v>1100000</v>
      </c>
      <c r="M121" s="167">
        <v>4300000</v>
      </c>
      <c r="N121" s="166">
        <f t="shared" si="43"/>
        <v>290.90909090909093</v>
      </c>
      <c r="Q121" s="167">
        <v>1131325.9005020538</v>
      </c>
      <c r="R121" s="210" t="s">
        <v>5472</v>
      </c>
      <c r="S121" s="210">
        <f>S120-3</f>
        <v>120</v>
      </c>
      <c r="T121" s="210" t="s">
        <v>5606</v>
      </c>
      <c r="U121" s="210">
        <v>8280.2000000000007</v>
      </c>
      <c r="V121" s="97">
        <f t="shared" si="34"/>
        <v>9168.2911495890421</v>
      </c>
      <c r="W121" s="32">
        <f t="shared" si="44"/>
        <v>9351.656972580824</v>
      </c>
      <c r="X121" s="32">
        <f t="shared" si="45"/>
        <v>9535.0227955726041</v>
      </c>
      <c r="AH121" s="97">
        <v>101</v>
      </c>
      <c r="AI121" s="111" t="s">
        <v>4563</v>
      </c>
      <c r="AJ121" s="111">
        <v>8800000</v>
      </c>
      <c r="AK121" s="97">
        <v>0</v>
      </c>
      <c r="AL121" s="97">
        <f t="shared" ref="AL121:AL126" si="46">AL122+AK121</f>
        <v>581</v>
      </c>
      <c r="AM121" s="115">
        <f t="shared" ref="AM121:AM144" si="47">AJ121*AL121</f>
        <v>5112800000</v>
      </c>
      <c r="AN121" s="97"/>
      <c r="AP121" t="s">
        <v>25</v>
      </c>
    </row>
    <row r="122" spans="6:46" ht="45">
      <c r="F122" s="94"/>
      <c r="G122" s="1">
        <f>P46</f>
        <v>14400</v>
      </c>
      <c r="H122" s="210" t="s">
        <v>4363</v>
      </c>
      <c r="I122" s="210">
        <v>2535</v>
      </c>
      <c r="J122" s="1">
        <f>I122*G122</f>
        <v>36504000</v>
      </c>
      <c r="K122" s="5" t="s">
        <v>4376</v>
      </c>
      <c r="L122" s="167">
        <v>1100000</v>
      </c>
      <c r="M122" s="167">
        <v>3191000</v>
      </c>
      <c r="N122" s="166">
        <f t="shared" si="43"/>
        <v>190.09090909090909</v>
      </c>
      <c r="Q122" s="167">
        <v>51910020</v>
      </c>
      <c r="R122" s="210" t="s">
        <v>5472</v>
      </c>
      <c r="S122" s="210">
        <f>S121</f>
        <v>120</v>
      </c>
      <c r="T122" s="210" t="s">
        <v>5473</v>
      </c>
      <c r="U122" s="210">
        <v>8758.5</v>
      </c>
      <c r="V122" s="97">
        <f t="shared" si="34"/>
        <v>9697.8911178082199</v>
      </c>
      <c r="W122" s="32">
        <f t="shared" si="44"/>
        <v>9891.8489401643837</v>
      </c>
      <c r="X122" s="32">
        <f t="shared" si="45"/>
        <v>10085.806762520549</v>
      </c>
      <c r="Y122" t="s">
        <v>25</v>
      </c>
      <c r="AH122" s="119">
        <v>102</v>
      </c>
      <c r="AI122" s="77" t="s">
        <v>4563</v>
      </c>
      <c r="AJ122" s="77">
        <v>13071612</v>
      </c>
      <c r="AK122" s="119">
        <v>1</v>
      </c>
      <c r="AL122" s="119">
        <f t="shared" si="46"/>
        <v>581</v>
      </c>
      <c r="AM122" s="77">
        <f t="shared" si="47"/>
        <v>7594606572</v>
      </c>
      <c r="AN122" s="202" t="s">
        <v>4564</v>
      </c>
    </row>
    <row r="123" spans="6:46">
      <c r="F123" s="94"/>
      <c r="G123" s="1"/>
      <c r="H123" s="210" t="s">
        <v>25</v>
      </c>
      <c r="I123" s="210"/>
      <c r="J123" s="1"/>
      <c r="K123" s="5" t="s">
        <v>4490</v>
      </c>
      <c r="L123" s="167">
        <v>1100000</v>
      </c>
      <c r="M123" s="167">
        <v>5623000</v>
      </c>
      <c r="N123" s="166">
        <f t="shared" si="43"/>
        <v>411.18181818181819</v>
      </c>
      <c r="Q123" s="167">
        <v>15223196.506844705</v>
      </c>
      <c r="R123" s="210" t="s">
        <v>5476</v>
      </c>
      <c r="S123" s="210">
        <f>S122-1</f>
        <v>119</v>
      </c>
      <c r="T123" s="210" t="s">
        <v>5521</v>
      </c>
      <c r="U123" s="210">
        <v>9036.6</v>
      </c>
      <c r="V123" s="97">
        <f t="shared" si="34"/>
        <v>9998.8864898630145</v>
      </c>
      <c r="W123" s="32">
        <f t="shared" si="44"/>
        <v>10198.864219660274</v>
      </c>
      <c r="X123" s="32">
        <f t="shared" si="45"/>
        <v>10398.841949457536</v>
      </c>
      <c r="Y123" t="s">
        <v>25</v>
      </c>
      <c r="AH123" s="87">
        <v>103</v>
      </c>
      <c r="AI123" s="88" t="s">
        <v>4567</v>
      </c>
      <c r="AJ123" s="88">
        <v>16727037</v>
      </c>
      <c r="AK123" s="87">
        <v>0</v>
      </c>
      <c r="AL123" s="87">
        <f t="shared" si="46"/>
        <v>580</v>
      </c>
      <c r="AM123" s="88">
        <f t="shared" si="47"/>
        <v>9701681460</v>
      </c>
      <c r="AN123" s="87" t="s">
        <v>4574</v>
      </c>
    </row>
    <row r="124" spans="6:46">
      <c r="F124" s="94"/>
      <c r="G124" s="210"/>
      <c r="H124" s="210"/>
      <c r="I124" s="186">
        <f>J124-J119</f>
        <v>373561755</v>
      </c>
      <c r="J124" s="1">
        <f>SUM(J121:J123)</f>
        <v>453484170</v>
      </c>
      <c r="K124" s="19" t="s">
        <v>4363</v>
      </c>
      <c r="L124" s="167">
        <v>1100000</v>
      </c>
      <c r="M124" s="167">
        <v>7728000</v>
      </c>
      <c r="N124" s="166">
        <f t="shared" si="43"/>
        <v>602.5454545454545</v>
      </c>
      <c r="Q124" s="167">
        <v>293172.34893992933</v>
      </c>
      <c r="R124" s="210" t="s">
        <v>5522</v>
      </c>
      <c r="S124" s="210">
        <f>S123-31</f>
        <v>88</v>
      </c>
      <c r="T124" s="210" t="s">
        <v>5586</v>
      </c>
      <c r="U124" s="210">
        <v>11673.9</v>
      </c>
      <c r="V124" s="97">
        <f t="shared" si="34"/>
        <v>12639.411488219179</v>
      </c>
      <c r="W124" s="32">
        <f t="shared" ref="W124" si="48">V124*(1+$W$19/100)</f>
        <v>12892.199717983563</v>
      </c>
      <c r="X124" s="32">
        <f t="shared" ref="X124" si="49">V124*(1+$X$19/100)</f>
        <v>13144.987947747946</v>
      </c>
      <c r="Y124" s="120" t="s">
        <v>25</v>
      </c>
      <c r="AH124" s="97">
        <v>104</v>
      </c>
      <c r="AI124" s="111" t="s">
        <v>4567</v>
      </c>
      <c r="AJ124" s="111">
        <v>12000000</v>
      </c>
      <c r="AK124" s="97">
        <v>1</v>
      </c>
      <c r="AL124" s="97">
        <f t="shared" si="46"/>
        <v>580</v>
      </c>
      <c r="AM124" s="115">
        <f t="shared" si="47"/>
        <v>6960000000</v>
      </c>
      <c r="AN124" s="97" t="s">
        <v>4575</v>
      </c>
    </row>
    <row r="125" spans="6:46">
      <c r="F125" s="94"/>
      <c r="G125" s="210"/>
      <c r="H125" s="210"/>
      <c r="I125" s="210" t="s">
        <v>902</v>
      </c>
      <c r="J125" s="210" t="s">
        <v>6</v>
      </c>
      <c r="K125" s="5" t="s">
        <v>4492</v>
      </c>
      <c r="L125" s="167">
        <v>1100000</v>
      </c>
      <c r="M125" s="167">
        <v>2904000</v>
      </c>
      <c r="N125" s="166">
        <f t="shared" si="43"/>
        <v>164</v>
      </c>
      <c r="Q125" s="167">
        <v>69341029</v>
      </c>
      <c r="R125" s="210" t="s">
        <v>5585</v>
      </c>
      <c r="S125" s="210">
        <f>S124-32</f>
        <v>56</v>
      </c>
      <c r="T125" s="210" t="s">
        <v>5599</v>
      </c>
      <c r="U125" s="210">
        <v>16569.3</v>
      </c>
      <c r="V125" s="97">
        <f t="shared" si="34"/>
        <v>17532.952329863016</v>
      </c>
      <c r="W125" s="32">
        <f t="shared" ref="W125:W131" si="50">V125*(1+$W$19/100)</f>
        <v>17883.611376460278</v>
      </c>
      <c r="X125" s="32">
        <f t="shared" ref="X125:X131" si="51">V125*(1+$X$19/100)</f>
        <v>18234.270423057536</v>
      </c>
      <c r="Z125" t="s">
        <v>25</v>
      </c>
      <c r="AH125" s="87">
        <v>105</v>
      </c>
      <c r="AI125" s="88" t="s">
        <v>4504</v>
      </c>
      <c r="AJ125" s="88">
        <v>88697667</v>
      </c>
      <c r="AK125" s="87">
        <v>1</v>
      </c>
      <c r="AL125" s="87">
        <f t="shared" si="46"/>
        <v>579</v>
      </c>
      <c r="AM125" s="88">
        <f t="shared" si="47"/>
        <v>51355949193</v>
      </c>
      <c r="AN125" s="87" t="s">
        <v>4576</v>
      </c>
      <c r="AP125" t="s">
        <v>25</v>
      </c>
    </row>
    <row r="126" spans="6:46">
      <c r="G126" s="41"/>
      <c r="H126" s="41"/>
      <c r="I126" s="41"/>
      <c r="J126" s="41"/>
      <c r="K126" s="255" t="s">
        <v>1070</v>
      </c>
      <c r="L126" s="167">
        <v>1100000</v>
      </c>
      <c r="M126" s="167">
        <v>3400000</v>
      </c>
      <c r="N126" s="166">
        <f t="shared" si="43"/>
        <v>209.09090909090909</v>
      </c>
      <c r="Q126" s="167">
        <v>681345143</v>
      </c>
      <c r="R126" s="210" t="s">
        <v>5601</v>
      </c>
      <c r="S126" s="210">
        <f>S125-6</f>
        <v>50</v>
      </c>
      <c r="T126" s="210" t="s">
        <v>5603</v>
      </c>
      <c r="U126" s="210">
        <v>17576</v>
      </c>
      <c r="V126" s="97">
        <f t="shared" si="34"/>
        <v>18517.303145205482</v>
      </c>
      <c r="W126" s="32">
        <f t="shared" si="50"/>
        <v>18887.649208109593</v>
      </c>
      <c r="X126" s="32">
        <f t="shared" si="51"/>
        <v>19257.9952710137</v>
      </c>
      <c r="Y126" t="s">
        <v>25</v>
      </c>
      <c r="AH126" s="97">
        <v>106</v>
      </c>
      <c r="AI126" s="111" t="s">
        <v>4507</v>
      </c>
      <c r="AJ126" s="111">
        <v>101000</v>
      </c>
      <c r="AK126" s="97">
        <v>0</v>
      </c>
      <c r="AL126" s="97">
        <f t="shared" si="46"/>
        <v>578</v>
      </c>
      <c r="AM126" s="115">
        <f t="shared" si="47"/>
        <v>58378000</v>
      </c>
      <c r="AN126" s="97"/>
      <c r="AQ126" t="s">
        <v>25</v>
      </c>
    </row>
    <row r="127" spans="6:46">
      <c r="G127" s="210" t="s">
        <v>25</v>
      </c>
      <c r="H127" s="210" t="s">
        <v>5665</v>
      </c>
      <c r="I127" s="213" t="s">
        <v>5562</v>
      </c>
      <c r="J127" s="1">
        <v>50000000</v>
      </c>
      <c r="K127" s="236" t="s">
        <v>5417</v>
      </c>
      <c r="Q127" s="167">
        <v>506650769</v>
      </c>
      <c r="R127" s="210" t="s">
        <v>5605</v>
      </c>
      <c r="S127" s="210">
        <f>S126-1</f>
        <v>49</v>
      </c>
      <c r="T127" s="210" t="s">
        <v>5613</v>
      </c>
      <c r="U127" s="210">
        <v>17615.900000000001</v>
      </c>
      <c r="V127" s="97">
        <f t="shared" si="34"/>
        <v>18545.826469041098</v>
      </c>
      <c r="W127" s="32">
        <f t="shared" si="50"/>
        <v>18916.74299842192</v>
      </c>
      <c r="X127" s="32">
        <f t="shared" si="51"/>
        <v>19287.659527802742</v>
      </c>
      <c r="AH127" s="147">
        <v>107</v>
      </c>
      <c r="AI127" s="186" t="s">
        <v>4573</v>
      </c>
      <c r="AJ127" s="186">
        <v>-48200</v>
      </c>
      <c r="AK127" s="147">
        <v>0</v>
      </c>
      <c r="AL127" s="147">
        <f t="shared" ref="AL127:AL177" si="52">AL128+AK127</f>
        <v>578</v>
      </c>
      <c r="AM127" s="186">
        <f t="shared" si="47"/>
        <v>-27859600</v>
      </c>
      <c r="AN127" s="147" t="s">
        <v>4581</v>
      </c>
    </row>
    <row r="128" spans="6:46">
      <c r="G128" s="210">
        <f>P46</f>
        <v>14400</v>
      </c>
      <c r="H128" s="210" t="s">
        <v>4363</v>
      </c>
      <c r="I128" s="210">
        <v>4386</v>
      </c>
      <c r="J128" s="111">
        <f>G128*I128</f>
        <v>63158400</v>
      </c>
      <c r="K128" s="236" t="s">
        <v>4521</v>
      </c>
      <c r="Q128" s="167">
        <v>169150198</v>
      </c>
      <c r="R128" s="210" t="s">
        <v>5616</v>
      </c>
      <c r="S128" s="210">
        <f>S127-6</f>
        <v>43</v>
      </c>
      <c r="T128" s="210" t="s">
        <v>5618</v>
      </c>
      <c r="U128" s="210">
        <v>17019</v>
      </c>
      <c r="V128" s="97">
        <f t="shared" si="34"/>
        <v>17839.082663013702</v>
      </c>
      <c r="W128" s="32">
        <f t="shared" si="50"/>
        <v>18195.864316273975</v>
      </c>
      <c r="X128" s="32">
        <f t="shared" si="51"/>
        <v>18552.645969534249</v>
      </c>
      <c r="AH128" s="87">
        <v>108</v>
      </c>
      <c r="AI128" s="88" t="s">
        <v>4573</v>
      </c>
      <c r="AJ128" s="88">
        <v>39327293</v>
      </c>
      <c r="AK128" s="87">
        <v>4</v>
      </c>
      <c r="AL128" s="147">
        <f t="shared" si="52"/>
        <v>578</v>
      </c>
      <c r="AM128" s="186">
        <f t="shared" si="47"/>
        <v>22731175354</v>
      </c>
      <c r="AN128" s="87" t="s">
        <v>4582</v>
      </c>
    </row>
    <row r="129" spans="7:43">
      <c r="G129" s="210">
        <v>1</v>
      </c>
      <c r="H129" s="210" t="s">
        <v>5559</v>
      </c>
      <c r="I129" s="210">
        <v>654098</v>
      </c>
      <c r="J129" s="111">
        <f>G129*I129</f>
        <v>654098</v>
      </c>
      <c r="K129" s="236" t="s">
        <v>4522</v>
      </c>
      <c r="P129" t="s">
        <v>25</v>
      </c>
      <c r="Q129" s="167">
        <v>85850892.67430684</v>
      </c>
      <c r="R129" s="210" t="s">
        <v>5616</v>
      </c>
      <c r="S129" s="210">
        <f>S128</f>
        <v>43</v>
      </c>
      <c r="T129" s="210" t="s">
        <v>5626</v>
      </c>
      <c r="U129" s="210">
        <v>17491.400000000001</v>
      </c>
      <c r="V129" s="97">
        <f t="shared" si="34"/>
        <v>18334.245871780826</v>
      </c>
      <c r="W129" s="32">
        <f t="shared" si="50"/>
        <v>18700.930789216443</v>
      </c>
      <c r="X129" s="32">
        <f t="shared" si="51"/>
        <v>19067.615706652061</v>
      </c>
      <c r="Y129" t="s">
        <v>25</v>
      </c>
      <c r="Z129" t="s">
        <v>25</v>
      </c>
      <c r="AH129" s="87">
        <v>109</v>
      </c>
      <c r="AI129" s="88" t="s">
        <v>4596</v>
      </c>
      <c r="AJ129" s="88">
        <v>8749050</v>
      </c>
      <c r="AK129" s="87">
        <v>1</v>
      </c>
      <c r="AL129" s="87">
        <f t="shared" si="52"/>
        <v>574</v>
      </c>
      <c r="AM129" s="88">
        <f t="shared" si="47"/>
        <v>5021954700</v>
      </c>
      <c r="AN129" s="87" t="s">
        <v>4597</v>
      </c>
    </row>
    <row r="130" spans="7:43">
      <c r="G130" s="210"/>
      <c r="H130" s="210"/>
      <c r="I130" s="210"/>
      <c r="J130" s="111"/>
      <c r="Q130" s="167">
        <v>142461941</v>
      </c>
      <c r="R130" s="210" t="s">
        <v>5617</v>
      </c>
      <c r="S130" s="210">
        <f>S129-1</f>
        <v>42</v>
      </c>
      <c r="T130" s="210" t="s">
        <v>5619</v>
      </c>
      <c r="U130" s="210">
        <v>16875.400000000001</v>
      </c>
      <c r="V130" s="97">
        <f t="shared" si="34"/>
        <v>17675.617597808225</v>
      </c>
      <c r="W130" s="32">
        <f t="shared" si="50"/>
        <v>18029.129949764389</v>
      </c>
      <c r="X130" s="32">
        <f t="shared" si="51"/>
        <v>18382.642301720552</v>
      </c>
      <c r="Z130" t="s">
        <v>25</v>
      </c>
      <c r="AH130" s="97">
        <v>110</v>
      </c>
      <c r="AI130" s="111" t="s">
        <v>4598</v>
      </c>
      <c r="AJ130" s="111">
        <v>60000</v>
      </c>
      <c r="AK130" s="97">
        <v>1</v>
      </c>
      <c r="AL130" s="97">
        <f t="shared" si="52"/>
        <v>573</v>
      </c>
      <c r="AM130" s="115">
        <f t="shared" si="47"/>
        <v>34380000</v>
      </c>
      <c r="AN130" s="97" t="s">
        <v>4599</v>
      </c>
    </row>
    <row r="131" spans="7:43">
      <c r="G131" s="210"/>
      <c r="H131" s="210" t="s">
        <v>938</v>
      </c>
      <c r="I131" s="186">
        <f>J128+J129-J127</f>
        <v>13812498</v>
      </c>
      <c r="J131" s="210"/>
      <c r="Q131" s="167">
        <v>255063577.82333517</v>
      </c>
      <c r="R131" s="210" t="s">
        <v>5621</v>
      </c>
      <c r="S131" s="210">
        <f>S130-2</f>
        <v>40</v>
      </c>
      <c r="T131" s="210" t="s">
        <v>5754</v>
      </c>
      <c r="U131" s="210">
        <v>17851.5</v>
      </c>
      <c r="V131" s="97">
        <f t="shared" si="34"/>
        <v>18670.614854794523</v>
      </c>
      <c r="W131" s="32">
        <f t="shared" si="50"/>
        <v>19044.027151890416</v>
      </c>
      <c r="X131" s="32">
        <f t="shared" si="51"/>
        <v>19417.439448986304</v>
      </c>
      <c r="Y131" t="s">
        <v>25</v>
      </c>
      <c r="AH131" s="20">
        <v>111</v>
      </c>
      <c r="AI131" s="115" t="s">
        <v>4607</v>
      </c>
      <c r="AJ131" s="115">
        <v>4750000</v>
      </c>
      <c r="AK131" s="20">
        <v>0</v>
      </c>
      <c r="AL131" s="97">
        <f t="shared" si="52"/>
        <v>572</v>
      </c>
      <c r="AM131" s="115">
        <f t="shared" si="47"/>
        <v>2717000000</v>
      </c>
      <c r="AN131" s="20"/>
      <c r="AQ131" t="s">
        <v>25</v>
      </c>
    </row>
    <row r="132" spans="7:43">
      <c r="Q132" s="167">
        <v>49904983.031124078</v>
      </c>
      <c r="R132" s="210" t="s">
        <v>5627</v>
      </c>
      <c r="S132" s="210">
        <f>S131-4</f>
        <v>36</v>
      </c>
      <c r="T132" s="210" t="s">
        <v>5673</v>
      </c>
      <c r="U132" s="210">
        <v>19293</v>
      </c>
      <c r="V132" s="97">
        <f t="shared" si="34"/>
        <v>20119.05754520548</v>
      </c>
      <c r="W132" s="32">
        <f t="shared" ref="W132:W134" si="53">V132*(1+$W$19/100)</f>
        <v>20521.438696109592</v>
      </c>
      <c r="X132" s="32">
        <f t="shared" ref="X132:X134" si="54">V132*(1+$X$19/100)</f>
        <v>20923.819847013699</v>
      </c>
      <c r="Y132" t="s">
        <v>25</v>
      </c>
      <c r="AH132" s="87">
        <v>112</v>
      </c>
      <c r="AI132" s="88" t="s">
        <v>4607</v>
      </c>
      <c r="AJ132" s="88">
        <v>13101160</v>
      </c>
      <c r="AK132" s="87">
        <v>1</v>
      </c>
      <c r="AL132" s="87">
        <f t="shared" si="52"/>
        <v>572</v>
      </c>
      <c r="AM132" s="88">
        <f t="shared" si="47"/>
        <v>7493863520</v>
      </c>
      <c r="AN132" s="87" t="s">
        <v>4610</v>
      </c>
    </row>
    <row r="133" spans="7:43">
      <c r="Q133" s="167">
        <v>38464647</v>
      </c>
      <c r="R133" s="210" t="s">
        <v>5674</v>
      </c>
      <c r="S133" s="210">
        <f>S132-14</f>
        <v>22</v>
      </c>
      <c r="T133" s="210" t="s">
        <v>5675</v>
      </c>
      <c r="U133" s="210">
        <v>18705.099999999999</v>
      </c>
      <c r="V133" s="97">
        <f t="shared" si="34"/>
        <v>19305.098111780822</v>
      </c>
      <c r="W133" s="32">
        <f t="shared" si="53"/>
        <v>19691.20007401644</v>
      </c>
      <c r="X133" s="32">
        <f t="shared" si="54"/>
        <v>20077.302036252055</v>
      </c>
      <c r="AH133" s="20">
        <v>113</v>
      </c>
      <c r="AI133" s="115" t="s">
        <v>4609</v>
      </c>
      <c r="AJ133" s="115">
        <v>-980000</v>
      </c>
      <c r="AK133" s="20">
        <v>0</v>
      </c>
      <c r="AL133" s="97">
        <f t="shared" si="52"/>
        <v>571</v>
      </c>
      <c r="AM133" s="115">
        <f t="shared" si="47"/>
        <v>-559580000</v>
      </c>
      <c r="AN133" s="20"/>
    </row>
    <row r="134" spans="7:43">
      <c r="G134" s="210"/>
      <c r="H134" s="210" t="s">
        <v>5663</v>
      </c>
      <c r="I134" s="213" t="s">
        <v>5566</v>
      </c>
      <c r="J134" s="1">
        <v>36319143</v>
      </c>
      <c r="K134" t="s">
        <v>25</v>
      </c>
      <c r="Q134" s="167">
        <v>1626097521.2973506</v>
      </c>
      <c r="R134" s="210" t="s">
        <v>5676</v>
      </c>
      <c r="S134" s="210">
        <f>S133-1</f>
        <v>21</v>
      </c>
      <c r="T134" s="210" t="s">
        <v>5755</v>
      </c>
      <c r="U134" s="210">
        <v>18150.3</v>
      </c>
      <c r="V134" s="97">
        <f t="shared" si="34"/>
        <v>18718.578433972601</v>
      </c>
      <c r="W134" s="32">
        <f t="shared" si="53"/>
        <v>19092.950002652055</v>
      </c>
      <c r="X134" s="32">
        <f t="shared" si="54"/>
        <v>19467.321571331508</v>
      </c>
      <c r="Y134" t="s">
        <v>25</v>
      </c>
      <c r="AH134" s="87">
        <v>114</v>
      </c>
      <c r="AI134" s="88" t="s">
        <v>4609</v>
      </c>
      <c r="AJ134" s="88">
        <v>13301790</v>
      </c>
      <c r="AK134" s="87">
        <v>0</v>
      </c>
      <c r="AL134" s="87">
        <f t="shared" si="52"/>
        <v>571</v>
      </c>
      <c r="AM134" s="88">
        <f t="shared" si="47"/>
        <v>7595322090</v>
      </c>
      <c r="AN134" s="87" t="s">
        <v>4610</v>
      </c>
      <c r="AQ134" t="s">
        <v>25</v>
      </c>
    </row>
    <row r="135" spans="7:43">
      <c r="G135" s="1">
        <f>P49</f>
        <v>1730</v>
      </c>
      <c r="H135" s="210" t="s">
        <v>4221</v>
      </c>
      <c r="I135" s="210">
        <v>68595</v>
      </c>
      <c r="J135" s="1">
        <f>G135*I135</f>
        <v>118669350</v>
      </c>
      <c r="Q135" s="167">
        <v>433201621</v>
      </c>
      <c r="R135" s="210" t="s">
        <v>5719</v>
      </c>
      <c r="S135" s="210">
        <f>S134-22</f>
        <v>-1</v>
      </c>
      <c r="T135" s="210" t="s">
        <v>5728</v>
      </c>
      <c r="U135" s="210">
        <v>1995.5</v>
      </c>
      <c r="V135" s="97">
        <f t="shared" si="34"/>
        <v>2024.3008054794525</v>
      </c>
      <c r="W135" s="32">
        <f t="shared" ref="W135:W137" si="55">V135*(1+$W$19/100)</f>
        <v>2064.7868215890417</v>
      </c>
      <c r="X135" s="32">
        <f t="shared" ref="X135:X137" si="56">V135*(1+$X$19/100)</f>
        <v>2105.2728376986306</v>
      </c>
      <c r="AH135" s="20">
        <v>115</v>
      </c>
      <c r="AI135" s="115" t="s">
        <v>4609</v>
      </c>
      <c r="AJ135" s="115">
        <v>404000</v>
      </c>
      <c r="AK135" s="20">
        <v>5</v>
      </c>
      <c r="AL135" s="97">
        <f t="shared" si="52"/>
        <v>571</v>
      </c>
      <c r="AM135" s="115">
        <f t="shared" si="47"/>
        <v>230684000</v>
      </c>
      <c r="AN135" s="20" t="s">
        <v>4616</v>
      </c>
    </row>
    <row r="136" spans="7:43">
      <c r="G136" s="210">
        <f>P46</f>
        <v>14400</v>
      </c>
      <c r="H136" s="210" t="s">
        <v>4363</v>
      </c>
      <c r="I136" s="210">
        <v>1703</v>
      </c>
      <c r="J136" s="1">
        <f>G136*I136</f>
        <v>24523200</v>
      </c>
      <c r="K136" t="s">
        <v>25</v>
      </c>
      <c r="P136" t="s">
        <v>25</v>
      </c>
      <c r="Q136" s="167">
        <v>143686145</v>
      </c>
      <c r="R136" s="210" t="s">
        <v>5724</v>
      </c>
      <c r="S136" s="210">
        <f>S135-5</f>
        <v>-6</v>
      </c>
      <c r="T136" s="210" t="s">
        <v>5730</v>
      </c>
      <c r="U136" s="210">
        <v>1751</v>
      </c>
      <c r="V136" s="97">
        <f t="shared" si="34"/>
        <v>1769.5558027397265</v>
      </c>
      <c r="W136" s="32">
        <f t="shared" si="55"/>
        <v>1804.946918794521</v>
      </c>
      <c r="X136" s="32">
        <f t="shared" si="56"/>
        <v>1840.3380348493156</v>
      </c>
      <c r="Y136" t="s">
        <v>25</v>
      </c>
      <c r="Z136" t="s">
        <v>25</v>
      </c>
      <c r="AH136" s="87">
        <v>116</v>
      </c>
      <c r="AI136" s="88" t="s">
        <v>4626</v>
      </c>
      <c r="AJ136" s="88">
        <v>4291628</v>
      </c>
      <c r="AK136" s="87">
        <v>2</v>
      </c>
      <c r="AL136" s="87">
        <f t="shared" si="52"/>
        <v>566</v>
      </c>
      <c r="AM136" s="88">
        <f t="shared" si="47"/>
        <v>2429061448</v>
      </c>
      <c r="AN136" s="87" t="s">
        <v>4627</v>
      </c>
    </row>
    <row r="137" spans="7:43">
      <c r="G137" s="210"/>
      <c r="H137" s="210"/>
      <c r="I137" s="186">
        <f>J137-J134</f>
        <v>106873407</v>
      </c>
      <c r="J137" s="1">
        <f>SUM(J135:J136)</f>
        <v>143192550</v>
      </c>
      <c r="O137" s="94"/>
      <c r="Q137" s="167">
        <v>244387709</v>
      </c>
      <c r="R137" s="210" t="s">
        <v>5731</v>
      </c>
      <c r="S137" s="210">
        <f>S136-2</f>
        <v>-8</v>
      </c>
      <c r="T137" s="210" t="s">
        <v>5732</v>
      </c>
      <c r="U137" s="210">
        <v>1608.8</v>
      </c>
      <c r="V137" s="97">
        <f t="shared" si="34"/>
        <v>1623.3805764383562</v>
      </c>
      <c r="W137" s="32">
        <f t="shared" si="55"/>
        <v>1655.8481879671233</v>
      </c>
      <c r="X137" s="32">
        <f t="shared" si="56"/>
        <v>1688.3157994958906</v>
      </c>
      <c r="Y137" t="s">
        <v>25</v>
      </c>
      <c r="Z137" t="s">
        <v>25</v>
      </c>
      <c r="AH137" s="20">
        <v>117</v>
      </c>
      <c r="AI137" s="115" t="s">
        <v>4629</v>
      </c>
      <c r="AJ137" s="115">
        <v>1000</v>
      </c>
      <c r="AK137" s="20">
        <v>5</v>
      </c>
      <c r="AL137" s="20">
        <f t="shared" si="52"/>
        <v>564</v>
      </c>
      <c r="AM137" s="115">
        <f t="shared" si="47"/>
        <v>564000</v>
      </c>
      <c r="AN137" s="20"/>
    </row>
    <row r="138" spans="7:43">
      <c r="G138" s="210"/>
      <c r="H138" s="210"/>
      <c r="I138" s="210" t="s">
        <v>902</v>
      </c>
      <c r="J138" s="210" t="s">
        <v>6</v>
      </c>
      <c r="Q138" s="167">
        <v>2244294</v>
      </c>
      <c r="R138" s="210" t="s">
        <v>5734</v>
      </c>
      <c r="S138" s="210">
        <f>S137-1</f>
        <v>-9</v>
      </c>
      <c r="T138" s="210" t="s">
        <v>5735</v>
      </c>
      <c r="U138" s="210">
        <v>1685</v>
      </c>
      <c r="V138" s="97">
        <f t="shared" si="34"/>
        <v>1698.9785753424658</v>
      </c>
      <c r="W138" s="32">
        <f t="shared" ref="W138:W145" si="57">V138*(1+$W$19/100)</f>
        <v>1732.9581468493152</v>
      </c>
      <c r="X138" s="32">
        <f t="shared" ref="X138:X145" si="58">V138*(1+$X$19/100)</f>
        <v>1766.9377183561644</v>
      </c>
      <c r="Y138" t="s">
        <v>25</v>
      </c>
      <c r="AH138" s="119">
        <v>118</v>
      </c>
      <c r="AI138" s="77" t="s">
        <v>4637</v>
      </c>
      <c r="AJ138" s="77">
        <v>8739459</v>
      </c>
      <c r="AK138" s="119">
        <v>2</v>
      </c>
      <c r="AL138" s="119">
        <f t="shared" si="52"/>
        <v>559</v>
      </c>
      <c r="AM138" s="77">
        <f t="shared" si="47"/>
        <v>4885357581</v>
      </c>
      <c r="AN138" s="119" t="s">
        <v>4597</v>
      </c>
    </row>
    <row r="139" spans="7:43">
      <c r="G139" s="41"/>
      <c r="H139" s="41"/>
      <c r="I139" s="41"/>
      <c r="J139" s="41"/>
      <c r="K139" t="s">
        <v>25</v>
      </c>
      <c r="Q139" s="167">
        <v>52957780</v>
      </c>
      <c r="R139" s="210" t="s">
        <v>5737</v>
      </c>
      <c r="S139" s="210">
        <f>S138-6</f>
        <v>-15</v>
      </c>
      <c r="T139" s="210" t="s">
        <v>5742</v>
      </c>
      <c r="U139" s="210">
        <v>1791.7</v>
      </c>
      <c r="V139" s="97">
        <f t="shared" si="34"/>
        <v>1798.3170180821919</v>
      </c>
      <c r="W139" s="32">
        <f t="shared" si="57"/>
        <v>1834.2833584438358</v>
      </c>
      <c r="X139" s="32">
        <f t="shared" si="58"/>
        <v>1870.2496988054797</v>
      </c>
      <c r="AH139" s="119">
        <v>119</v>
      </c>
      <c r="AI139" s="77" t="s">
        <v>4638</v>
      </c>
      <c r="AJ139" s="77">
        <v>17595278</v>
      </c>
      <c r="AK139" s="119">
        <v>1</v>
      </c>
      <c r="AL139" s="119">
        <f t="shared" si="52"/>
        <v>557</v>
      </c>
      <c r="AM139" s="77">
        <f t="shared" si="47"/>
        <v>9800569846</v>
      </c>
      <c r="AN139" s="119" t="s">
        <v>4640</v>
      </c>
      <c r="AQ139" t="s">
        <v>25</v>
      </c>
    </row>
    <row r="140" spans="7:43">
      <c r="G140" s="210"/>
      <c r="H140" s="210" t="s">
        <v>5664</v>
      </c>
      <c r="I140" s="213" t="s">
        <v>5096</v>
      </c>
      <c r="J140" s="1">
        <v>10000000</v>
      </c>
      <c r="P140" t="s">
        <v>25</v>
      </c>
      <c r="Q140" s="167">
        <v>13690592</v>
      </c>
      <c r="R140" s="210" t="s">
        <v>5740</v>
      </c>
      <c r="S140" s="210">
        <f>S139-1</f>
        <v>-16</v>
      </c>
      <c r="T140" s="210" t="s">
        <v>5741</v>
      </c>
      <c r="U140" s="210">
        <v>1722</v>
      </c>
      <c r="V140" s="97">
        <f t="shared" si="34"/>
        <v>1727.0386191780824</v>
      </c>
      <c r="W140" s="32">
        <f t="shared" si="57"/>
        <v>1761.5793915616441</v>
      </c>
      <c r="X140" s="32">
        <f t="shared" si="58"/>
        <v>1796.1201639452058</v>
      </c>
      <c r="Y140">
        <v>216287</v>
      </c>
      <c r="Z140" t="s">
        <v>25</v>
      </c>
      <c r="AH140" s="119">
        <v>120</v>
      </c>
      <c r="AI140" s="77" t="s">
        <v>4639</v>
      </c>
      <c r="AJ140" s="77">
        <v>13335309</v>
      </c>
      <c r="AK140" s="119">
        <v>13</v>
      </c>
      <c r="AL140" s="119">
        <f t="shared" si="52"/>
        <v>556</v>
      </c>
      <c r="AM140" s="77">
        <f t="shared" si="47"/>
        <v>7414431804</v>
      </c>
      <c r="AN140" s="119" t="s">
        <v>4610</v>
      </c>
    </row>
    <row r="141" spans="7:43">
      <c r="G141" s="210"/>
      <c r="H141" s="210" t="s">
        <v>338</v>
      </c>
      <c r="I141" s="210"/>
      <c r="J141" s="1">
        <v>10000000</v>
      </c>
      <c r="Q141" s="167">
        <v>167859322</v>
      </c>
      <c r="R141" s="210" t="s">
        <v>5744</v>
      </c>
      <c r="S141" s="210">
        <f>S140-1</f>
        <v>-17</v>
      </c>
      <c r="T141" s="210" t="s">
        <v>5747</v>
      </c>
      <c r="U141" s="210">
        <v>1646</v>
      </c>
      <c r="V141" s="97">
        <f t="shared" si="34"/>
        <v>1649.5535561643835</v>
      </c>
      <c r="W141" s="32">
        <f t="shared" si="57"/>
        <v>1682.5446272876711</v>
      </c>
      <c r="X141" s="32">
        <f t="shared" si="58"/>
        <v>1715.535698410959</v>
      </c>
      <c r="Y141" t="s">
        <v>25</v>
      </c>
      <c r="AA141" t="s">
        <v>25</v>
      </c>
      <c r="AH141" s="159">
        <v>121</v>
      </c>
      <c r="AI141" s="224" t="s">
        <v>4690</v>
      </c>
      <c r="AJ141" s="224">
        <v>50000000</v>
      </c>
      <c r="AK141" s="159">
        <v>11</v>
      </c>
      <c r="AL141" s="159">
        <f t="shared" si="52"/>
        <v>543</v>
      </c>
      <c r="AM141" s="224">
        <f t="shared" si="47"/>
        <v>27150000000</v>
      </c>
      <c r="AN141" s="159" t="s">
        <v>4692</v>
      </c>
      <c r="AP141" t="s">
        <v>25</v>
      </c>
    </row>
    <row r="142" spans="7:43">
      <c r="G142" s="210"/>
      <c r="H142" s="210"/>
      <c r="I142" s="278">
        <f>J142-J140</f>
        <v>0</v>
      </c>
      <c r="J142" s="1">
        <f>SUM(J141:J141)</f>
        <v>10000000</v>
      </c>
      <c r="K142" s="94"/>
      <c r="L142" s="94"/>
      <c r="M142" t="s">
        <v>25</v>
      </c>
      <c r="Q142" s="167"/>
      <c r="R142" s="210" t="s">
        <v>5752</v>
      </c>
      <c r="S142" s="210">
        <f>S141-4</f>
        <v>-21</v>
      </c>
      <c r="T142" s="210" t="s">
        <v>5753</v>
      </c>
      <c r="U142" s="210"/>
      <c r="V142" s="97">
        <f t="shared" si="34"/>
        <v>0</v>
      </c>
      <c r="W142" s="32">
        <f t="shared" si="57"/>
        <v>0</v>
      </c>
      <c r="X142" s="32">
        <f t="shared" si="58"/>
        <v>0</v>
      </c>
      <c r="Y142">
        <v>81756</v>
      </c>
      <c r="Z142" t="s">
        <v>25</v>
      </c>
      <c r="AH142" s="20">
        <v>122</v>
      </c>
      <c r="AI142" s="115" t="s">
        <v>959</v>
      </c>
      <c r="AJ142" s="115">
        <v>30000</v>
      </c>
      <c r="AK142" s="20">
        <v>3</v>
      </c>
      <c r="AL142" s="20">
        <f t="shared" si="52"/>
        <v>532</v>
      </c>
      <c r="AM142" s="115">
        <f t="shared" si="47"/>
        <v>15960000</v>
      </c>
      <c r="AN142" s="20"/>
    </row>
    <row r="143" spans="7:43">
      <c r="G143" s="210"/>
      <c r="H143" s="210"/>
      <c r="I143" s="210" t="s">
        <v>902</v>
      </c>
      <c r="J143" s="210" t="s">
        <v>6</v>
      </c>
      <c r="K143" s="94"/>
      <c r="Q143" s="167"/>
      <c r="R143" s="210"/>
      <c r="S143" s="210"/>
      <c r="T143" s="210"/>
      <c r="U143" s="210"/>
      <c r="V143" s="97">
        <f t="shared" si="34"/>
        <v>0</v>
      </c>
      <c r="W143" s="32">
        <f t="shared" si="57"/>
        <v>0</v>
      </c>
      <c r="X143" s="32">
        <f t="shared" si="58"/>
        <v>0</v>
      </c>
      <c r="Y143" t="s">
        <v>25</v>
      </c>
      <c r="AH143" s="20">
        <v>123</v>
      </c>
      <c r="AI143" s="115" t="s">
        <v>4751</v>
      </c>
      <c r="AJ143" s="115">
        <v>600000</v>
      </c>
      <c r="AK143" s="20">
        <v>1</v>
      </c>
      <c r="AL143" s="20">
        <f t="shared" si="52"/>
        <v>529</v>
      </c>
      <c r="AM143" s="115">
        <f t="shared" si="47"/>
        <v>317400000</v>
      </c>
      <c r="AN143" s="20"/>
    </row>
    <row r="144" spans="7:43">
      <c r="K144" s="94"/>
      <c r="L144" s="94"/>
      <c r="P144" s="112"/>
      <c r="Q144" s="167" t="s">
        <v>25</v>
      </c>
      <c r="R144" s="210"/>
      <c r="S144" s="210"/>
      <c r="T144" s="210"/>
      <c r="U144" s="210"/>
      <c r="V144" s="97">
        <f t="shared" si="34"/>
        <v>0</v>
      </c>
      <c r="W144" s="32">
        <f t="shared" si="57"/>
        <v>0</v>
      </c>
      <c r="X144" s="32">
        <f t="shared" si="58"/>
        <v>0</v>
      </c>
      <c r="Y144" t="s">
        <v>25</v>
      </c>
      <c r="Z144" t="s">
        <v>25</v>
      </c>
      <c r="AH144" s="20">
        <v>124</v>
      </c>
      <c r="AI144" s="115" t="s">
        <v>4754</v>
      </c>
      <c r="AJ144" s="115">
        <v>30000</v>
      </c>
      <c r="AK144" s="20">
        <v>3</v>
      </c>
      <c r="AL144" s="20">
        <f t="shared" si="52"/>
        <v>528</v>
      </c>
      <c r="AM144" s="115">
        <f t="shared" si="47"/>
        <v>15840000</v>
      </c>
      <c r="AN144" s="20"/>
    </row>
    <row r="145" spans="5:44">
      <c r="K145" s="94"/>
      <c r="L145" s="94"/>
      <c r="M145" s="94"/>
      <c r="N145" s="94"/>
      <c r="O145" s="94"/>
      <c r="Q145" s="167"/>
      <c r="R145" s="166"/>
      <c r="S145" s="166"/>
      <c r="T145" s="166"/>
      <c r="U145" s="166"/>
      <c r="V145" s="97">
        <f t="shared" si="34"/>
        <v>0</v>
      </c>
      <c r="W145" s="32">
        <f t="shared" si="57"/>
        <v>0</v>
      </c>
      <c r="X145" s="32">
        <f t="shared" si="58"/>
        <v>0</v>
      </c>
      <c r="Y145" s="120" t="s">
        <v>25</v>
      </c>
      <c r="AH145" s="20">
        <v>125</v>
      </c>
      <c r="AI145" s="115" t="s">
        <v>4760</v>
      </c>
      <c r="AJ145" s="115">
        <v>2250000</v>
      </c>
      <c r="AK145" s="20">
        <v>1</v>
      </c>
      <c r="AL145" s="20">
        <f t="shared" si="52"/>
        <v>525</v>
      </c>
      <c r="AM145" s="115">
        <f>AJ145*AL145</f>
        <v>1181250000</v>
      </c>
      <c r="AN145" s="20"/>
      <c r="AR145" t="s">
        <v>25</v>
      </c>
    </row>
    <row r="146" spans="5:44">
      <c r="G146" s="210"/>
      <c r="H146" s="210" t="s">
        <v>5665</v>
      </c>
      <c r="I146" s="213" t="s">
        <v>5557</v>
      </c>
      <c r="J146" s="1">
        <v>150000000</v>
      </c>
      <c r="K146" s="94"/>
      <c r="L146" s="94"/>
      <c r="M146" s="94"/>
      <c r="N146" s="94"/>
      <c r="O146" s="94"/>
      <c r="Q146" s="111">
        <f>SUM(N43:N51)-SUM(Q103:Q145)</f>
        <v>327276746.55559063</v>
      </c>
      <c r="R146" s="110"/>
      <c r="S146" s="110"/>
      <c r="T146" s="110"/>
      <c r="U146" s="166"/>
      <c r="V146" s="97" t="s">
        <v>25</v>
      </c>
      <c r="W146" s="32"/>
      <c r="X146" s="32"/>
      <c r="Y146" s="120" t="s">
        <v>25</v>
      </c>
      <c r="AH146" s="23">
        <v>126</v>
      </c>
      <c r="AI146" s="35" t="s">
        <v>4765</v>
      </c>
      <c r="AJ146" s="35">
        <v>-31412200</v>
      </c>
      <c r="AK146" s="23">
        <v>1</v>
      </c>
      <c r="AL146" s="20">
        <f t="shared" si="52"/>
        <v>524</v>
      </c>
      <c r="AM146" s="35">
        <f>AJ146*AL146</f>
        <v>-16459992800</v>
      </c>
      <c r="AN146" s="23" t="s">
        <v>4753</v>
      </c>
    </row>
    <row r="147" spans="5:44">
      <c r="G147" s="1">
        <f>P49</f>
        <v>1730</v>
      </c>
      <c r="H147" s="210" t="s">
        <v>4221</v>
      </c>
      <c r="I147" s="210">
        <v>33318</v>
      </c>
      <c r="J147" s="1">
        <f>G147*I147</f>
        <v>57640140</v>
      </c>
      <c r="K147" s="94"/>
      <c r="L147" s="94" t="s">
        <v>25</v>
      </c>
      <c r="M147" s="94"/>
      <c r="N147" s="94"/>
      <c r="O147" s="94"/>
      <c r="Q147" s="26"/>
      <c r="R147" s="179"/>
      <c r="S147" s="179"/>
      <c r="T147" t="s">
        <v>25</v>
      </c>
      <c r="U147" s="94" t="s">
        <v>25</v>
      </c>
      <c r="V147" s="94" t="s">
        <v>25</v>
      </c>
      <c r="W147" s="94" t="s">
        <v>25</v>
      </c>
      <c r="Y147" s="120" t="s">
        <v>25</v>
      </c>
      <c r="Z147" s="94" t="s">
        <v>25</v>
      </c>
      <c r="AH147" s="20">
        <v>127</v>
      </c>
      <c r="AI147" s="115" t="s">
        <v>4774</v>
      </c>
      <c r="AJ147" s="115">
        <v>70000</v>
      </c>
      <c r="AK147" s="20">
        <v>9</v>
      </c>
      <c r="AL147" s="20">
        <f t="shared" si="52"/>
        <v>523</v>
      </c>
      <c r="AM147" s="115">
        <f>AJ147*AL147</f>
        <v>36610000</v>
      </c>
      <c r="AN147" s="20"/>
    </row>
    <row r="148" spans="5:44">
      <c r="G148" s="1">
        <f>P46</f>
        <v>14400</v>
      </c>
      <c r="H148" s="210" t="s">
        <v>4363</v>
      </c>
      <c r="I148" s="210">
        <v>16447</v>
      </c>
      <c r="J148" s="1">
        <f>G148*I148</f>
        <v>236836800</v>
      </c>
      <c r="K148" s="94">
        <f>I148+2831</f>
        <v>19278</v>
      </c>
      <c r="L148" s="94"/>
      <c r="M148" s="94"/>
      <c r="N148" s="94"/>
      <c r="O148" s="94"/>
      <c r="R148" s="32" t="s">
        <v>4524</v>
      </c>
      <c r="S148" s="32" t="s">
        <v>935</v>
      </c>
      <c r="T148" t="s">
        <v>25</v>
      </c>
      <c r="U148" s="94" t="s">
        <v>25</v>
      </c>
      <c r="V148" s="94" t="s">
        <v>25</v>
      </c>
      <c r="W148" s="94" t="s">
        <v>25</v>
      </c>
      <c r="X148" s="120" t="s">
        <v>25</v>
      </c>
      <c r="Z148" s="94" t="s">
        <v>25</v>
      </c>
      <c r="AH148" s="97">
        <v>128</v>
      </c>
      <c r="AI148" s="111" t="s">
        <v>4781</v>
      </c>
      <c r="AJ148" s="111">
        <v>20000</v>
      </c>
      <c r="AK148" s="97">
        <v>10</v>
      </c>
      <c r="AL148" s="20">
        <f t="shared" si="52"/>
        <v>514</v>
      </c>
      <c r="AM148" s="115">
        <f>AJ148*AL148</f>
        <v>10280000</v>
      </c>
      <c r="AN148" s="20"/>
      <c r="AP148" t="s">
        <v>25</v>
      </c>
    </row>
    <row r="149" spans="5:44">
      <c r="G149" s="210"/>
      <c r="H149" s="210"/>
      <c r="I149" s="210"/>
      <c r="J149" s="1"/>
      <c r="K149" s="94"/>
      <c r="L149" s="94"/>
      <c r="N149" s="94"/>
      <c r="O149" s="94"/>
      <c r="R149" s="32">
        <v>95231</v>
      </c>
      <c r="S149" s="167">
        <v>1734602382</v>
      </c>
      <c r="T149" t="s">
        <v>25</v>
      </c>
      <c r="U149" s="94" t="s">
        <v>25</v>
      </c>
      <c r="V149" s="120" t="s">
        <v>25</v>
      </c>
      <c r="W149" s="94" t="s">
        <v>25</v>
      </c>
      <c r="X149" t="s">
        <v>25</v>
      </c>
      <c r="Z149" s="94" t="s">
        <v>25</v>
      </c>
      <c r="AH149" s="97">
        <v>129</v>
      </c>
      <c r="AI149" s="111" t="s">
        <v>4801</v>
      </c>
      <c r="AJ149" s="111">
        <v>1000000</v>
      </c>
      <c r="AK149" s="97">
        <v>1</v>
      </c>
      <c r="AL149" s="20">
        <f t="shared" si="52"/>
        <v>504</v>
      </c>
      <c r="AM149" s="115">
        <f>AJ149*AL149</f>
        <v>504000000</v>
      </c>
      <c r="AN149" s="20"/>
    </row>
    <row r="150" spans="5:44">
      <c r="E150" s="121"/>
      <c r="G150" s="210"/>
      <c r="H150" s="111"/>
      <c r="I150" s="278">
        <f>J150-J146</f>
        <v>144476940</v>
      </c>
      <c r="J150" s="1">
        <f>SUM(J147:J148)</f>
        <v>294476940</v>
      </c>
      <c r="K150" s="94"/>
      <c r="L150" s="94"/>
      <c r="M150" s="94"/>
      <c r="N150" s="94"/>
      <c r="O150" s="94"/>
      <c r="Q150" t="s">
        <v>25</v>
      </c>
      <c r="R150" s="32">
        <v>5957</v>
      </c>
      <c r="S150" s="1">
        <f>S149*R150/R149</f>
        <v>108504860.70264934</v>
      </c>
      <c r="T150" s="112" t="s">
        <v>25</v>
      </c>
      <c r="U150" s="94" t="s">
        <v>25</v>
      </c>
      <c r="V150" s="120" t="s">
        <v>25</v>
      </c>
      <c r="W150" s="94" t="s">
        <v>25</v>
      </c>
      <c r="X150" t="s">
        <v>25</v>
      </c>
      <c r="Y150" t="s">
        <v>25</v>
      </c>
      <c r="Z150" s="94" t="s">
        <v>25</v>
      </c>
      <c r="AA150" s="112"/>
      <c r="AC150" s="112"/>
      <c r="AD150" s="112"/>
      <c r="AH150" s="97">
        <v>130</v>
      </c>
      <c r="AI150" s="111" t="s">
        <v>4802</v>
      </c>
      <c r="AJ150" s="111">
        <v>65630227</v>
      </c>
      <c r="AK150" s="97">
        <v>0</v>
      </c>
      <c r="AL150" s="20">
        <f t="shared" si="52"/>
        <v>503</v>
      </c>
      <c r="AM150" s="115">
        <f t="shared" ref="AM150:AM177" si="59">AJ150*AL150</f>
        <v>33012004181</v>
      </c>
      <c r="AN150" s="20" t="s">
        <v>4805</v>
      </c>
      <c r="AP150" t="s">
        <v>25</v>
      </c>
      <c r="AR150" t="s">
        <v>25</v>
      </c>
    </row>
    <row r="151" spans="5:44">
      <c r="G151" s="210"/>
      <c r="H151" s="210"/>
      <c r="I151" s="210" t="s">
        <v>5510</v>
      </c>
      <c r="J151" s="210" t="s">
        <v>6</v>
      </c>
      <c r="K151" s="112"/>
      <c r="R151" s="32">
        <f>R149-R150</f>
        <v>89274</v>
      </c>
      <c r="S151" s="1">
        <f>R151*S149/R149</f>
        <v>1626097521.2973506</v>
      </c>
      <c r="T151" t="s">
        <v>25</v>
      </c>
      <c r="U151" s="120" t="s">
        <v>25</v>
      </c>
      <c r="V151" s="94"/>
      <c r="W151" s="120" t="s">
        <v>25</v>
      </c>
      <c r="X151" t="s">
        <v>25</v>
      </c>
      <c r="Y151" t="s">
        <v>25</v>
      </c>
      <c r="Z151" s="94" t="s">
        <v>25</v>
      </c>
      <c r="AA151" s="112"/>
      <c r="AC151" s="112"/>
      <c r="AH151" s="97">
        <v>131</v>
      </c>
      <c r="AI151" s="111" t="s">
        <v>4802</v>
      </c>
      <c r="AJ151" s="111">
        <v>-3500000</v>
      </c>
      <c r="AK151" s="97">
        <v>6</v>
      </c>
      <c r="AL151" s="20">
        <f t="shared" si="52"/>
        <v>503</v>
      </c>
      <c r="AM151" s="115">
        <f t="shared" si="59"/>
        <v>-1760500000</v>
      </c>
      <c r="AN151" s="20" t="s">
        <v>4804</v>
      </c>
    </row>
    <row r="152" spans="5:44">
      <c r="P152" s="112"/>
      <c r="T152" t="s">
        <v>25</v>
      </c>
      <c r="V152" s="94"/>
      <c r="W152"/>
      <c r="X152" t="s">
        <v>25</v>
      </c>
      <c r="Y152" t="s">
        <v>25</v>
      </c>
      <c r="Z152" s="94"/>
      <c r="AA152" s="112"/>
      <c r="AC152" s="112"/>
      <c r="AD152" s="112"/>
      <c r="AH152" s="97">
        <v>132</v>
      </c>
      <c r="AI152" s="111" t="s">
        <v>4814</v>
      </c>
      <c r="AJ152" s="111">
        <v>2520000</v>
      </c>
      <c r="AK152" s="97">
        <v>12</v>
      </c>
      <c r="AL152" s="20">
        <f t="shared" si="52"/>
        <v>497</v>
      </c>
      <c r="AM152" s="115">
        <f t="shared" si="59"/>
        <v>1252440000</v>
      </c>
      <c r="AN152" s="20"/>
    </row>
    <row r="153" spans="5:44">
      <c r="K153" s="274"/>
      <c r="L153" s="286"/>
      <c r="P153" s="94"/>
      <c r="Q153" s="94"/>
      <c r="R153" s="94"/>
      <c r="S153" s="94"/>
      <c r="T153" s="94"/>
      <c r="U153" s="317" t="s">
        <v>4410</v>
      </c>
      <c r="V153" s="317" t="s">
        <v>4423</v>
      </c>
      <c r="W153" s="317" t="s">
        <v>4424</v>
      </c>
      <c r="X153" t="s">
        <v>25</v>
      </c>
      <c r="Y153" s="94" t="s">
        <v>25</v>
      </c>
      <c r="Z153" s="94" t="s">
        <v>25</v>
      </c>
      <c r="AH153" s="97">
        <v>133</v>
      </c>
      <c r="AI153" s="111" t="s">
        <v>4849</v>
      </c>
      <c r="AJ153" s="111">
        <v>1400000</v>
      </c>
      <c r="AK153" s="97">
        <v>4</v>
      </c>
      <c r="AL153" s="20">
        <f t="shared" si="52"/>
        <v>485</v>
      </c>
      <c r="AM153" s="115">
        <f t="shared" si="59"/>
        <v>679000000</v>
      </c>
      <c r="AN153" s="20"/>
    </row>
    <row r="154" spans="5:44">
      <c r="Q154" s="94"/>
      <c r="R154" s="94"/>
      <c r="S154" s="94"/>
      <c r="T154" s="120" t="s">
        <v>25</v>
      </c>
      <c r="U154" s="317" t="s">
        <v>744</v>
      </c>
      <c r="V154" s="317">
        <v>1511629</v>
      </c>
      <c r="W154" s="88">
        <f>V154*$T$399</f>
        <v>3556845889.070044</v>
      </c>
      <c r="Y154" s="120" t="s">
        <v>25</v>
      </c>
      <c r="Z154" s="120" t="s">
        <v>25</v>
      </c>
      <c r="AH154" s="97">
        <v>134</v>
      </c>
      <c r="AI154" s="111" t="s">
        <v>4871</v>
      </c>
      <c r="AJ154" s="111">
        <v>1550000</v>
      </c>
      <c r="AK154" s="97">
        <v>2</v>
      </c>
      <c r="AL154" s="20">
        <f t="shared" si="52"/>
        <v>481</v>
      </c>
      <c r="AM154" s="115">
        <f t="shared" si="59"/>
        <v>745550000</v>
      </c>
      <c r="AN154" s="20"/>
    </row>
    <row r="155" spans="5:44">
      <c r="G155" s="97"/>
      <c r="H155" s="97"/>
      <c r="I155" s="97" t="s">
        <v>5503</v>
      </c>
      <c r="J155" s="1">
        <v>20000000</v>
      </c>
      <c r="T155" s="120"/>
      <c r="U155" s="317" t="s">
        <v>4412</v>
      </c>
      <c r="V155" s="317">
        <v>2072208</v>
      </c>
      <c r="W155" s="88">
        <f>V155*$T$399</f>
        <v>4875881916.8579445</v>
      </c>
      <c r="X155" s="94" t="s">
        <v>25</v>
      </c>
      <c r="Y155" s="120" t="s">
        <v>25</v>
      </c>
      <c r="Z155" s="94" t="s">
        <v>25</v>
      </c>
      <c r="AA155" t="s">
        <v>25</v>
      </c>
      <c r="AH155" s="97">
        <v>135</v>
      </c>
      <c r="AI155" s="111" t="s">
        <v>4821</v>
      </c>
      <c r="AJ155" s="111">
        <v>250000</v>
      </c>
      <c r="AK155" s="97">
        <v>6</v>
      </c>
      <c r="AL155" s="20">
        <f t="shared" si="52"/>
        <v>479</v>
      </c>
      <c r="AM155" s="115">
        <f t="shared" si="59"/>
        <v>119750000</v>
      </c>
      <c r="AN155" s="20"/>
    </row>
    <row r="156" spans="5:44">
      <c r="G156" s="97">
        <f>P49</f>
        <v>1730</v>
      </c>
      <c r="H156" s="97" t="s">
        <v>4221</v>
      </c>
      <c r="I156" s="97">
        <v>30054</v>
      </c>
      <c r="J156" s="1">
        <f>G156*I156</f>
        <v>51993420</v>
      </c>
      <c r="T156" s="94"/>
      <c r="U156" s="317" t="s">
        <v>4411</v>
      </c>
      <c r="V156" s="317">
        <v>52434</v>
      </c>
      <c r="W156" s="88">
        <f>V156*$T$399</f>
        <v>123376607.18833701</v>
      </c>
      <c r="X156" s="214"/>
      <c r="Y156" s="120" t="s">
        <v>25</v>
      </c>
      <c r="Z156" s="94"/>
      <c r="AH156" s="97">
        <v>136</v>
      </c>
      <c r="AI156" s="111" t="s">
        <v>4880</v>
      </c>
      <c r="AJ156" s="111">
        <v>-48527480</v>
      </c>
      <c r="AK156" s="97">
        <v>14</v>
      </c>
      <c r="AL156" s="20">
        <f t="shared" si="52"/>
        <v>473</v>
      </c>
      <c r="AM156" s="115">
        <f t="shared" si="59"/>
        <v>-22953498040</v>
      </c>
      <c r="AN156" s="20" t="s">
        <v>4882</v>
      </c>
    </row>
    <row r="157" spans="5:44">
      <c r="G157" s="97">
        <f>P46</f>
        <v>14400</v>
      </c>
      <c r="H157" s="97" t="s">
        <v>4363</v>
      </c>
      <c r="I157" s="97">
        <v>1150</v>
      </c>
      <c r="J157" s="1">
        <f>G157*I157</f>
        <v>16560000</v>
      </c>
      <c r="N157" s="94"/>
      <c r="O157" s="94"/>
      <c r="P157" s="112"/>
      <c r="Q157" t="s">
        <v>25</v>
      </c>
      <c r="R157" t="s">
        <v>25</v>
      </c>
      <c r="S157" t="s">
        <v>25</v>
      </c>
      <c r="T157" s="94" t="s">
        <v>25</v>
      </c>
      <c r="U157" s="317" t="s">
        <v>1071</v>
      </c>
      <c r="V157" s="317">
        <v>119863</v>
      </c>
      <c r="W157" s="88">
        <f>V157*$T$399</f>
        <v>282036279.27328908</v>
      </c>
      <c r="X157" s="113"/>
      <c r="Y157" s="94"/>
      <c r="Z157" s="94"/>
      <c r="AH157" s="97">
        <v>137</v>
      </c>
      <c r="AI157" s="111" t="s">
        <v>4903</v>
      </c>
      <c r="AJ157" s="111">
        <v>2100000</v>
      </c>
      <c r="AK157" s="97">
        <v>1</v>
      </c>
      <c r="AL157" s="20">
        <f t="shared" si="52"/>
        <v>459</v>
      </c>
      <c r="AM157" s="115">
        <f t="shared" si="59"/>
        <v>963900000</v>
      </c>
      <c r="AN157" s="20"/>
    </row>
    <row r="158" spans="5:44">
      <c r="G158" s="97">
        <f>P44</f>
        <v>85200</v>
      </c>
      <c r="H158" s="97" t="s">
        <v>5276</v>
      </c>
      <c r="I158" s="97">
        <v>52</v>
      </c>
      <c r="J158" s="1">
        <f>G158*I158</f>
        <v>4430400</v>
      </c>
      <c r="N158" s="94"/>
      <c r="O158" s="94"/>
      <c r="P158" s="112"/>
      <c r="T158" s="94"/>
      <c r="U158" s="317" t="s">
        <v>5415</v>
      </c>
      <c r="V158" s="317">
        <v>2150</v>
      </c>
      <c r="W158" s="88">
        <f>V158*$T$399</f>
        <v>5058925.6103849523</v>
      </c>
      <c r="X158" s="113"/>
      <c r="Y158" s="94"/>
      <c r="Z158" s="94"/>
      <c r="AH158" s="97">
        <v>138</v>
      </c>
      <c r="AI158" s="111" t="s">
        <v>4906</v>
      </c>
      <c r="AJ158" s="111">
        <v>100000</v>
      </c>
      <c r="AK158" s="97">
        <v>4</v>
      </c>
      <c r="AL158" s="20">
        <f>AL159+AK158</f>
        <v>458</v>
      </c>
      <c r="AM158" s="115">
        <f t="shared" si="59"/>
        <v>45800000</v>
      </c>
      <c r="AN158" s="20"/>
    </row>
    <row r="159" spans="5:44">
      <c r="G159" s="97">
        <v>1</v>
      </c>
      <c r="H159" s="97" t="s">
        <v>5588</v>
      </c>
      <c r="I159" s="97">
        <v>0</v>
      </c>
      <c r="J159" s="1">
        <f>I159</f>
        <v>0</v>
      </c>
      <c r="N159" s="94"/>
      <c r="O159" s="94"/>
      <c r="P159" s="112"/>
      <c r="S159" t="s">
        <v>25</v>
      </c>
      <c r="T159" s="94" t="s">
        <v>25</v>
      </c>
      <c r="U159" s="317"/>
      <c r="V159" s="317"/>
      <c r="W159" s="317"/>
      <c r="X159" s="113"/>
      <c r="Y159" s="94" t="s">
        <v>25</v>
      </c>
      <c r="Z159" s="94"/>
      <c r="AH159" s="97">
        <v>139</v>
      </c>
      <c r="AI159" s="111" t="s">
        <v>4911</v>
      </c>
      <c r="AJ159" s="111">
        <v>900000</v>
      </c>
      <c r="AK159" s="97">
        <v>0</v>
      </c>
      <c r="AL159" s="20">
        <f t="shared" ref="AL159:AL168" si="60">AL160+AK159</f>
        <v>454</v>
      </c>
      <c r="AM159" s="115">
        <f t="shared" ref="AM159:AM168" si="61">AJ159*AL159</f>
        <v>408600000</v>
      </c>
      <c r="AN159" s="20"/>
      <c r="AP159" t="s">
        <v>25</v>
      </c>
    </row>
    <row r="160" spans="5:44">
      <c r="G160" s="97"/>
      <c r="H160" s="97" t="s">
        <v>938</v>
      </c>
      <c r="I160" s="267">
        <f>J156+J157+J158+J159-J155</f>
        <v>52983820</v>
      </c>
      <c r="J160" s="1"/>
      <c r="K160" t="s">
        <v>25</v>
      </c>
      <c r="N160" s="94"/>
      <c r="O160" s="94"/>
      <c r="P160" s="112"/>
      <c r="Q160" s="94"/>
      <c r="R160" s="94"/>
      <c r="S160" s="94" t="s">
        <v>25</v>
      </c>
      <c r="T160" s="94"/>
      <c r="U160" s="87"/>
      <c r="V160" s="87"/>
      <c r="W160" s="87"/>
      <c r="X160" s="112"/>
      <c r="Y160" s="94"/>
      <c r="AH160" s="97">
        <v>140</v>
      </c>
      <c r="AI160" s="111" t="s">
        <v>4911</v>
      </c>
      <c r="AJ160" s="111">
        <v>1100000</v>
      </c>
      <c r="AK160" s="97">
        <v>0</v>
      </c>
      <c r="AL160" s="20">
        <f t="shared" si="60"/>
        <v>454</v>
      </c>
      <c r="AM160" s="115">
        <f t="shared" si="61"/>
        <v>499400000</v>
      </c>
      <c r="AN160" s="20" t="s">
        <v>4925</v>
      </c>
      <c r="AQ160" t="s">
        <v>25</v>
      </c>
    </row>
    <row r="161" spans="7:43">
      <c r="N161" s="94"/>
      <c r="O161" s="94"/>
      <c r="Q161" s="94"/>
      <c r="R161" s="94"/>
      <c r="S161" s="94"/>
      <c r="T161" s="94"/>
      <c r="U161" s="87"/>
      <c r="V161" s="87"/>
      <c r="W161" s="87"/>
      <c r="X161" s="94"/>
      <c r="Y161" s="94"/>
      <c r="Z161" t="s">
        <v>25</v>
      </c>
      <c r="AH161" s="97">
        <v>141</v>
      </c>
      <c r="AI161" s="111" t="s">
        <v>4911</v>
      </c>
      <c r="AJ161" s="111">
        <v>115000</v>
      </c>
      <c r="AK161" s="97"/>
      <c r="AL161" s="20">
        <f t="shared" si="60"/>
        <v>454</v>
      </c>
      <c r="AM161" s="115">
        <f t="shared" si="61"/>
        <v>52210000</v>
      </c>
      <c r="AN161" s="20"/>
      <c r="AQ161" t="s">
        <v>25</v>
      </c>
    </row>
    <row r="162" spans="7:43">
      <c r="I162">
        <f>39042-I156</f>
        <v>8988</v>
      </c>
      <c r="J162" s="112">
        <f>I162*$G$156</f>
        <v>15549240</v>
      </c>
      <c r="N162" s="94"/>
      <c r="O162" s="94"/>
      <c r="P162" s="112"/>
      <c r="Q162" s="94"/>
      <c r="R162" s="94"/>
      <c r="S162" s="94"/>
      <c r="T162" s="94"/>
      <c r="U162" s="87"/>
      <c r="V162" s="87"/>
      <c r="W162" s="87"/>
      <c r="X162" s="94"/>
      <c r="Y162" s="94" t="s">
        <v>25</v>
      </c>
      <c r="AH162" s="97">
        <v>142</v>
      </c>
      <c r="AI162" s="111" t="s">
        <v>4919</v>
      </c>
      <c r="AJ162" s="111">
        <v>-1100000</v>
      </c>
      <c r="AK162" s="97"/>
      <c r="AL162" s="20">
        <f t="shared" si="60"/>
        <v>454</v>
      </c>
      <c r="AM162" s="115">
        <f t="shared" si="61"/>
        <v>-499400000</v>
      </c>
      <c r="AN162" s="20" t="s">
        <v>4926</v>
      </c>
      <c r="AQ162" t="s">
        <v>25</v>
      </c>
    </row>
    <row r="163" spans="7:43">
      <c r="I163">
        <v>10107.271699999999</v>
      </c>
      <c r="J163" s="112">
        <f>I163*$G$156</f>
        <v>17485580.040999997</v>
      </c>
      <c r="N163" s="94"/>
      <c r="O163" s="94"/>
      <c r="P163" s="112"/>
      <c r="Q163" s="94"/>
      <c r="R163" s="94"/>
      <c r="S163" s="94"/>
      <c r="T163" s="94"/>
      <c r="U163" s="87"/>
      <c r="V163" s="87"/>
      <c r="W163" s="87"/>
      <c r="X163" s="94"/>
      <c r="Y163" s="120" t="s">
        <v>25</v>
      </c>
      <c r="AH163" s="97">
        <v>143</v>
      </c>
      <c r="AI163" s="111" t="s">
        <v>4919</v>
      </c>
      <c r="AJ163" s="111">
        <v>900000</v>
      </c>
      <c r="AK163" s="97">
        <v>1</v>
      </c>
      <c r="AL163" s="20">
        <f t="shared" si="60"/>
        <v>454</v>
      </c>
      <c r="AM163" s="115">
        <f t="shared" si="61"/>
        <v>408600000</v>
      </c>
      <c r="AN163" s="20" t="s">
        <v>4925</v>
      </c>
    </row>
    <row r="164" spans="7:43">
      <c r="I164">
        <f>I162-I163</f>
        <v>-1119.2716999999993</v>
      </c>
      <c r="J164" s="112">
        <f>I164*$G$156</f>
        <v>-1936340.0409999988</v>
      </c>
      <c r="L164" t="s">
        <v>25</v>
      </c>
      <c r="P164" s="112"/>
      <c r="Q164" s="94"/>
      <c r="R164" s="94"/>
      <c r="S164" s="94"/>
      <c r="T164" s="94"/>
      <c r="U164" s="87"/>
      <c r="V164" s="87" t="s">
        <v>4949</v>
      </c>
      <c r="W164" s="140">
        <f>W154-R171</f>
        <v>419868689.07004404</v>
      </c>
      <c r="X164" s="94"/>
      <c r="Y164" s="94" t="s">
        <v>25</v>
      </c>
      <c r="AH164" s="97">
        <v>144</v>
      </c>
      <c r="AI164" s="111" t="s">
        <v>4923</v>
      </c>
      <c r="AJ164" s="111">
        <v>2000000</v>
      </c>
      <c r="AK164" s="97">
        <v>0</v>
      </c>
      <c r="AL164" s="20">
        <f t="shared" si="60"/>
        <v>453</v>
      </c>
      <c r="AM164" s="115">
        <f t="shared" si="61"/>
        <v>906000000</v>
      </c>
      <c r="AN164" s="20"/>
    </row>
    <row r="165" spans="7:43">
      <c r="P165" s="112"/>
      <c r="Q165" s="94"/>
      <c r="R165" s="94"/>
      <c r="S165" s="94"/>
      <c r="T165" s="94"/>
      <c r="U165" s="87"/>
      <c r="V165" s="87" t="s">
        <v>4950</v>
      </c>
      <c r="W165" s="140">
        <f>W157+W156-R172</f>
        <v>61367906.461626112</v>
      </c>
      <c r="X165" s="113"/>
      <c r="Y165" s="94"/>
      <c r="Z165" t="s">
        <v>25</v>
      </c>
      <c r="AH165" s="97">
        <v>145</v>
      </c>
      <c r="AI165" s="111" t="s">
        <v>4923</v>
      </c>
      <c r="AJ165" s="111">
        <v>360000</v>
      </c>
      <c r="AK165" s="97">
        <v>1</v>
      </c>
      <c r="AL165" s="20">
        <f t="shared" si="60"/>
        <v>453</v>
      </c>
      <c r="AM165" s="115">
        <f t="shared" si="61"/>
        <v>163080000</v>
      </c>
      <c r="AN165" s="20"/>
    </row>
    <row r="166" spans="7:43">
      <c r="J166" s="112">
        <f>J163-J158</f>
        <v>13055180.040999997</v>
      </c>
      <c r="N166" s="112"/>
      <c r="O166" s="112"/>
      <c r="P166" s="112"/>
      <c r="Q166" s="94"/>
      <c r="R166" s="94"/>
      <c r="S166" s="94"/>
      <c r="T166" s="94"/>
      <c r="V166" s="94"/>
      <c r="Y166" t="s">
        <v>25</v>
      </c>
      <c r="Z166" t="s">
        <v>25</v>
      </c>
      <c r="AH166" s="97">
        <v>146</v>
      </c>
      <c r="AI166" s="111" t="s">
        <v>4924</v>
      </c>
      <c r="AJ166" s="111">
        <v>3000000</v>
      </c>
      <c r="AK166" s="97">
        <v>1</v>
      </c>
      <c r="AL166" s="20">
        <f t="shared" si="60"/>
        <v>452</v>
      </c>
      <c r="AM166" s="115">
        <f t="shared" si="61"/>
        <v>1356000000</v>
      </c>
      <c r="AN166" s="20"/>
    </row>
    <row r="167" spans="7:43">
      <c r="O167" s="112"/>
      <c r="P167" s="112"/>
      <c r="S167" s="94"/>
      <c r="T167" s="94" t="s">
        <v>25</v>
      </c>
      <c r="V167" s="94"/>
      <c r="Y167" t="s">
        <v>25</v>
      </c>
      <c r="AH167" s="97">
        <v>147</v>
      </c>
      <c r="AI167" s="111" t="s">
        <v>4922</v>
      </c>
      <c r="AJ167" s="111">
        <v>-658226</v>
      </c>
      <c r="AK167" s="97">
        <v>1</v>
      </c>
      <c r="AL167" s="20">
        <f t="shared" si="60"/>
        <v>451</v>
      </c>
      <c r="AM167" s="115">
        <f t="shared" si="61"/>
        <v>-296859926</v>
      </c>
      <c r="AN167" s="20"/>
    </row>
    <row r="168" spans="7:43">
      <c r="G168" s="32" t="s">
        <v>4221</v>
      </c>
      <c r="H168" s="32"/>
      <c r="I168" s="32" t="s">
        <v>4363</v>
      </c>
      <c r="N168" s="112"/>
      <c r="O168" s="112"/>
      <c r="P168" s="112"/>
      <c r="Q168" s="94"/>
      <c r="R168" s="94"/>
      <c r="S168" s="94"/>
      <c r="T168" s="94"/>
      <c r="V168" s="94"/>
      <c r="Y168" t="s">
        <v>25</v>
      </c>
      <c r="Z168" t="s">
        <v>25</v>
      </c>
      <c r="AH168" s="97">
        <v>148</v>
      </c>
      <c r="AI168" s="111" t="s">
        <v>4927</v>
      </c>
      <c r="AJ168" s="111">
        <v>1000000</v>
      </c>
      <c r="AK168" s="97">
        <v>15</v>
      </c>
      <c r="AL168" s="20">
        <f t="shared" si="60"/>
        <v>450</v>
      </c>
      <c r="AM168" s="115">
        <f t="shared" si="61"/>
        <v>450000000</v>
      </c>
      <c r="AN168" s="20"/>
      <c r="AP168" t="s">
        <v>25</v>
      </c>
    </row>
    <row r="169" spans="7:43">
      <c r="G169" s="32">
        <f>O21+O30+O49+I147</f>
        <v>1596745</v>
      </c>
      <c r="H169" s="32" t="s">
        <v>5535</v>
      </c>
      <c r="I169" s="32">
        <f>O23+O27+O46+I148+O43</f>
        <v>355253</v>
      </c>
      <c r="J169" s="112">
        <f>I169*1000</f>
        <v>355253000</v>
      </c>
      <c r="K169" s="94"/>
      <c r="L169" s="94"/>
      <c r="P169" s="94"/>
      <c r="Q169" s="94"/>
      <c r="R169" s="94"/>
      <c r="S169" s="94"/>
      <c r="T169" s="97" t="s">
        <v>180</v>
      </c>
      <c r="U169" s="97" t="s">
        <v>4439</v>
      </c>
      <c r="V169" s="97" t="s">
        <v>4440</v>
      </c>
      <c r="W169" s="97" t="s">
        <v>4450</v>
      </c>
      <c r="X169" s="97" t="s">
        <v>8</v>
      </c>
      <c r="Y169" t="s">
        <v>25</v>
      </c>
      <c r="AH169" s="97">
        <v>149</v>
      </c>
      <c r="AI169" s="111" t="s">
        <v>4955</v>
      </c>
      <c r="AJ169" s="111">
        <v>1130250</v>
      </c>
      <c r="AK169" s="97">
        <v>5</v>
      </c>
      <c r="AL169" s="20">
        <f t="shared" si="52"/>
        <v>435</v>
      </c>
      <c r="AM169" s="115">
        <f t="shared" si="59"/>
        <v>491658750</v>
      </c>
      <c r="AN169" s="20"/>
    </row>
    <row r="170" spans="7:43">
      <c r="G170" s="32">
        <f>(J148+N23+N24+N27+N45+N46+N43)/P49</f>
        <v>3679176.4161849711</v>
      </c>
      <c r="H170" s="294" t="s">
        <v>5536</v>
      </c>
      <c r="I170" s="32">
        <f>(J147+N49+N45+N30+N24+N21)/P46</f>
        <v>278590.33680555556</v>
      </c>
      <c r="J170" s="112">
        <v>-87000000</v>
      </c>
      <c r="K170" s="94"/>
      <c r="L170" s="94"/>
      <c r="O170" s="112"/>
      <c r="P170" s="112"/>
      <c r="Q170" s="36" t="s">
        <v>4523</v>
      </c>
      <c r="R170" s="93">
        <f>SUM(N43:N51)</f>
        <v>5362151930</v>
      </c>
      <c r="T170" s="111" t="s">
        <v>4422</v>
      </c>
      <c r="U170" s="54">
        <v>1000000</v>
      </c>
      <c r="V170" s="111">
        <v>239.024</v>
      </c>
      <c r="W170" s="111">
        <f t="shared" ref="W170:W271" si="62">U170*V170</f>
        <v>239024000</v>
      </c>
      <c r="X170" s="97"/>
      <c r="Y170" t="s">
        <v>25</v>
      </c>
      <c r="AE170" s="94" t="s">
        <v>25</v>
      </c>
      <c r="AH170" s="97">
        <v>150</v>
      </c>
      <c r="AI170" s="111" t="s">
        <v>4963</v>
      </c>
      <c r="AJ170" s="111">
        <v>206000</v>
      </c>
      <c r="AK170" s="97">
        <v>2</v>
      </c>
      <c r="AL170" s="20">
        <f t="shared" si="52"/>
        <v>430</v>
      </c>
      <c r="AM170" s="115">
        <f t="shared" si="59"/>
        <v>88580000</v>
      </c>
      <c r="AN170" s="20"/>
    </row>
    <row r="171" spans="7:43">
      <c r="G171" s="32">
        <f>G169+G170</f>
        <v>5275921.4161849711</v>
      </c>
      <c r="H171" s="32" t="s">
        <v>5537</v>
      </c>
      <c r="I171" s="32">
        <f>I169+I170</f>
        <v>633843.3368055555</v>
      </c>
      <c r="J171" s="112">
        <v>-10000000</v>
      </c>
      <c r="K171" s="94"/>
      <c r="L171" s="94"/>
      <c r="O171" s="112"/>
      <c r="P171" s="112"/>
      <c r="Q171" s="97" t="s">
        <v>4413</v>
      </c>
      <c r="R171" s="93">
        <f>SUM(N21:N24)</f>
        <v>3136977200</v>
      </c>
      <c r="T171" s="166" t="s">
        <v>4404</v>
      </c>
      <c r="U171" s="54">
        <v>5904</v>
      </c>
      <c r="V171" s="111">
        <v>237.148</v>
      </c>
      <c r="W171" s="111">
        <f t="shared" si="62"/>
        <v>1400121.7919999999</v>
      </c>
      <c r="X171" s="97" t="s">
        <v>744</v>
      </c>
      <c r="Z171" t="s">
        <v>25</v>
      </c>
      <c r="AH171" s="97">
        <v>151</v>
      </c>
      <c r="AI171" s="111" t="s">
        <v>4970</v>
      </c>
      <c r="AJ171" s="111">
        <v>50000</v>
      </c>
      <c r="AK171" s="97">
        <v>2</v>
      </c>
      <c r="AL171" s="20">
        <f t="shared" si="52"/>
        <v>428</v>
      </c>
      <c r="AM171" s="115">
        <f t="shared" si="59"/>
        <v>21400000</v>
      </c>
      <c r="AN171" s="20"/>
    </row>
    <row r="172" spans="7:43">
      <c r="G172" s="32">
        <f>(W156+W157+W158)/P49</f>
        <v>237266.94339422605</v>
      </c>
      <c r="H172" s="32" t="s">
        <v>5511</v>
      </c>
      <c r="I172" s="32">
        <f>(W156+W157+W158)/P46</f>
        <v>28504.98694944521</v>
      </c>
      <c r="J172" s="112"/>
      <c r="K172" s="94"/>
      <c r="L172" s="94"/>
      <c r="P172" s="112"/>
      <c r="Q172" s="97" t="s">
        <v>4414</v>
      </c>
      <c r="R172" s="93">
        <f>SUM(N27:N30)</f>
        <v>344044980</v>
      </c>
      <c r="T172" s="166" t="s">
        <v>4210</v>
      </c>
      <c r="U172" s="166">
        <v>1000</v>
      </c>
      <c r="V172" s="111">
        <v>247.393</v>
      </c>
      <c r="W172" s="111">
        <f t="shared" si="62"/>
        <v>247393</v>
      </c>
      <c r="X172" s="97" t="s">
        <v>744</v>
      </c>
      <c r="Y172" t="s">
        <v>25</v>
      </c>
      <c r="AH172" s="97">
        <v>152</v>
      </c>
      <c r="AI172" s="111" t="s">
        <v>4974</v>
      </c>
      <c r="AJ172" s="111">
        <v>105000</v>
      </c>
      <c r="AK172" s="97">
        <v>4</v>
      </c>
      <c r="AL172" s="20">
        <f t="shared" si="52"/>
        <v>426</v>
      </c>
      <c r="AM172" s="115">
        <f t="shared" si="59"/>
        <v>44730000</v>
      </c>
      <c r="AN172" s="20"/>
    </row>
    <row r="173" spans="7:43">
      <c r="G173" s="32">
        <f>W154/P49</f>
        <v>2055980.2826994474</v>
      </c>
      <c r="H173" s="32" t="s">
        <v>481</v>
      </c>
      <c r="I173" s="32">
        <f>W154/P46</f>
        <v>247003.18674097527</v>
      </c>
      <c r="J173" s="112"/>
      <c r="K173" s="94"/>
      <c r="L173" s="94"/>
      <c r="P173" s="112"/>
      <c r="Q173" s="97" t="s">
        <v>4415</v>
      </c>
      <c r="R173" s="93">
        <f>N41</f>
        <v>284</v>
      </c>
      <c r="T173" s="166" t="s">
        <v>4451</v>
      </c>
      <c r="U173" s="166">
        <v>8071</v>
      </c>
      <c r="V173" s="111">
        <v>247.797</v>
      </c>
      <c r="W173" s="111">
        <f t="shared" si="62"/>
        <v>1999969.5870000001</v>
      </c>
      <c r="X173" s="97" t="s">
        <v>4411</v>
      </c>
      <c r="Y173" t="s">
        <v>25</v>
      </c>
      <c r="AH173" s="97">
        <v>153</v>
      </c>
      <c r="AI173" s="111" t="s">
        <v>4978</v>
      </c>
      <c r="AJ173" s="111">
        <v>5000000</v>
      </c>
      <c r="AK173" s="97">
        <v>1</v>
      </c>
      <c r="AL173" s="20">
        <f t="shared" si="52"/>
        <v>422</v>
      </c>
      <c r="AM173" s="115">
        <f t="shared" si="59"/>
        <v>2110000000</v>
      </c>
      <c r="AN173" s="20"/>
    </row>
    <row r="174" spans="7:43">
      <c r="G174" s="32">
        <f>G171-G172-G173</f>
        <v>2982674.190091298</v>
      </c>
      <c r="H174" s="32" t="s">
        <v>5</v>
      </c>
      <c r="I174" s="32">
        <f>I171-I172-I173</f>
        <v>358335.16311513504</v>
      </c>
      <c r="J174" s="112">
        <f>SUM(J169:J172)</f>
        <v>258253000</v>
      </c>
      <c r="K174" s="94"/>
      <c r="L174" s="94"/>
      <c r="M174" t="s">
        <v>25</v>
      </c>
      <c r="P174" s="112"/>
      <c r="Q174" s="97" t="s">
        <v>4416</v>
      </c>
      <c r="R174" s="93">
        <f>N20</f>
        <v>5958</v>
      </c>
      <c r="T174" s="166" t="s">
        <v>4451</v>
      </c>
      <c r="U174" s="166">
        <v>53672</v>
      </c>
      <c r="V174" s="111">
        <v>247.797</v>
      </c>
      <c r="W174" s="111">
        <f t="shared" si="62"/>
        <v>13299760.584000001</v>
      </c>
      <c r="X174" s="97" t="s">
        <v>452</v>
      </c>
      <c r="Y174" t="s">
        <v>25</v>
      </c>
      <c r="Z174" t="s">
        <v>25</v>
      </c>
      <c r="AH174" s="97">
        <v>154</v>
      </c>
      <c r="AI174" s="111" t="s">
        <v>4979</v>
      </c>
      <c r="AJ174" s="111">
        <v>2500000</v>
      </c>
      <c r="AK174" s="97">
        <v>2</v>
      </c>
      <c r="AL174" s="20">
        <f t="shared" si="52"/>
        <v>421</v>
      </c>
      <c r="AM174" s="115">
        <f t="shared" si="59"/>
        <v>1052500000</v>
      </c>
      <c r="AN174" s="20"/>
    </row>
    <row r="175" spans="7:43">
      <c r="P175" s="112"/>
      <c r="Q175" s="97" t="s">
        <v>4417</v>
      </c>
      <c r="R175" s="93">
        <f>N26</f>
        <v>20000</v>
      </c>
      <c r="T175" s="166" t="s">
        <v>4459</v>
      </c>
      <c r="U175" s="166">
        <v>4099</v>
      </c>
      <c r="V175" s="111">
        <v>243.93</v>
      </c>
      <c r="W175" s="111">
        <f t="shared" si="62"/>
        <v>999869.07000000007</v>
      </c>
      <c r="X175" s="97" t="s">
        <v>4411</v>
      </c>
      <c r="Z175" t="s">
        <v>25</v>
      </c>
      <c r="AH175" s="261">
        <v>155</v>
      </c>
      <c r="AI175" s="257" t="s">
        <v>4985</v>
      </c>
      <c r="AJ175" s="257">
        <v>-50000000</v>
      </c>
      <c r="AK175" s="261">
        <v>7</v>
      </c>
      <c r="AL175" s="261">
        <f t="shared" si="52"/>
        <v>419</v>
      </c>
      <c r="AM175" s="257">
        <f t="shared" si="59"/>
        <v>-20950000000</v>
      </c>
      <c r="AN175" s="261" t="s">
        <v>4993</v>
      </c>
    </row>
    <row r="176" spans="7:43">
      <c r="P176" s="112"/>
      <c r="Q176" s="97"/>
      <c r="R176" s="93"/>
      <c r="S176" t="s">
        <v>25</v>
      </c>
      <c r="T176" s="166" t="s">
        <v>4459</v>
      </c>
      <c r="U176" s="166">
        <v>9301</v>
      </c>
      <c r="V176" s="111">
        <v>243.93</v>
      </c>
      <c r="W176" s="111">
        <f t="shared" si="62"/>
        <v>2268792.9300000002</v>
      </c>
      <c r="X176" s="97" t="s">
        <v>452</v>
      </c>
      <c r="Z176" t="s">
        <v>25</v>
      </c>
      <c r="AH176" s="97">
        <v>156</v>
      </c>
      <c r="AI176" s="111" t="s">
        <v>4991</v>
      </c>
      <c r="AJ176" s="111">
        <v>10000000</v>
      </c>
      <c r="AK176" s="97">
        <v>12</v>
      </c>
      <c r="AL176" s="20">
        <f t="shared" si="52"/>
        <v>412</v>
      </c>
      <c r="AM176" s="115">
        <f t="shared" si="59"/>
        <v>4120000000</v>
      </c>
      <c r="AN176" s="20" t="s">
        <v>4692</v>
      </c>
    </row>
    <row r="177" spans="5:43">
      <c r="K177" s="94"/>
      <c r="L177" s="94"/>
      <c r="P177" s="112"/>
      <c r="Q177" s="97" t="s">
        <v>5083</v>
      </c>
      <c r="R177" s="93">
        <v>0</v>
      </c>
      <c r="T177" s="166" t="s">
        <v>4465</v>
      </c>
      <c r="U177" s="166">
        <v>8334</v>
      </c>
      <c r="V177" s="111">
        <v>239.97</v>
      </c>
      <c r="W177" s="111">
        <f t="shared" si="62"/>
        <v>1999909.98</v>
      </c>
      <c r="X177" s="97" t="s">
        <v>4411</v>
      </c>
      <c r="AH177" s="97">
        <v>157</v>
      </c>
      <c r="AI177" s="111" t="s">
        <v>4998</v>
      </c>
      <c r="AJ177" s="111">
        <v>-16266000</v>
      </c>
      <c r="AK177" s="97">
        <v>1</v>
      </c>
      <c r="AL177" s="20">
        <f t="shared" si="52"/>
        <v>400</v>
      </c>
      <c r="AM177" s="115">
        <f t="shared" si="59"/>
        <v>-6506400000</v>
      </c>
      <c r="AN177" s="20" t="s">
        <v>5006</v>
      </c>
      <c r="AQ177" t="s">
        <v>25</v>
      </c>
    </row>
    <row r="178" spans="5:43">
      <c r="P178" s="112"/>
      <c r="Q178" s="97" t="s">
        <v>5729</v>
      </c>
      <c r="R178" s="93">
        <v>-734</v>
      </c>
      <c r="S178" s="94"/>
      <c r="T178" s="166" t="s">
        <v>4209</v>
      </c>
      <c r="U178" s="166">
        <v>29041</v>
      </c>
      <c r="V178" s="111">
        <v>233.45</v>
      </c>
      <c r="W178" s="111">
        <f t="shared" si="62"/>
        <v>6779621.4499999993</v>
      </c>
      <c r="X178" s="97" t="s">
        <v>744</v>
      </c>
      <c r="Y178" t="s">
        <v>25</v>
      </c>
      <c r="AH178" s="97">
        <v>158</v>
      </c>
      <c r="AI178" s="111" t="s">
        <v>5007</v>
      </c>
      <c r="AJ178" s="111">
        <v>1000000</v>
      </c>
      <c r="AK178" s="97">
        <v>6</v>
      </c>
      <c r="AL178" s="20">
        <f>AL179+AK178</f>
        <v>399</v>
      </c>
      <c r="AM178" s="115">
        <f>AJ178*AL178</f>
        <v>399000000</v>
      </c>
      <c r="AN178" s="20"/>
    </row>
    <row r="179" spans="5:43">
      <c r="G179" s="32" t="s">
        <v>180</v>
      </c>
      <c r="H179" s="32" t="s">
        <v>5538</v>
      </c>
      <c r="I179" s="210" t="s">
        <v>5539</v>
      </c>
      <c r="J179" s="210" t="s">
        <v>5540</v>
      </c>
      <c r="K179" s="32" t="s">
        <v>5541</v>
      </c>
      <c r="L179" s="97" t="s">
        <v>5555</v>
      </c>
      <c r="M179" s="97" t="s">
        <v>5556</v>
      </c>
      <c r="P179" s="112"/>
      <c r="Q179" s="97"/>
      <c r="R179" s="93"/>
      <c r="S179" s="94"/>
      <c r="T179" s="166" t="s">
        <v>979</v>
      </c>
      <c r="U179" s="166">
        <v>12337</v>
      </c>
      <c r="V179" s="111">
        <v>243.16300000000001</v>
      </c>
      <c r="W179" s="111">
        <f t="shared" si="62"/>
        <v>2999901.9310000003</v>
      </c>
      <c r="X179" s="97" t="s">
        <v>4411</v>
      </c>
      <c r="Y179" t="s">
        <v>25</v>
      </c>
      <c r="AH179" s="97">
        <v>159</v>
      </c>
      <c r="AI179" s="111" t="s">
        <v>5015</v>
      </c>
      <c r="AJ179" s="111">
        <v>40000</v>
      </c>
      <c r="AK179" s="97">
        <v>5</v>
      </c>
      <c r="AL179" s="20">
        <f>AL180+AK179</f>
        <v>393</v>
      </c>
      <c r="AM179" s="115">
        <f>AJ179*AL179</f>
        <v>15720000</v>
      </c>
      <c r="AN179" s="20"/>
    </row>
    <row r="180" spans="5:43">
      <c r="G180" s="32" t="s">
        <v>5526</v>
      </c>
      <c r="H180" s="32">
        <v>3256760</v>
      </c>
      <c r="I180" s="210">
        <v>245992</v>
      </c>
      <c r="J180" s="210">
        <v>2544443</v>
      </c>
      <c r="K180" s="32">
        <v>192693</v>
      </c>
      <c r="L180" s="97">
        <f t="shared" ref="L180:L188" si="63">H180+J180</f>
        <v>5801203</v>
      </c>
      <c r="M180" s="97">
        <f t="shared" ref="M180:M188" si="64">I180+K180</f>
        <v>438685</v>
      </c>
      <c r="P180" s="112"/>
      <c r="Q180" s="97"/>
      <c r="R180" s="93"/>
      <c r="T180" s="166" t="s">
        <v>4541</v>
      </c>
      <c r="U180" s="166">
        <v>-16118</v>
      </c>
      <c r="V180" s="111">
        <v>248.17</v>
      </c>
      <c r="W180" s="111">
        <f t="shared" si="62"/>
        <v>-4000004.0599999996</v>
      </c>
      <c r="X180" s="97" t="s">
        <v>744</v>
      </c>
      <c r="AB180" t="s">
        <v>25</v>
      </c>
      <c r="AH180" s="97">
        <v>160</v>
      </c>
      <c r="AI180" s="111" t="s">
        <v>5024</v>
      </c>
      <c r="AJ180" s="111">
        <v>120000</v>
      </c>
      <c r="AK180" s="97">
        <v>6</v>
      </c>
      <c r="AL180" s="20">
        <f>AL181+AK180</f>
        <v>388</v>
      </c>
      <c r="AM180" s="115">
        <f>AJ180*AL180</f>
        <v>46560000</v>
      </c>
      <c r="AN180" s="20"/>
    </row>
    <row r="181" spans="5:43">
      <c r="G181" s="32" t="s">
        <v>5542</v>
      </c>
      <c r="H181" s="32">
        <v>3245022</v>
      </c>
      <c r="I181" s="210">
        <v>249261</v>
      </c>
      <c r="J181" s="210">
        <v>2532877</v>
      </c>
      <c r="K181" s="32">
        <v>195062</v>
      </c>
      <c r="L181" s="97">
        <f t="shared" si="63"/>
        <v>5777899</v>
      </c>
      <c r="M181" s="97">
        <f t="shared" si="64"/>
        <v>444323</v>
      </c>
      <c r="P181" s="112"/>
      <c r="Q181" s="97"/>
      <c r="R181" s="93"/>
      <c r="S181" s="94"/>
      <c r="T181" s="166" t="s">
        <v>4563</v>
      </c>
      <c r="U181" s="166">
        <v>101681</v>
      </c>
      <c r="V181" s="111">
        <v>246.5711</v>
      </c>
      <c r="W181" s="111">
        <f t="shared" si="62"/>
        <v>25071596.019099999</v>
      </c>
      <c r="X181" s="97" t="s">
        <v>452</v>
      </c>
      <c r="Y181" t="s">
        <v>25</v>
      </c>
      <c r="Z181" t="s">
        <v>25</v>
      </c>
      <c r="AH181" s="97">
        <v>161</v>
      </c>
      <c r="AI181" s="111" t="s">
        <v>5020</v>
      </c>
      <c r="AJ181" s="111">
        <v>249000</v>
      </c>
      <c r="AK181" s="97">
        <v>9</v>
      </c>
      <c r="AL181" s="20">
        <f>AL182+AK181</f>
        <v>382</v>
      </c>
      <c r="AM181" s="115">
        <f>AJ181*AL181</f>
        <v>95118000</v>
      </c>
      <c r="AN181" s="20"/>
    </row>
    <row r="182" spans="5:43">
      <c r="E182" t="s">
        <v>25</v>
      </c>
      <c r="G182" s="32" t="s">
        <v>5543</v>
      </c>
      <c r="H182" s="32"/>
      <c r="I182" s="210"/>
      <c r="J182" s="210"/>
      <c r="K182" s="32"/>
      <c r="L182" s="97">
        <f t="shared" si="63"/>
        <v>0</v>
      </c>
      <c r="M182" s="97">
        <f t="shared" si="64"/>
        <v>0</v>
      </c>
      <c r="P182" s="112"/>
      <c r="Q182" s="97" t="s">
        <v>5084</v>
      </c>
      <c r="R182" s="93">
        <v>0</v>
      </c>
      <c r="S182" s="113" t="s">
        <v>25</v>
      </c>
      <c r="T182" s="166" t="s">
        <v>4567</v>
      </c>
      <c r="U182" s="166">
        <v>66606</v>
      </c>
      <c r="V182" s="111">
        <v>251.131</v>
      </c>
      <c r="W182" s="111">
        <f t="shared" si="62"/>
        <v>16726831.386</v>
      </c>
      <c r="X182" s="97" t="s">
        <v>744</v>
      </c>
      <c r="Y182" t="s">
        <v>25</v>
      </c>
      <c r="AH182" s="97">
        <v>162</v>
      </c>
      <c r="AI182" s="111" t="s">
        <v>5046</v>
      </c>
      <c r="AJ182" s="111">
        <v>65000</v>
      </c>
      <c r="AK182" s="97">
        <v>7</v>
      </c>
      <c r="AL182" s="20">
        <f>AL183+AK182</f>
        <v>373</v>
      </c>
      <c r="AM182" s="115">
        <f>AJ182*AL182</f>
        <v>24245000</v>
      </c>
      <c r="AN182" s="20"/>
    </row>
    <row r="183" spans="5:43">
      <c r="G183" s="32" t="s">
        <v>5544</v>
      </c>
      <c r="H183" s="32"/>
      <c r="I183" s="210"/>
      <c r="J183" s="210"/>
      <c r="K183" s="32"/>
      <c r="L183" s="97">
        <f t="shared" si="63"/>
        <v>0</v>
      </c>
      <c r="M183" s="97">
        <f t="shared" si="64"/>
        <v>0</v>
      </c>
      <c r="O183" s="94"/>
      <c r="P183" s="112"/>
      <c r="Q183" s="97"/>
      <c r="R183" s="93"/>
      <c r="S183" s="120" t="s">
        <v>25</v>
      </c>
      <c r="T183" s="166" t="s">
        <v>4572</v>
      </c>
      <c r="U183" s="166">
        <v>172025</v>
      </c>
      <c r="V183" s="111">
        <v>245.52809999999999</v>
      </c>
      <c r="W183" s="111">
        <f t="shared" si="62"/>
        <v>42236971.402499996</v>
      </c>
      <c r="X183" s="97" t="s">
        <v>452</v>
      </c>
      <c r="Z183" t="s">
        <v>25</v>
      </c>
      <c r="AH183" s="97">
        <v>163</v>
      </c>
      <c r="AI183" s="111" t="s">
        <v>5056</v>
      </c>
      <c r="AJ183" s="111">
        <v>-312598</v>
      </c>
      <c r="AK183" s="97">
        <v>0</v>
      </c>
      <c r="AL183" s="20">
        <f t="shared" ref="AL183:AL190" si="65">AL184+AK183</f>
        <v>366</v>
      </c>
      <c r="AM183" s="115">
        <f t="shared" ref="AM183:AM190" si="66">AJ183*AL183</f>
        <v>-114410868</v>
      </c>
      <c r="AN183" s="20"/>
      <c r="AO183" t="s">
        <v>25</v>
      </c>
      <c r="AQ183" t="s">
        <v>25</v>
      </c>
    </row>
    <row r="184" spans="5:43">
      <c r="G184" s="32" t="s">
        <v>5568</v>
      </c>
      <c r="H184" s="32">
        <v>3270584</v>
      </c>
      <c r="I184" s="210">
        <v>250916</v>
      </c>
      <c r="J184" s="210">
        <v>2496979</v>
      </c>
      <c r="K184" s="32">
        <v>203160</v>
      </c>
      <c r="L184" s="97">
        <f t="shared" si="63"/>
        <v>5767563</v>
      </c>
      <c r="M184" s="97">
        <f t="shared" si="64"/>
        <v>454076</v>
      </c>
      <c r="O184" t="s">
        <v>25</v>
      </c>
      <c r="P184" s="112"/>
      <c r="Q184" s="97"/>
      <c r="R184" s="93"/>
      <c r="S184" s="113"/>
      <c r="T184" s="166" t="s">
        <v>4572</v>
      </c>
      <c r="U184" s="166">
        <v>189227</v>
      </c>
      <c r="V184" s="111">
        <v>245.52809999999999</v>
      </c>
      <c r="W184" s="111">
        <f t="shared" si="62"/>
        <v>46460545.778700002</v>
      </c>
      <c r="X184" s="97" t="s">
        <v>744</v>
      </c>
      <c r="AH184" s="97">
        <v>164</v>
      </c>
      <c r="AI184" s="111" t="s">
        <v>5056</v>
      </c>
      <c r="AJ184" s="111">
        <v>50000</v>
      </c>
      <c r="AK184" s="97">
        <v>6</v>
      </c>
      <c r="AL184" s="20">
        <f t="shared" si="65"/>
        <v>366</v>
      </c>
      <c r="AM184" s="115">
        <f t="shared" si="66"/>
        <v>18300000</v>
      </c>
      <c r="AN184" s="20"/>
    </row>
    <row r="185" spans="5:43">
      <c r="G185" s="32" t="s">
        <v>5569</v>
      </c>
      <c r="H185" s="32">
        <v>3225584</v>
      </c>
      <c r="I185" s="210">
        <v>260042</v>
      </c>
      <c r="J185" s="210">
        <v>2466124</v>
      </c>
      <c r="K185" s="32">
        <v>210439</v>
      </c>
      <c r="L185" s="97">
        <f t="shared" si="63"/>
        <v>5691708</v>
      </c>
      <c r="M185" s="97">
        <f t="shared" si="64"/>
        <v>470481</v>
      </c>
      <c r="P185" s="112"/>
      <c r="Q185" s="97"/>
      <c r="R185" s="93"/>
      <c r="S185" s="113"/>
      <c r="T185" s="166" t="s">
        <v>4573</v>
      </c>
      <c r="U185" s="166">
        <v>79720</v>
      </c>
      <c r="V185" s="111">
        <v>246.6568</v>
      </c>
      <c r="W185" s="111">
        <f t="shared" si="62"/>
        <v>19663480.096000001</v>
      </c>
      <c r="X185" s="97" t="s">
        <v>452</v>
      </c>
      <c r="Y185" t="s">
        <v>25</v>
      </c>
      <c r="Z185" t="s">
        <v>25</v>
      </c>
      <c r="AH185" s="97">
        <v>165</v>
      </c>
      <c r="AI185" s="111" t="s">
        <v>5066</v>
      </c>
      <c r="AJ185" s="111">
        <v>-200000</v>
      </c>
      <c r="AK185" s="97">
        <v>0</v>
      </c>
      <c r="AL185" s="20">
        <f t="shared" si="65"/>
        <v>360</v>
      </c>
      <c r="AM185" s="115">
        <f t="shared" si="66"/>
        <v>-72000000</v>
      </c>
      <c r="AN185" s="20" t="s">
        <v>5067</v>
      </c>
    </row>
    <row r="186" spans="5:43">
      <c r="G186" s="32" t="s">
        <v>5570</v>
      </c>
      <c r="H186" s="32">
        <v>3271778</v>
      </c>
      <c r="I186" s="210">
        <v>282233</v>
      </c>
      <c r="J186" s="210">
        <v>2458563</v>
      </c>
      <c r="K186" s="32">
        <v>212082</v>
      </c>
      <c r="L186" s="97">
        <f t="shared" si="63"/>
        <v>5730341</v>
      </c>
      <c r="M186" s="97">
        <f t="shared" si="64"/>
        <v>494315</v>
      </c>
      <c r="O186" t="s">
        <v>25</v>
      </c>
      <c r="Q186" s="97" t="s">
        <v>4421</v>
      </c>
      <c r="R186" s="93">
        <f>SUM(R170:R185)</f>
        <v>8843199618</v>
      </c>
      <c r="T186" s="166" t="s">
        <v>4573</v>
      </c>
      <c r="U186" s="166">
        <v>79720</v>
      </c>
      <c r="V186" s="111">
        <v>246.6568</v>
      </c>
      <c r="W186" s="111">
        <f t="shared" si="62"/>
        <v>19663480.096000001</v>
      </c>
      <c r="X186" s="97" t="s">
        <v>744</v>
      </c>
      <c r="AH186" s="97">
        <v>166</v>
      </c>
      <c r="AI186" s="111" t="s">
        <v>5066</v>
      </c>
      <c r="AJ186" s="111">
        <v>200000</v>
      </c>
      <c r="AK186" s="97">
        <v>3</v>
      </c>
      <c r="AL186" s="20">
        <f t="shared" si="65"/>
        <v>360</v>
      </c>
      <c r="AM186" s="115">
        <f t="shared" si="66"/>
        <v>72000000</v>
      </c>
      <c r="AN186" s="20"/>
      <c r="AQ186" t="s">
        <v>25</v>
      </c>
    </row>
    <row r="187" spans="5:43">
      <c r="G187" s="32" t="s">
        <v>5577</v>
      </c>
      <c r="H187" s="32">
        <v>3298939</v>
      </c>
      <c r="I187" s="210">
        <v>281309</v>
      </c>
      <c r="J187" s="210">
        <v>2465538</v>
      </c>
      <c r="K187" s="32">
        <v>210242</v>
      </c>
      <c r="L187" s="97">
        <f t="shared" si="63"/>
        <v>5764477</v>
      </c>
      <c r="M187" s="97">
        <f t="shared" si="64"/>
        <v>491551</v>
      </c>
      <c r="P187" s="112"/>
      <c r="Q187" s="94"/>
      <c r="T187" s="166" t="s">
        <v>4596</v>
      </c>
      <c r="U187" s="166">
        <v>17769</v>
      </c>
      <c r="V187" s="111">
        <v>246.17877999999999</v>
      </c>
      <c r="W187" s="111">
        <f t="shared" si="62"/>
        <v>4374350.7418200001</v>
      </c>
      <c r="X187" s="97" t="s">
        <v>744</v>
      </c>
      <c r="Y187" t="s">
        <v>25</v>
      </c>
      <c r="Z187" t="s">
        <v>25</v>
      </c>
      <c r="AH187" s="97">
        <v>167</v>
      </c>
      <c r="AI187" s="111" t="s">
        <v>5073</v>
      </c>
      <c r="AJ187" s="111">
        <v>200000</v>
      </c>
      <c r="AK187" s="97">
        <v>3</v>
      </c>
      <c r="AL187" s="20">
        <f t="shared" si="65"/>
        <v>357</v>
      </c>
      <c r="AM187" s="115">
        <f t="shared" si="66"/>
        <v>71400000</v>
      </c>
      <c r="AN187" s="20"/>
    </row>
    <row r="188" spans="5:43">
      <c r="G188" s="32" t="s">
        <v>5581</v>
      </c>
      <c r="H188" s="32">
        <v>3453903</v>
      </c>
      <c r="I188" s="210">
        <v>259725</v>
      </c>
      <c r="J188" s="210">
        <v>2541096</v>
      </c>
      <c r="K188" s="32">
        <v>191084</v>
      </c>
      <c r="L188" s="97">
        <f t="shared" si="63"/>
        <v>5994999</v>
      </c>
      <c r="M188" s="97">
        <f t="shared" si="64"/>
        <v>450809</v>
      </c>
      <c r="P188" s="112"/>
      <c r="T188" s="166" t="s">
        <v>4596</v>
      </c>
      <c r="U188" s="166">
        <v>17769</v>
      </c>
      <c r="V188" s="111">
        <v>246.17877999999999</v>
      </c>
      <c r="W188" s="111">
        <f t="shared" si="62"/>
        <v>4374350.7418200001</v>
      </c>
      <c r="X188" s="97" t="s">
        <v>452</v>
      </c>
      <c r="AH188" s="97">
        <v>168</v>
      </c>
      <c r="AI188" s="111" t="s">
        <v>5076</v>
      </c>
      <c r="AJ188" s="111">
        <v>30000</v>
      </c>
      <c r="AK188" s="97">
        <v>7</v>
      </c>
      <c r="AL188" s="20">
        <f t="shared" si="65"/>
        <v>354</v>
      </c>
      <c r="AM188" s="115">
        <f t="shared" si="66"/>
        <v>10620000</v>
      </c>
      <c r="AN188" s="20"/>
    </row>
    <row r="189" spans="5:43">
      <c r="G189" s="32"/>
      <c r="H189" s="32"/>
      <c r="I189" s="210"/>
      <c r="J189" s="210"/>
      <c r="K189" s="32"/>
      <c r="L189" s="97"/>
      <c r="M189" s="97"/>
      <c r="Q189" s="210" t="s">
        <v>8</v>
      </c>
      <c r="R189" s="210" t="s">
        <v>4411</v>
      </c>
      <c r="S189" s="210"/>
      <c r="T189" s="166" t="s">
        <v>4598</v>
      </c>
      <c r="U189" s="166">
        <v>12438</v>
      </c>
      <c r="V189" s="111">
        <v>241.20465999999999</v>
      </c>
      <c r="W189" s="111">
        <f t="shared" si="62"/>
        <v>3000103.5610799999</v>
      </c>
      <c r="X189" s="97" t="s">
        <v>4411</v>
      </c>
      <c r="Y189" t="s">
        <v>25</v>
      </c>
      <c r="AH189" s="97">
        <v>169</v>
      </c>
      <c r="AI189" s="111" t="s">
        <v>5034</v>
      </c>
      <c r="AJ189" s="111">
        <v>-10000000</v>
      </c>
      <c r="AK189" s="97">
        <v>0</v>
      </c>
      <c r="AL189" s="20">
        <f t="shared" si="65"/>
        <v>347</v>
      </c>
      <c r="AM189" s="115">
        <f t="shared" si="66"/>
        <v>-3470000000</v>
      </c>
      <c r="AN189" s="20" t="s">
        <v>4993</v>
      </c>
    </row>
    <row r="190" spans="5:43">
      <c r="G190" s="32"/>
      <c r="H190" s="32"/>
      <c r="I190" s="210"/>
      <c r="J190" s="210"/>
      <c r="K190" s="32"/>
      <c r="L190" s="97"/>
      <c r="M190" s="97"/>
      <c r="Q190" s="210"/>
      <c r="R190" s="71" t="s">
        <v>180</v>
      </c>
      <c r="S190" s="210" t="s">
        <v>267</v>
      </c>
      <c r="T190" s="166" t="s">
        <v>4607</v>
      </c>
      <c r="U190" s="166">
        <v>27363</v>
      </c>
      <c r="V190" s="111">
        <v>239.3886</v>
      </c>
      <c r="W190" s="111">
        <f t="shared" si="62"/>
        <v>6550390.2617999995</v>
      </c>
      <c r="X190" s="97" t="s">
        <v>744</v>
      </c>
      <c r="Y190" t="s">
        <v>25</v>
      </c>
      <c r="AH190" s="97">
        <v>170</v>
      </c>
      <c r="AI190" s="111" t="s">
        <v>5034</v>
      </c>
      <c r="AJ190" s="111">
        <v>6000000</v>
      </c>
      <c r="AK190" s="97">
        <v>8</v>
      </c>
      <c r="AL190" s="20">
        <f t="shared" si="65"/>
        <v>347</v>
      </c>
      <c r="AM190" s="115">
        <f t="shared" si="66"/>
        <v>2082000000</v>
      </c>
      <c r="AN190" s="20"/>
      <c r="AP190" t="s">
        <v>25</v>
      </c>
    </row>
    <row r="191" spans="5:43">
      <c r="G191" s="32"/>
      <c r="H191" s="32"/>
      <c r="I191" s="210"/>
      <c r="J191" s="210"/>
      <c r="K191" s="32"/>
      <c r="L191" s="97">
        <f>H191+J191</f>
        <v>0</v>
      </c>
      <c r="M191" s="97">
        <f>I191+K191</f>
        <v>0</v>
      </c>
      <c r="Q191" s="210"/>
      <c r="R191" s="210" t="s">
        <v>4404</v>
      </c>
      <c r="S191" s="111">
        <v>3000000</v>
      </c>
      <c r="T191" s="166" t="s">
        <v>4607</v>
      </c>
      <c r="U191" s="166">
        <v>27363</v>
      </c>
      <c r="V191" s="111">
        <v>239.3886</v>
      </c>
      <c r="W191" s="111">
        <f t="shared" si="62"/>
        <v>6550390.2617999995</v>
      </c>
      <c r="X191" s="97" t="s">
        <v>452</v>
      </c>
      <c r="Y191" t="s">
        <v>25</v>
      </c>
      <c r="AH191" s="97">
        <v>171</v>
      </c>
      <c r="AI191" s="111" t="s">
        <v>5103</v>
      </c>
      <c r="AJ191" s="111">
        <v>150000</v>
      </c>
      <c r="AK191" s="97">
        <v>7</v>
      </c>
      <c r="AL191" s="20">
        <f>AL192+AK191</f>
        <v>339</v>
      </c>
      <c r="AM191" s="115">
        <f>AJ191*AL191</f>
        <v>50850000</v>
      </c>
      <c r="AN191" s="20"/>
    </row>
    <row r="192" spans="5:43">
      <c r="Q192" s="210"/>
      <c r="R192" s="210" t="s">
        <v>4451</v>
      </c>
      <c r="S192" s="111">
        <v>2000000</v>
      </c>
      <c r="T192" s="207" t="s">
        <v>4609</v>
      </c>
      <c r="U192" s="207">
        <v>27437</v>
      </c>
      <c r="V192" s="111">
        <v>242.4015</v>
      </c>
      <c r="W192" s="111">
        <f t="shared" si="62"/>
        <v>6650769.9555000002</v>
      </c>
      <c r="X192" s="97" t="s">
        <v>744</v>
      </c>
      <c r="AH192" s="97">
        <v>172</v>
      </c>
      <c r="AI192" s="111" t="s">
        <v>5139</v>
      </c>
      <c r="AJ192" s="111">
        <v>400000</v>
      </c>
      <c r="AK192" s="97">
        <v>1</v>
      </c>
      <c r="AL192" s="20">
        <f>AL193+AK192</f>
        <v>332</v>
      </c>
      <c r="AM192" s="115">
        <f>AJ192*AL192</f>
        <v>132800000</v>
      </c>
      <c r="AN192" s="20"/>
    </row>
    <row r="193" spans="7:45">
      <c r="Q193" s="210"/>
      <c r="R193" s="210" t="s">
        <v>4459</v>
      </c>
      <c r="S193" s="111">
        <v>1000000</v>
      </c>
      <c r="T193" s="207" t="s">
        <v>4609</v>
      </c>
      <c r="U193" s="207">
        <v>29104</v>
      </c>
      <c r="V193" s="111">
        <v>242.4015</v>
      </c>
      <c r="W193" s="111">
        <f t="shared" si="62"/>
        <v>7054853.2560000001</v>
      </c>
      <c r="X193" s="97" t="s">
        <v>452</v>
      </c>
      <c r="AH193" s="97">
        <v>173</v>
      </c>
      <c r="AI193" s="111" t="s">
        <v>5143</v>
      </c>
      <c r="AJ193" s="111">
        <v>-100000</v>
      </c>
      <c r="AK193" s="97">
        <v>1</v>
      </c>
      <c r="AL193" s="20">
        <f>AL194+AK193</f>
        <v>331</v>
      </c>
      <c r="AM193" s="115">
        <f>AJ193*AL193</f>
        <v>-33100000</v>
      </c>
      <c r="AN193" s="20"/>
    </row>
    <row r="194" spans="7:45">
      <c r="G194" s="97" t="s">
        <v>5528</v>
      </c>
      <c r="H194" s="97"/>
      <c r="I194" s="97"/>
      <c r="K194" t="s">
        <v>25</v>
      </c>
      <c r="M194" t="s">
        <v>25</v>
      </c>
      <c r="Q194" s="210"/>
      <c r="R194" s="210" t="s">
        <v>4465</v>
      </c>
      <c r="S194" s="111">
        <v>2000000</v>
      </c>
      <c r="T194" s="210" t="s">
        <v>4626</v>
      </c>
      <c r="U194" s="210">
        <v>8991</v>
      </c>
      <c r="V194" s="111">
        <v>238.64867000000001</v>
      </c>
      <c r="W194" s="111">
        <f t="shared" si="62"/>
        <v>2145690.19197</v>
      </c>
      <c r="X194" s="97" t="s">
        <v>744</v>
      </c>
      <c r="Y194" t="s">
        <v>25</v>
      </c>
      <c r="AH194" s="97">
        <v>174</v>
      </c>
      <c r="AI194" s="111" t="s">
        <v>5147</v>
      </c>
      <c r="AJ194" s="111">
        <v>10000000</v>
      </c>
      <c r="AK194" s="97">
        <v>1</v>
      </c>
      <c r="AL194" s="20">
        <f>AL195+AK194</f>
        <v>330</v>
      </c>
      <c r="AM194" s="115">
        <f>AJ194*AL194</f>
        <v>3300000000</v>
      </c>
      <c r="AN194" s="20" t="s">
        <v>4692</v>
      </c>
      <c r="AS194" t="s">
        <v>25</v>
      </c>
    </row>
    <row r="195" spans="7:45">
      <c r="G195" s="97" t="s">
        <v>452</v>
      </c>
      <c r="H195" s="97">
        <v>199</v>
      </c>
      <c r="I195" s="97" t="s">
        <v>5529</v>
      </c>
      <c r="Q195" s="210"/>
      <c r="R195" s="210" t="s">
        <v>979</v>
      </c>
      <c r="S195" s="111">
        <v>3000000</v>
      </c>
      <c r="T195" s="210" t="s">
        <v>4626</v>
      </c>
      <c r="U195" s="210">
        <v>8991</v>
      </c>
      <c r="V195" s="111">
        <v>238.64867000000001</v>
      </c>
      <c r="W195" s="111">
        <f t="shared" si="62"/>
        <v>2145690.19197</v>
      </c>
      <c r="X195" s="97" t="s">
        <v>452</v>
      </c>
      <c r="AH195" s="97">
        <v>175</v>
      </c>
      <c r="AI195" s="111" t="s">
        <v>5152</v>
      </c>
      <c r="AJ195" s="111">
        <v>-400000</v>
      </c>
      <c r="AK195" s="97">
        <v>6</v>
      </c>
      <c r="AL195" s="20">
        <f t="shared" ref="AL195:AL203" si="67">AL196+AK195</f>
        <v>329</v>
      </c>
      <c r="AM195" s="115">
        <f t="shared" ref="AM195:AM203" si="68">AJ195*AL195</f>
        <v>-131600000</v>
      </c>
      <c r="AN195" s="20"/>
    </row>
    <row r="196" spans="7:45">
      <c r="G196" s="97" t="s">
        <v>744</v>
      </c>
      <c r="H196" s="97">
        <v>200</v>
      </c>
      <c r="I196" s="97" t="s">
        <v>5530</v>
      </c>
      <c r="M196" t="s">
        <v>25</v>
      </c>
      <c r="Q196" s="210"/>
      <c r="R196" s="210" t="s">
        <v>4598</v>
      </c>
      <c r="S196" s="111">
        <v>3000000</v>
      </c>
      <c r="T196" s="210" t="s">
        <v>4637</v>
      </c>
      <c r="U196" s="210">
        <v>18170</v>
      </c>
      <c r="V196" s="111">
        <v>240.48475999999999</v>
      </c>
      <c r="W196" s="111">
        <f t="shared" si="62"/>
        <v>4369608.0892000003</v>
      </c>
      <c r="X196" s="97" t="s">
        <v>744</v>
      </c>
      <c r="Z196" t="s">
        <v>25</v>
      </c>
      <c r="AA196" t="s">
        <v>25</v>
      </c>
      <c r="AH196" s="97">
        <v>176</v>
      </c>
      <c r="AI196" s="111" t="s">
        <v>5159</v>
      </c>
      <c r="AJ196" s="111">
        <v>1300000</v>
      </c>
      <c r="AK196" s="97">
        <v>0</v>
      </c>
      <c r="AL196" s="20">
        <f t="shared" si="67"/>
        <v>323</v>
      </c>
      <c r="AM196" s="115">
        <f t="shared" si="68"/>
        <v>419900000</v>
      </c>
      <c r="AN196" s="20"/>
      <c r="AR196" t="s">
        <v>25</v>
      </c>
    </row>
    <row r="197" spans="7:45">
      <c r="G197" s="97" t="s">
        <v>5499</v>
      </c>
      <c r="H197" s="97">
        <v>200</v>
      </c>
      <c r="I197" s="97" t="s">
        <v>5574</v>
      </c>
      <c r="P197" s="112"/>
      <c r="Q197" s="210" t="s">
        <v>4770</v>
      </c>
      <c r="R197" s="210" t="s">
        <v>4765</v>
      </c>
      <c r="S197" s="111">
        <v>-800000</v>
      </c>
      <c r="T197" s="210" t="s">
        <v>4637</v>
      </c>
      <c r="U197" s="210">
        <v>18170</v>
      </c>
      <c r="V197" s="111">
        <v>240.48475999999999</v>
      </c>
      <c r="W197" s="111">
        <f t="shared" si="62"/>
        <v>4369608.0892000003</v>
      </c>
      <c r="X197" s="97" t="s">
        <v>452</v>
      </c>
      <c r="Y197" t="s">
        <v>25</v>
      </c>
      <c r="AH197" s="97">
        <v>177</v>
      </c>
      <c r="AI197" s="111" t="s">
        <v>5159</v>
      </c>
      <c r="AJ197" s="111">
        <v>230000</v>
      </c>
      <c r="AK197" s="97">
        <v>1</v>
      </c>
      <c r="AL197" s="20">
        <f t="shared" si="67"/>
        <v>323</v>
      </c>
      <c r="AM197" s="115">
        <f t="shared" si="68"/>
        <v>74290000</v>
      </c>
      <c r="AN197" s="20"/>
    </row>
    <row r="198" spans="7:45">
      <c r="G198" s="97" t="s">
        <v>1071</v>
      </c>
      <c r="H198" s="97">
        <v>200</v>
      </c>
      <c r="I198" s="97" t="s">
        <v>5531</v>
      </c>
      <c r="P198" s="112"/>
      <c r="Q198" s="210" t="s">
        <v>4771</v>
      </c>
      <c r="R198" s="210" t="s">
        <v>4765</v>
      </c>
      <c r="S198" s="111">
        <v>-900000</v>
      </c>
      <c r="T198" s="210" t="s">
        <v>4639</v>
      </c>
      <c r="U198" s="210">
        <v>36797</v>
      </c>
      <c r="V198" s="111">
        <v>239.0822</v>
      </c>
      <c r="W198" s="111">
        <f t="shared" si="62"/>
        <v>8797507.7134000007</v>
      </c>
      <c r="X198" s="97" t="s">
        <v>744</v>
      </c>
      <c r="Y198" t="s">
        <v>25</v>
      </c>
      <c r="AH198" s="97">
        <v>178</v>
      </c>
      <c r="AI198" s="111" t="s">
        <v>5162</v>
      </c>
      <c r="AJ198" s="111">
        <v>880000</v>
      </c>
      <c r="AK198" s="97">
        <v>4</v>
      </c>
      <c r="AL198" s="20">
        <f t="shared" si="67"/>
        <v>322</v>
      </c>
      <c r="AM198" s="115">
        <f t="shared" si="68"/>
        <v>283360000</v>
      </c>
      <c r="AN198" s="20"/>
    </row>
    <row r="199" spans="7:45">
      <c r="G199" s="97"/>
      <c r="H199" s="97"/>
      <c r="I199" s="97"/>
      <c r="P199" s="112"/>
      <c r="Q199" s="210" t="s">
        <v>4771</v>
      </c>
      <c r="R199" s="210" t="s">
        <v>966</v>
      </c>
      <c r="S199" s="111">
        <v>-1100000</v>
      </c>
      <c r="T199" s="210" t="s">
        <v>4639</v>
      </c>
      <c r="U199" s="210">
        <v>36797</v>
      </c>
      <c r="V199" s="111">
        <v>239.0822</v>
      </c>
      <c r="W199" s="111">
        <f t="shared" si="62"/>
        <v>8797507.7134000007</v>
      </c>
      <c r="X199" s="97" t="s">
        <v>452</v>
      </c>
      <c r="Y199" t="s">
        <v>25</v>
      </c>
      <c r="AH199" s="97">
        <v>179</v>
      </c>
      <c r="AI199" s="111" t="s">
        <v>5166</v>
      </c>
      <c r="AJ199" s="111">
        <v>-900000</v>
      </c>
      <c r="AK199" s="97">
        <v>1</v>
      </c>
      <c r="AL199" s="20">
        <f t="shared" si="67"/>
        <v>318</v>
      </c>
      <c r="AM199" s="115">
        <f t="shared" si="68"/>
        <v>-286200000</v>
      </c>
      <c r="AN199" s="20"/>
    </row>
    <row r="200" spans="7:45">
      <c r="G200" s="97"/>
      <c r="H200" s="97"/>
      <c r="I200" s="97"/>
      <c r="P200" s="112"/>
      <c r="Q200" s="188" t="s">
        <v>1071</v>
      </c>
      <c r="R200" s="188" t="s">
        <v>4794</v>
      </c>
      <c r="S200" s="194">
        <v>30000000</v>
      </c>
      <c r="T200" s="210" t="s">
        <v>4648</v>
      </c>
      <c r="U200" s="210">
        <v>28066</v>
      </c>
      <c r="V200" s="111">
        <v>237.56970000000001</v>
      </c>
      <c r="W200" s="111">
        <f t="shared" si="62"/>
        <v>6667631.2002000008</v>
      </c>
      <c r="X200" s="97" t="s">
        <v>744</v>
      </c>
      <c r="AH200" s="97">
        <v>180</v>
      </c>
      <c r="AI200" s="111" t="s">
        <v>977</v>
      </c>
      <c r="AJ200" s="111">
        <v>-3500000</v>
      </c>
      <c r="AK200" s="97">
        <v>1</v>
      </c>
      <c r="AL200" s="20">
        <f t="shared" si="67"/>
        <v>317</v>
      </c>
      <c r="AM200" s="115">
        <f t="shared" si="68"/>
        <v>-1109500000</v>
      </c>
      <c r="AN200" s="20"/>
      <c r="AR200" t="s">
        <v>25</v>
      </c>
    </row>
    <row r="201" spans="7:45">
      <c r="G201" s="97"/>
      <c r="H201" s="97"/>
      <c r="I201" s="97"/>
      <c r="K201" t="s">
        <v>25</v>
      </c>
      <c r="M201" t="s">
        <v>25</v>
      </c>
      <c r="P201" s="112"/>
      <c r="Q201" s="19" t="s">
        <v>4875</v>
      </c>
      <c r="R201" s="19" t="s">
        <v>4873</v>
      </c>
      <c r="S201" s="115">
        <v>2000000</v>
      </c>
      <c r="T201" s="210" t="s">
        <v>4648</v>
      </c>
      <c r="U201" s="210">
        <v>28066</v>
      </c>
      <c r="V201" s="111">
        <v>237.56970000000001</v>
      </c>
      <c r="W201" s="111">
        <f t="shared" si="62"/>
        <v>6667631.2002000008</v>
      </c>
      <c r="X201" s="97" t="s">
        <v>452</v>
      </c>
      <c r="Z201" t="s">
        <v>25</v>
      </c>
      <c r="AH201" s="97">
        <v>181</v>
      </c>
      <c r="AI201" s="111" t="s">
        <v>4258</v>
      </c>
      <c r="AJ201" s="111">
        <v>-1600000</v>
      </c>
      <c r="AK201" s="97">
        <v>1</v>
      </c>
      <c r="AL201" s="20">
        <f t="shared" si="67"/>
        <v>316</v>
      </c>
      <c r="AM201" s="115">
        <f t="shared" si="68"/>
        <v>-505600000</v>
      </c>
      <c r="AN201" s="20"/>
      <c r="AQ201" t="s">
        <v>25</v>
      </c>
    </row>
    <row r="202" spans="7:45">
      <c r="G202" s="97"/>
      <c r="H202" s="97"/>
      <c r="I202" s="97"/>
      <c r="P202" s="112"/>
      <c r="Q202" s="187" t="s">
        <v>4897</v>
      </c>
      <c r="R202" s="187" t="s">
        <v>4896</v>
      </c>
      <c r="S202" s="186">
        <v>480105</v>
      </c>
      <c r="T202" s="210" t="s">
        <v>3668</v>
      </c>
      <c r="U202" s="210">
        <v>37457</v>
      </c>
      <c r="V202" s="111">
        <v>239.77</v>
      </c>
      <c r="W202" s="111">
        <f t="shared" si="62"/>
        <v>8981064.8900000006</v>
      </c>
      <c r="X202" s="97" t="s">
        <v>744</v>
      </c>
      <c r="AH202" s="97">
        <v>182</v>
      </c>
      <c r="AI202" s="111" t="s">
        <v>5172</v>
      </c>
      <c r="AJ202" s="111">
        <v>-800000</v>
      </c>
      <c r="AK202" s="97">
        <v>7</v>
      </c>
      <c r="AL202" s="20">
        <f t="shared" si="67"/>
        <v>315</v>
      </c>
      <c r="AM202" s="115">
        <f t="shared" si="68"/>
        <v>-252000000</v>
      </c>
      <c r="AN202" s="20"/>
    </row>
    <row r="203" spans="7:45">
      <c r="P203" s="112"/>
      <c r="Q203" s="187"/>
      <c r="R203" s="187" t="s">
        <v>4937</v>
      </c>
      <c r="S203" s="186">
        <v>30500000</v>
      </c>
      <c r="T203" s="210" t="s">
        <v>3668</v>
      </c>
      <c r="U203" s="210">
        <v>37457</v>
      </c>
      <c r="V203" s="111">
        <v>239.77</v>
      </c>
      <c r="W203" s="111">
        <f t="shared" si="62"/>
        <v>8981064.8900000006</v>
      </c>
      <c r="X203" s="97" t="s">
        <v>452</v>
      </c>
      <c r="Y203" s="120" t="s">
        <v>25</v>
      </c>
      <c r="AH203" s="97">
        <v>183</v>
      </c>
      <c r="AI203" s="111" t="s">
        <v>5181</v>
      </c>
      <c r="AJ203" s="111">
        <v>50000</v>
      </c>
      <c r="AK203" s="97">
        <v>2</v>
      </c>
      <c r="AL203" s="20">
        <f t="shared" si="67"/>
        <v>308</v>
      </c>
      <c r="AM203" s="115">
        <f t="shared" si="68"/>
        <v>15400000</v>
      </c>
      <c r="AN203" s="20"/>
    </row>
    <row r="204" spans="7:45">
      <c r="G204" s="210" t="s">
        <v>180</v>
      </c>
      <c r="H204" s="210" t="s">
        <v>5554</v>
      </c>
      <c r="I204" t="s">
        <v>5547</v>
      </c>
      <c r="O204" t="s">
        <v>25</v>
      </c>
      <c r="P204" s="112"/>
      <c r="Q204" s="19" t="s">
        <v>4968</v>
      </c>
      <c r="R204" s="19" t="s">
        <v>4963</v>
      </c>
      <c r="S204" s="115">
        <v>-400000</v>
      </c>
      <c r="T204" s="210" t="s">
        <v>4660</v>
      </c>
      <c r="U204" s="210">
        <v>38412</v>
      </c>
      <c r="V204" s="111">
        <v>239.03</v>
      </c>
      <c r="W204" s="111">
        <f t="shared" si="62"/>
        <v>9181620.3599999994</v>
      </c>
      <c r="X204" s="97" t="s">
        <v>744</v>
      </c>
      <c r="AH204" s="97">
        <v>184</v>
      </c>
      <c r="AI204" s="111" t="s">
        <v>5183</v>
      </c>
      <c r="AJ204" s="111">
        <v>400000</v>
      </c>
      <c r="AK204" s="97">
        <v>8</v>
      </c>
      <c r="AL204" s="20">
        <f t="shared" ref="AL204:AL213" si="69">AL205+AK204</f>
        <v>306</v>
      </c>
      <c r="AM204" s="115">
        <f t="shared" ref="AM204:AM213" si="70">AJ204*AL204</f>
        <v>122400000</v>
      </c>
      <c r="AN204" s="20"/>
      <c r="AR204" t="s">
        <v>25</v>
      </c>
    </row>
    <row r="205" spans="7:45">
      <c r="G205" s="210" t="s">
        <v>5516</v>
      </c>
      <c r="H205" s="1">
        <v>30000000</v>
      </c>
      <c r="I205" t="s">
        <v>5548</v>
      </c>
      <c r="Q205" s="187" t="s">
        <v>5079</v>
      </c>
      <c r="R205" s="187" t="s">
        <v>4998</v>
      </c>
      <c r="S205" s="186">
        <v>-349550</v>
      </c>
      <c r="T205" s="210" t="s">
        <v>4660</v>
      </c>
      <c r="U205" s="210">
        <v>38412</v>
      </c>
      <c r="V205" s="111">
        <v>239.03</v>
      </c>
      <c r="W205" s="111">
        <f t="shared" si="62"/>
        <v>9181620.3599999994</v>
      </c>
      <c r="X205" s="97" t="s">
        <v>452</v>
      </c>
      <c r="Y205" t="s">
        <v>25</v>
      </c>
      <c r="AH205" s="97">
        <v>185</v>
      </c>
      <c r="AI205" s="111" t="s">
        <v>5157</v>
      </c>
      <c r="AJ205" s="111">
        <v>-10000000</v>
      </c>
      <c r="AK205" s="97">
        <v>0</v>
      </c>
      <c r="AL205" s="20">
        <f t="shared" si="69"/>
        <v>298</v>
      </c>
      <c r="AM205" s="115">
        <f t="shared" si="70"/>
        <v>-2980000000</v>
      </c>
      <c r="AN205" s="20" t="s">
        <v>4993</v>
      </c>
    </row>
    <row r="206" spans="7:45">
      <c r="G206" s="210" t="s">
        <v>5517</v>
      </c>
      <c r="H206" s="1">
        <v>550000</v>
      </c>
      <c r="I206" t="s">
        <v>5549</v>
      </c>
      <c r="P206" s="112"/>
      <c r="Q206" s="187" t="s">
        <v>5109</v>
      </c>
      <c r="R206" s="187" t="s">
        <v>5106</v>
      </c>
      <c r="S206" s="186">
        <v>11500000</v>
      </c>
      <c r="T206" s="210" t="s">
        <v>4663</v>
      </c>
      <c r="U206" s="210">
        <v>49555</v>
      </c>
      <c r="V206" s="111">
        <v>238.345</v>
      </c>
      <c r="W206" s="111">
        <f t="shared" si="62"/>
        <v>11811186.475</v>
      </c>
      <c r="X206" s="97" t="s">
        <v>744</v>
      </c>
      <c r="AH206" s="97">
        <v>186</v>
      </c>
      <c r="AI206" s="111" t="s">
        <v>5157</v>
      </c>
      <c r="AJ206" s="111">
        <v>3000000</v>
      </c>
      <c r="AK206" s="97">
        <v>1</v>
      </c>
      <c r="AL206" s="20">
        <f t="shared" si="69"/>
        <v>298</v>
      </c>
      <c r="AM206" s="115">
        <f t="shared" si="70"/>
        <v>894000000</v>
      </c>
      <c r="AN206" s="20"/>
    </row>
    <row r="207" spans="7:45">
      <c r="G207" s="210" t="s">
        <v>5518</v>
      </c>
      <c r="H207" s="1">
        <v>70370000</v>
      </c>
      <c r="I207" t="s">
        <v>4085</v>
      </c>
      <c r="P207" s="112"/>
      <c r="Q207" s="187" t="s">
        <v>5138</v>
      </c>
      <c r="R207" s="187" t="s">
        <v>5137</v>
      </c>
      <c r="S207" s="186">
        <v>6000000</v>
      </c>
      <c r="T207" s="210" t="s">
        <v>4663</v>
      </c>
      <c r="U207" s="210">
        <v>49555</v>
      </c>
      <c r="V207" s="111">
        <v>238.345</v>
      </c>
      <c r="W207" s="111">
        <f t="shared" si="62"/>
        <v>11811186.475</v>
      </c>
      <c r="X207" s="97" t="s">
        <v>452</v>
      </c>
      <c r="AH207" s="97">
        <v>187</v>
      </c>
      <c r="AI207" s="111" t="s">
        <v>5195</v>
      </c>
      <c r="AJ207" s="111">
        <v>500000</v>
      </c>
      <c r="AK207" s="97">
        <v>23</v>
      </c>
      <c r="AL207" s="20">
        <f t="shared" si="69"/>
        <v>297</v>
      </c>
      <c r="AM207" s="115">
        <f t="shared" si="70"/>
        <v>148500000</v>
      </c>
      <c r="AN207" s="20"/>
      <c r="AR207" t="s">
        <v>25</v>
      </c>
    </row>
    <row r="208" spans="7:45">
      <c r="G208" s="210" t="s">
        <v>5519</v>
      </c>
      <c r="H208" s="1">
        <v>1215000</v>
      </c>
      <c r="I208" t="s">
        <v>5550</v>
      </c>
      <c r="Q208" s="187" t="s">
        <v>5140</v>
      </c>
      <c r="R208" s="187" t="s">
        <v>5139</v>
      </c>
      <c r="S208" s="186">
        <v>1500000</v>
      </c>
      <c r="T208" s="210" t="s">
        <v>4677</v>
      </c>
      <c r="U208" s="210">
        <v>160187</v>
      </c>
      <c r="V208" s="111">
        <v>257.49799999999999</v>
      </c>
      <c r="W208" s="111">
        <f t="shared" si="62"/>
        <v>41247832.126000002</v>
      </c>
      <c r="X208" s="97" t="s">
        <v>744</v>
      </c>
      <c r="AH208" s="97">
        <v>188</v>
      </c>
      <c r="AI208" s="111" t="s">
        <v>5217</v>
      </c>
      <c r="AJ208" s="111">
        <v>101268</v>
      </c>
      <c r="AK208" s="97">
        <v>1</v>
      </c>
      <c r="AL208" s="20">
        <f t="shared" si="69"/>
        <v>274</v>
      </c>
      <c r="AM208" s="115">
        <f t="shared" si="70"/>
        <v>27747432</v>
      </c>
      <c r="AN208" s="20"/>
      <c r="AR208" t="s">
        <v>25</v>
      </c>
    </row>
    <row r="209" spans="6:46">
      <c r="G209" s="210" t="s">
        <v>5520</v>
      </c>
      <c r="H209" s="1">
        <v>15350000</v>
      </c>
      <c r="I209" t="s">
        <v>5551</v>
      </c>
      <c r="P209" s="112"/>
      <c r="Q209" s="19" t="s">
        <v>4968</v>
      </c>
      <c r="R209" s="19" t="s">
        <v>5147</v>
      </c>
      <c r="S209" s="115">
        <v>-200000</v>
      </c>
      <c r="T209" s="210" t="s">
        <v>4677</v>
      </c>
      <c r="U209" s="210">
        <v>160187</v>
      </c>
      <c r="V209" s="111">
        <v>257.49799999999999</v>
      </c>
      <c r="W209" s="111">
        <f t="shared" si="62"/>
        <v>41247832.126000002</v>
      </c>
      <c r="X209" s="97" t="s">
        <v>452</v>
      </c>
      <c r="AH209" s="97">
        <v>189</v>
      </c>
      <c r="AI209" s="111" t="s">
        <v>5220</v>
      </c>
      <c r="AJ209" s="111">
        <v>101000</v>
      </c>
      <c r="AK209" s="97">
        <v>34</v>
      </c>
      <c r="AL209" s="20">
        <f t="shared" si="69"/>
        <v>273</v>
      </c>
      <c r="AM209" s="115">
        <f t="shared" si="70"/>
        <v>27573000</v>
      </c>
      <c r="AN209" s="20"/>
      <c r="AP209" t="s">
        <v>25</v>
      </c>
      <c r="AT209" s="94" t="s">
        <v>25</v>
      </c>
    </row>
    <row r="210" spans="6:46">
      <c r="G210" s="210" t="s">
        <v>5522</v>
      </c>
      <c r="H210" s="1">
        <v>70000</v>
      </c>
      <c r="I210" t="s">
        <v>5552</v>
      </c>
      <c r="P210" s="112"/>
      <c r="Q210" s="188" t="s">
        <v>5167</v>
      </c>
      <c r="R210" s="188" t="s">
        <v>5166</v>
      </c>
      <c r="S210" s="194">
        <v>1000000</v>
      </c>
      <c r="T210" s="210" t="s">
        <v>4684</v>
      </c>
      <c r="U210" s="210">
        <v>144401</v>
      </c>
      <c r="V210" s="111">
        <v>258.5061</v>
      </c>
      <c r="W210" s="111">
        <f t="shared" si="62"/>
        <v>37328539.346100003</v>
      </c>
      <c r="X210" s="97" t="s">
        <v>744</v>
      </c>
      <c r="Y210" s="8" t="s">
        <v>25</v>
      </c>
      <c r="Z210" t="s">
        <v>25</v>
      </c>
      <c r="AH210" s="97">
        <v>190</v>
      </c>
      <c r="AI210" s="111" t="s">
        <v>5245</v>
      </c>
      <c r="AJ210" s="111">
        <v>-488602</v>
      </c>
      <c r="AK210" s="97">
        <v>5</v>
      </c>
      <c r="AL210" s="20">
        <f t="shared" si="69"/>
        <v>239</v>
      </c>
      <c r="AM210" s="115">
        <f t="shared" si="70"/>
        <v>-116775878</v>
      </c>
      <c r="AN210" s="20"/>
      <c r="AR210" t="s">
        <v>25</v>
      </c>
    </row>
    <row r="211" spans="6:46">
      <c r="G211" s="210" t="s">
        <v>5526</v>
      </c>
      <c r="H211" s="1">
        <v>800000</v>
      </c>
      <c r="I211" t="s">
        <v>5553</v>
      </c>
      <c r="Q211" s="19" t="s">
        <v>4968</v>
      </c>
      <c r="R211" s="19" t="s">
        <v>5181</v>
      </c>
      <c r="S211" s="115">
        <v>-122000</v>
      </c>
      <c r="T211" s="210" t="s">
        <v>4684</v>
      </c>
      <c r="U211" s="210">
        <v>144401</v>
      </c>
      <c r="V211" s="111">
        <v>258.5061</v>
      </c>
      <c r="W211" s="111">
        <f t="shared" si="62"/>
        <v>37328539.346100003</v>
      </c>
      <c r="X211" s="97" t="s">
        <v>452</v>
      </c>
      <c r="AH211" s="97">
        <v>191</v>
      </c>
      <c r="AI211" s="111" t="s">
        <v>5259</v>
      </c>
      <c r="AJ211" s="111">
        <v>360000</v>
      </c>
      <c r="AK211" s="97">
        <v>10</v>
      </c>
      <c r="AL211" s="20">
        <f t="shared" si="69"/>
        <v>234</v>
      </c>
      <c r="AM211" s="115">
        <f t="shared" si="70"/>
        <v>84240000</v>
      </c>
      <c r="AN211" s="20"/>
      <c r="AR211" t="s">
        <v>25</v>
      </c>
    </row>
    <row r="212" spans="6:46">
      <c r="G212" s="210" t="s">
        <v>5542</v>
      </c>
      <c r="H212" s="1">
        <v>1948000</v>
      </c>
      <c r="P212" s="112"/>
      <c r="Q212" s="19" t="s">
        <v>4968</v>
      </c>
      <c r="R212" s="19" t="s">
        <v>5189</v>
      </c>
      <c r="S212" s="115">
        <v>-700000</v>
      </c>
      <c r="T212" s="166" t="s">
        <v>4690</v>
      </c>
      <c r="U212" s="166">
        <v>196500</v>
      </c>
      <c r="V212" s="111">
        <v>254.452</v>
      </c>
      <c r="W212" s="111">
        <f t="shared" si="62"/>
        <v>49999818</v>
      </c>
      <c r="X212" s="97" t="s">
        <v>4694</v>
      </c>
      <c r="AH212" s="97">
        <v>192</v>
      </c>
      <c r="AI212" s="111" t="s">
        <v>5271</v>
      </c>
      <c r="AJ212" s="111">
        <v>-3600000</v>
      </c>
      <c r="AK212" s="97">
        <v>4</v>
      </c>
      <c r="AL212" s="20">
        <f t="shared" si="69"/>
        <v>224</v>
      </c>
      <c r="AM212" s="115">
        <f t="shared" si="70"/>
        <v>-806400000</v>
      </c>
      <c r="AN212" s="20"/>
      <c r="AS212" t="s">
        <v>25</v>
      </c>
    </row>
    <row r="213" spans="6:46">
      <c r="G213" s="210" t="s">
        <v>5575</v>
      </c>
      <c r="H213" s="1">
        <v>5745697.3157000002</v>
      </c>
      <c r="Q213" s="19" t="s">
        <v>4968</v>
      </c>
      <c r="R213" s="19" t="s">
        <v>5199</v>
      </c>
      <c r="S213" s="115">
        <v>-60000</v>
      </c>
      <c r="T213" s="210" t="s">
        <v>4690</v>
      </c>
      <c r="U213" s="210">
        <v>2561</v>
      </c>
      <c r="V213" s="111">
        <v>254.536</v>
      </c>
      <c r="W213" s="111">
        <f t="shared" si="62"/>
        <v>651866.696</v>
      </c>
      <c r="X213" s="97" t="s">
        <v>4695</v>
      </c>
      <c r="AH213" s="97">
        <v>193</v>
      </c>
      <c r="AI213" s="111" t="s">
        <v>5280</v>
      </c>
      <c r="AJ213" s="111">
        <v>-1000000</v>
      </c>
      <c r="AK213" s="97">
        <v>5</v>
      </c>
      <c r="AL213" s="20">
        <f t="shared" si="69"/>
        <v>220</v>
      </c>
      <c r="AM213" s="115">
        <f t="shared" si="70"/>
        <v>-220000000</v>
      </c>
      <c r="AN213" s="20"/>
      <c r="AR213" t="s">
        <v>25</v>
      </c>
    </row>
    <row r="214" spans="6:46">
      <c r="G214" s="210" t="s">
        <v>5576</v>
      </c>
      <c r="H214" s="1">
        <v>908158.17935999995</v>
      </c>
      <c r="P214" t="s">
        <v>25</v>
      </c>
      <c r="Q214" s="19" t="s">
        <v>4411</v>
      </c>
      <c r="R214" s="19" t="s">
        <v>5259</v>
      </c>
      <c r="S214" s="115">
        <v>700000</v>
      </c>
      <c r="T214" s="210" t="s">
        <v>4737</v>
      </c>
      <c r="U214" s="210">
        <v>-11795</v>
      </c>
      <c r="V214" s="111">
        <v>254.334</v>
      </c>
      <c r="W214" s="111">
        <f t="shared" si="62"/>
        <v>-2999869.5300000003</v>
      </c>
      <c r="X214" s="97" t="s">
        <v>4738</v>
      </c>
      <c r="AH214" s="97">
        <v>194</v>
      </c>
      <c r="AI214" s="111" t="s">
        <v>5286</v>
      </c>
      <c r="AJ214" s="111">
        <v>360000</v>
      </c>
      <c r="AK214" s="97">
        <v>2</v>
      </c>
      <c r="AL214" s="20">
        <f t="shared" ref="AL214:AL249" si="71">AL215+AK214</f>
        <v>215</v>
      </c>
      <c r="AM214" s="115">
        <f t="shared" ref="AM214:AM249" si="72">AJ214*AL214</f>
        <v>77400000</v>
      </c>
      <c r="AN214" s="20"/>
      <c r="AQ214" t="s">
        <v>25</v>
      </c>
    </row>
    <row r="215" spans="6:46">
      <c r="G215" s="210" t="s">
        <v>5577</v>
      </c>
      <c r="H215" s="1">
        <v>12642697.648548001</v>
      </c>
      <c r="Q215" s="187" t="s">
        <v>5269</v>
      </c>
      <c r="R215" s="187" t="s">
        <v>5268</v>
      </c>
      <c r="S215" s="186">
        <v>-2000000</v>
      </c>
      <c r="T215" s="210" t="s">
        <v>4737</v>
      </c>
      <c r="U215" s="210">
        <v>11795</v>
      </c>
      <c r="V215" s="111">
        <v>254.334</v>
      </c>
      <c r="W215" s="111">
        <f t="shared" si="62"/>
        <v>2999869.5300000003</v>
      </c>
      <c r="X215" s="97" t="s">
        <v>4739</v>
      </c>
      <c r="AH215" s="97">
        <v>195</v>
      </c>
      <c r="AI215" s="111" t="s">
        <v>5291</v>
      </c>
      <c r="AJ215" s="111">
        <v>2000000</v>
      </c>
      <c r="AK215" s="97">
        <v>1</v>
      </c>
      <c r="AL215" s="20">
        <f t="shared" si="71"/>
        <v>213</v>
      </c>
      <c r="AM215" s="115">
        <f t="shared" si="72"/>
        <v>426000000</v>
      </c>
      <c r="AN215" s="20"/>
    </row>
    <row r="216" spans="6:46">
      <c r="G216" s="210" t="s">
        <v>5578</v>
      </c>
      <c r="H216" s="1">
        <v>12297318</v>
      </c>
      <c r="I216" t="s">
        <v>25</v>
      </c>
      <c r="P216" s="112"/>
      <c r="Q216" s="187" t="s">
        <v>5277</v>
      </c>
      <c r="R216" s="187" t="s">
        <v>5271</v>
      </c>
      <c r="S216" s="186">
        <v>2000000</v>
      </c>
      <c r="T216" s="210" t="s">
        <v>4751</v>
      </c>
      <c r="U216" s="210">
        <v>260</v>
      </c>
      <c r="V216" s="111">
        <v>263.19</v>
      </c>
      <c r="W216" s="111">
        <f t="shared" si="62"/>
        <v>68429.399999999994</v>
      </c>
      <c r="X216" s="97" t="s">
        <v>452</v>
      </c>
      <c r="AH216" s="97">
        <v>196</v>
      </c>
      <c r="AI216" s="111" t="s">
        <v>5294</v>
      </c>
      <c r="AJ216" s="111">
        <v>20000000</v>
      </c>
      <c r="AK216" s="97">
        <v>0</v>
      </c>
      <c r="AL216" s="20">
        <f t="shared" si="71"/>
        <v>212</v>
      </c>
      <c r="AM216" s="115">
        <f t="shared" si="72"/>
        <v>4240000000</v>
      </c>
      <c r="AN216" s="20" t="s">
        <v>4692</v>
      </c>
      <c r="AR216" t="s">
        <v>25</v>
      </c>
    </row>
    <row r="217" spans="6:46">
      <c r="G217" s="210" t="s">
        <v>5579</v>
      </c>
      <c r="H217" s="1">
        <v>8959644</v>
      </c>
      <c r="P217" s="112"/>
      <c r="Q217" s="187" t="s">
        <v>1071</v>
      </c>
      <c r="R217" s="187" t="s">
        <v>5283</v>
      </c>
      <c r="S217" s="186">
        <v>40000000</v>
      </c>
      <c r="T217" s="210" t="s">
        <v>4760</v>
      </c>
      <c r="U217" s="210">
        <v>15257</v>
      </c>
      <c r="V217" s="111">
        <v>262.19018</v>
      </c>
      <c r="W217" s="111">
        <f t="shared" si="62"/>
        <v>4000235.57626</v>
      </c>
      <c r="X217" s="97" t="s">
        <v>452</v>
      </c>
      <c r="AH217" s="97">
        <v>197</v>
      </c>
      <c r="AI217" s="111" t="s">
        <v>5294</v>
      </c>
      <c r="AJ217" s="111">
        <v>-4700000</v>
      </c>
      <c r="AK217" s="97">
        <v>1</v>
      </c>
      <c r="AL217" s="20">
        <f t="shared" si="71"/>
        <v>212</v>
      </c>
      <c r="AM217" s="115">
        <f t="shared" si="72"/>
        <v>-996400000</v>
      </c>
      <c r="AN217" s="20"/>
    </row>
    <row r="218" spans="6:46">
      <c r="G218" s="210" t="s">
        <v>5580</v>
      </c>
      <c r="H218" s="111">
        <v>15154095.839328</v>
      </c>
      <c r="P218" s="112"/>
      <c r="Q218" s="19" t="s">
        <v>4411</v>
      </c>
      <c r="R218" s="19" t="s">
        <v>5288</v>
      </c>
      <c r="S218" s="115">
        <v>-800000</v>
      </c>
      <c r="T218" s="210" t="s">
        <v>4760</v>
      </c>
      <c r="U218" s="210">
        <v>8444</v>
      </c>
      <c r="V218" s="111">
        <v>266.43029999999999</v>
      </c>
      <c r="W218" s="111">
        <f t="shared" si="62"/>
        <v>2249737.4531999999</v>
      </c>
      <c r="X218" s="97" t="s">
        <v>452</v>
      </c>
      <c r="AH218" s="97">
        <v>198</v>
      </c>
      <c r="AI218" s="111" t="s">
        <v>5298</v>
      </c>
      <c r="AJ218" s="111">
        <v>3000000</v>
      </c>
      <c r="AK218" s="97">
        <v>4</v>
      </c>
      <c r="AL218" s="20">
        <f t="shared" si="71"/>
        <v>211</v>
      </c>
      <c r="AM218" s="115">
        <f t="shared" si="72"/>
        <v>633000000</v>
      </c>
      <c r="AN218" s="20"/>
      <c r="AS218" t="s">
        <v>25</v>
      </c>
    </row>
    <row r="219" spans="6:46">
      <c r="G219" s="210" t="s">
        <v>5585</v>
      </c>
      <c r="H219" s="111">
        <v>4108143</v>
      </c>
      <c r="P219" s="112"/>
      <c r="Q219" s="210" t="s">
        <v>4411</v>
      </c>
      <c r="R219" s="210" t="s">
        <v>5379</v>
      </c>
      <c r="S219" s="115">
        <v>700000</v>
      </c>
      <c r="T219" s="210" t="s">
        <v>4765</v>
      </c>
      <c r="U219" s="210">
        <v>-6209</v>
      </c>
      <c r="V219" s="111">
        <v>273.79649999999998</v>
      </c>
      <c r="W219" s="111">
        <f t="shared" si="62"/>
        <v>-1700002.4685</v>
      </c>
      <c r="X219" s="97" t="s">
        <v>4776</v>
      </c>
      <c r="AH219" s="97">
        <v>199</v>
      </c>
      <c r="AI219" s="111" t="s">
        <v>5301</v>
      </c>
      <c r="AJ219" s="111">
        <v>1500000</v>
      </c>
      <c r="AK219" s="97">
        <v>1</v>
      </c>
      <c r="AL219" s="20">
        <f t="shared" si="71"/>
        <v>207</v>
      </c>
      <c r="AM219" s="115">
        <f t="shared" si="72"/>
        <v>310500000</v>
      </c>
      <c r="AN219" s="20"/>
    </row>
    <row r="220" spans="6:46">
      <c r="G220" s="210" t="s">
        <v>5592</v>
      </c>
      <c r="H220" s="111">
        <v>6000000</v>
      </c>
      <c r="P220" s="112"/>
      <c r="Q220" s="187" t="s">
        <v>5400</v>
      </c>
      <c r="R220" s="187" t="s">
        <v>5398</v>
      </c>
      <c r="S220" s="186">
        <v>-26000000</v>
      </c>
      <c r="T220" s="210" t="s">
        <v>4765</v>
      </c>
      <c r="U220" s="210">
        <v>-8014</v>
      </c>
      <c r="V220" s="111">
        <v>273.79649999999998</v>
      </c>
      <c r="W220" s="111">
        <f t="shared" si="62"/>
        <v>-2194205.1510000001</v>
      </c>
      <c r="X220" s="97" t="s">
        <v>744</v>
      </c>
      <c r="AH220" s="97">
        <v>200</v>
      </c>
      <c r="AI220" s="111" t="s">
        <v>5304</v>
      </c>
      <c r="AJ220" s="111">
        <v>30000000</v>
      </c>
      <c r="AK220" s="97">
        <v>33</v>
      </c>
      <c r="AL220" s="20">
        <f t="shared" si="71"/>
        <v>206</v>
      </c>
      <c r="AM220" s="115">
        <f t="shared" si="72"/>
        <v>6180000000</v>
      </c>
      <c r="AN220" s="20"/>
    </row>
    <row r="221" spans="6:46">
      <c r="G221" s="210" t="s">
        <v>5596</v>
      </c>
      <c r="H221" s="111">
        <v>8301786</v>
      </c>
      <c r="I221" t="s">
        <v>25</v>
      </c>
      <c r="J221" t="s">
        <v>25</v>
      </c>
      <c r="P221" s="112"/>
      <c r="Q221" s="187" t="s">
        <v>5400</v>
      </c>
      <c r="R221" s="187" t="s">
        <v>5403</v>
      </c>
      <c r="S221" s="186">
        <v>-95900000</v>
      </c>
      <c r="T221" s="210" t="s">
        <v>4774</v>
      </c>
      <c r="U221" s="210">
        <v>-9176</v>
      </c>
      <c r="V221" s="111">
        <v>273.79649999999998</v>
      </c>
      <c r="W221" s="111">
        <f t="shared" si="62"/>
        <v>-2512356.6839999999</v>
      </c>
      <c r="X221" s="97" t="s">
        <v>452</v>
      </c>
      <c r="AH221" s="97">
        <v>201</v>
      </c>
      <c r="AI221" s="111" t="s">
        <v>5383</v>
      </c>
      <c r="AJ221" s="111">
        <v>3000000</v>
      </c>
      <c r="AK221" s="97">
        <v>1</v>
      </c>
      <c r="AL221" s="20">
        <f t="shared" si="71"/>
        <v>173</v>
      </c>
      <c r="AM221" s="115">
        <f t="shared" si="72"/>
        <v>519000000</v>
      </c>
      <c r="AN221" s="20"/>
    </row>
    <row r="222" spans="6:46">
      <c r="G222" s="210" t="s">
        <v>5605</v>
      </c>
      <c r="H222" s="111">
        <v>50725508.571864001</v>
      </c>
      <c r="J222" t="s">
        <v>25</v>
      </c>
      <c r="P222" s="112"/>
      <c r="Q222" s="187" t="s">
        <v>5400</v>
      </c>
      <c r="R222" s="187" t="s">
        <v>5404</v>
      </c>
      <c r="S222" s="186">
        <v>-28950000</v>
      </c>
      <c r="T222" s="210" t="s">
        <v>4774</v>
      </c>
      <c r="U222" s="210">
        <v>1087</v>
      </c>
      <c r="V222" s="111">
        <v>273.79649999999998</v>
      </c>
      <c r="W222" s="111">
        <f t="shared" si="62"/>
        <v>297616.79550000001</v>
      </c>
      <c r="X222" s="97" t="s">
        <v>452</v>
      </c>
      <c r="AH222" s="97">
        <v>202</v>
      </c>
      <c r="AI222" s="111" t="s">
        <v>5384</v>
      </c>
      <c r="AJ222" s="111">
        <v>7000000</v>
      </c>
      <c r="AK222" s="97">
        <v>4</v>
      </c>
      <c r="AL222" s="20">
        <f t="shared" si="71"/>
        <v>172</v>
      </c>
      <c r="AM222" s="115">
        <f t="shared" si="72"/>
        <v>1204000000</v>
      </c>
      <c r="AN222" s="20"/>
    </row>
    <row r="223" spans="6:46">
      <c r="G223" s="210" t="s">
        <v>5607</v>
      </c>
      <c r="H223" s="111">
        <v>2281961.458596</v>
      </c>
      <c r="P223" s="112"/>
      <c r="Q223" s="170" t="s">
        <v>5415</v>
      </c>
      <c r="R223" s="170" t="s">
        <v>5413</v>
      </c>
      <c r="S223" s="168">
        <v>2000000</v>
      </c>
      <c r="T223" s="210" t="s">
        <v>966</v>
      </c>
      <c r="U223" s="210">
        <v>-4017</v>
      </c>
      <c r="V223" s="111">
        <v>273.79649999999998</v>
      </c>
      <c r="W223" s="111">
        <f t="shared" si="62"/>
        <v>-1099840.5404999999</v>
      </c>
      <c r="X223" s="97" t="s">
        <v>4411</v>
      </c>
      <c r="AH223" s="97">
        <v>203</v>
      </c>
      <c r="AI223" s="111" t="s">
        <v>5397</v>
      </c>
      <c r="AJ223" s="111">
        <v>8800000</v>
      </c>
      <c r="AK223" s="97">
        <v>2</v>
      </c>
      <c r="AL223" s="20">
        <f t="shared" si="71"/>
        <v>168</v>
      </c>
      <c r="AM223" s="115">
        <f t="shared" si="72"/>
        <v>1478400000</v>
      </c>
      <c r="AN223" s="20"/>
    </row>
    <row r="224" spans="6:46">
      <c r="F224" s="94"/>
      <c r="G224" s="210" t="s">
        <v>5616</v>
      </c>
      <c r="H224" s="111">
        <v>10998285</v>
      </c>
      <c r="K224" t="s">
        <v>25</v>
      </c>
      <c r="P224" s="112"/>
      <c r="Q224" s="210" t="s">
        <v>5421</v>
      </c>
      <c r="R224" s="210" t="s">
        <v>5419</v>
      </c>
      <c r="S224" s="111">
        <v>1896188</v>
      </c>
      <c r="T224" s="210" t="s">
        <v>966</v>
      </c>
      <c r="U224" s="210">
        <v>4017</v>
      </c>
      <c r="V224" s="111">
        <v>273.79649999999998</v>
      </c>
      <c r="W224" s="111">
        <f t="shared" si="62"/>
        <v>1099840.5404999999</v>
      </c>
      <c r="X224" s="97" t="s">
        <v>452</v>
      </c>
      <c r="Z224" t="s">
        <v>25</v>
      </c>
      <c r="AH224" s="97">
        <v>204</v>
      </c>
      <c r="AI224" s="111" t="s">
        <v>5403</v>
      </c>
      <c r="AJ224" s="111">
        <v>40000000</v>
      </c>
      <c r="AK224" s="97">
        <v>8</v>
      </c>
      <c r="AL224" s="20">
        <f t="shared" si="71"/>
        <v>166</v>
      </c>
      <c r="AM224" s="115">
        <f t="shared" si="72"/>
        <v>6640000000</v>
      </c>
      <c r="AN224" s="20" t="s">
        <v>4692</v>
      </c>
    </row>
    <row r="225" spans="4:45">
      <c r="F225" s="94"/>
      <c r="G225" s="210" t="s">
        <v>5617</v>
      </c>
      <c r="H225" s="111">
        <v>983018.96187300002</v>
      </c>
      <c r="J225" t="s">
        <v>25</v>
      </c>
      <c r="Q225" s="187" t="s">
        <v>5505</v>
      </c>
      <c r="R225" s="187" t="s">
        <v>5502</v>
      </c>
      <c r="S225" s="186">
        <v>0</v>
      </c>
      <c r="T225" s="210" t="s">
        <v>4781</v>
      </c>
      <c r="U225" s="210">
        <v>3137</v>
      </c>
      <c r="V225" s="111">
        <v>283.69110000000001</v>
      </c>
      <c r="W225" s="111">
        <f t="shared" si="62"/>
        <v>889938.98070000007</v>
      </c>
      <c r="X225" s="97" t="s">
        <v>452</v>
      </c>
      <c r="AH225" s="97">
        <v>205</v>
      </c>
      <c r="AI225" s="111" t="s">
        <v>5419</v>
      </c>
      <c r="AJ225" s="111">
        <v>400000</v>
      </c>
      <c r="AK225" s="97">
        <v>17</v>
      </c>
      <c r="AL225" s="20">
        <f t="shared" si="71"/>
        <v>158</v>
      </c>
      <c r="AM225" s="115">
        <f t="shared" si="72"/>
        <v>63200000</v>
      </c>
      <c r="AN225" s="20"/>
      <c r="AR225" t="s">
        <v>25</v>
      </c>
    </row>
    <row r="226" spans="4:45">
      <c r="F226" s="94"/>
      <c r="G226" s="210" t="s">
        <v>5621</v>
      </c>
      <c r="H226" s="111">
        <v>17049271.032000002</v>
      </c>
      <c r="I226" s="94"/>
      <c r="J226" t="s">
        <v>25</v>
      </c>
      <c r="Q226" s="187" t="s">
        <v>5597</v>
      </c>
      <c r="R226" s="187" t="s">
        <v>5592</v>
      </c>
      <c r="S226" s="186">
        <v>-1265000</v>
      </c>
      <c r="T226" s="210" t="s">
        <v>4794</v>
      </c>
      <c r="U226" s="210">
        <v>101933</v>
      </c>
      <c r="V226" s="111">
        <v>294.30973999999998</v>
      </c>
      <c r="W226" s="111">
        <f t="shared" si="62"/>
        <v>29999874.727419998</v>
      </c>
      <c r="X226" s="97" t="s">
        <v>1071</v>
      </c>
      <c r="Y226" t="s">
        <v>25</v>
      </c>
      <c r="AH226" s="97">
        <v>206</v>
      </c>
      <c r="AI226" s="111" t="s">
        <v>5439</v>
      </c>
      <c r="AJ226" s="111">
        <v>-20000000</v>
      </c>
      <c r="AK226" s="97">
        <v>18</v>
      </c>
      <c r="AL226" s="20">
        <f t="shared" si="71"/>
        <v>141</v>
      </c>
      <c r="AM226" s="115">
        <f t="shared" si="72"/>
        <v>-2820000000</v>
      </c>
      <c r="AN226" s="20" t="s">
        <v>4993</v>
      </c>
    </row>
    <row r="227" spans="4:45">
      <c r="D227" s="94"/>
      <c r="E227" s="94"/>
      <c r="F227" s="94"/>
      <c r="G227" s="210" t="s">
        <v>5624</v>
      </c>
      <c r="H227" s="111">
        <v>6829998</v>
      </c>
      <c r="I227" s="94"/>
      <c r="P227" s="112" t="s">
        <v>25</v>
      </c>
      <c r="Q227" s="187" t="s">
        <v>5644</v>
      </c>
      <c r="R227" s="187" t="s">
        <v>4214</v>
      </c>
      <c r="S227" s="186">
        <v>13752871.322800001</v>
      </c>
      <c r="T227" s="210" t="s">
        <v>4801</v>
      </c>
      <c r="U227" s="210">
        <v>3407</v>
      </c>
      <c r="V227" s="111">
        <v>293.43799999999999</v>
      </c>
      <c r="W227" s="111">
        <f t="shared" si="62"/>
        <v>999743.26599999995</v>
      </c>
      <c r="X227" s="97" t="s">
        <v>452</v>
      </c>
      <c r="AH227" s="97">
        <v>207</v>
      </c>
      <c r="AI227" s="111" t="s">
        <v>5464</v>
      </c>
      <c r="AJ227" s="111">
        <v>3006000</v>
      </c>
      <c r="AK227" s="97">
        <v>19</v>
      </c>
      <c r="AL227" s="20">
        <f t="shared" si="71"/>
        <v>123</v>
      </c>
      <c r="AM227" s="115">
        <f t="shared" si="72"/>
        <v>369738000</v>
      </c>
      <c r="AN227" s="20"/>
    </row>
    <row r="228" spans="4:45">
      <c r="D228" s="94"/>
      <c r="E228" s="94"/>
      <c r="F228" s="94"/>
      <c r="G228" s="210" t="s">
        <v>4214</v>
      </c>
      <c r="H228" s="111">
        <v>6982608.8207999999</v>
      </c>
      <c r="I228" s="94"/>
      <c r="P228" s="112"/>
      <c r="Q228" s="213" t="s">
        <v>5415</v>
      </c>
      <c r="R228" s="213" t="s">
        <v>5646</v>
      </c>
      <c r="S228" s="240">
        <v>-48150</v>
      </c>
      <c r="T228" s="210" t="s">
        <v>4802</v>
      </c>
      <c r="U228" s="210">
        <v>68796</v>
      </c>
      <c r="V228" s="111">
        <v>293.53250000000003</v>
      </c>
      <c r="W228" s="111">
        <f t="shared" si="62"/>
        <v>20193861.870000001</v>
      </c>
      <c r="X228" s="97" t="s">
        <v>744</v>
      </c>
      <c r="Y228" s="94" t="s">
        <v>25</v>
      </c>
      <c r="AH228" s="97">
        <v>208</v>
      </c>
      <c r="AI228" s="111" t="s">
        <v>5345</v>
      </c>
      <c r="AJ228" s="111">
        <v>-130382924</v>
      </c>
      <c r="AK228" s="97">
        <v>0</v>
      </c>
      <c r="AL228" s="20">
        <f t="shared" si="71"/>
        <v>104</v>
      </c>
      <c r="AM228" s="115">
        <f t="shared" si="72"/>
        <v>-13559824096</v>
      </c>
      <c r="AN228" s="20" t="s">
        <v>5498</v>
      </c>
      <c r="AR228" t="s">
        <v>25</v>
      </c>
    </row>
    <row r="229" spans="4:45">
      <c r="D229" s="94"/>
      <c r="E229" s="94"/>
      <c r="F229" s="94"/>
      <c r="G229" s="210" t="s">
        <v>5650</v>
      </c>
      <c r="H229" s="111">
        <v>7510131.0216000006</v>
      </c>
      <c r="I229" s="94"/>
      <c r="J229" t="s">
        <v>25</v>
      </c>
      <c r="Q229" s="19" t="s">
        <v>5660</v>
      </c>
      <c r="R229" s="19" t="s">
        <v>5657</v>
      </c>
      <c r="S229" s="115">
        <v>3123901.3702000002</v>
      </c>
      <c r="T229" s="210" t="s">
        <v>4802</v>
      </c>
      <c r="U229" s="210">
        <v>154791</v>
      </c>
      <c r="V229" s="111">
        <v>293.53250000000003</v>
      </c>
      <c r="W229" s="111">
        <f t="shared" si="62"/>
        <v>45436189.207500003</v>
      </c>
      <c r="X229" s="97" t="s">
        <v>452</v>
      </c>
      <c r="Y229" t="s">
        <v>25</v>
      </c>
      <c r="AH229" s="97">
        <v>209</v>
      </c>
      <c r="AI229" s="111" t="s">
        <v>5345</v>
      </c>
      <c r="AJ229" s="111">
        <v>125000000</v>
      </c>
      <c r="AK229" s="97">
        <v>1</v>
      </c>
      <c r="AL229" s="20">
        <f t="shared" si="71"/>
        <v>104</v>
      </c>
      <c r="AM229" s="115">
        <f t="shared" si="72"/>
        <v>13000000000</v>
      </c>
      <c r="AN229" s="20"/>
      <c r="AR229" t="s">
        <v>25</v>
      </c>
    </row>
    <row r="230" spans="4:45">
      <c r="D230" s="94"/>
      <c r="E230" s="94"/>
      <c r="F230" s="94"/>
      <c r="G230" s="210" t="s">
        <v>5657</v>
      </c>
      <c r="H230" s="111">
        <v>10397191</v>
      </c>
      <c r="J230" t="s">
        <v>25</v>
      </c>
      <c r="K230" t="s">
        <v>25</v>
      </c>
      <c r="Q230" s="213" t="s">
        <v>5415</v>
      </c>
      <c r="R230" s="213" t="s">
        <v>5671</v>
      </c>
      <c r="S230" s="240">
        <v>-50000</v>
      </c>
      <c r="T230" s="210" t="s">
        <v>4802</v>
      </c>
      <c r="U230" s="210">
        <v>-11923</v>
      </c>
      <c r="V230" s="111">
        <v>293.53250000000003</v>
      </c>
      <c r="W230" s="111">
        <f t="shared" si="62"/>
        <v>-3499787.9975000005</v>
      </c>
      <c r="X230" s="97" t="s">
        <v>452</v>
      </c>
      <c r="AA230" t="s">
        <v>25</v>
      </c>
      <c r="AH230" s="97">
        <v>210</v>
      </c>
      <c r="AI230" s="111" t="s">
        <v>5497</v>
      </c>
      <c r="AJ230" s="111">
        <v>7200000</v>
      </c>
      <c r="AK230" s="97">
        <v>15</v>
      </c>
      <c r="AL230" s="20">
        <f t="shared" si="71"/>
        <v>103</v>
      </c>
      <c r="AM230" s="115">
        <f t="shared" si="72"/>
        <v>741600000</v>
      </c>
      <c r="AN230" s="20"/>
      <c r="AQ230" t="s">
        <v>25</v>
      </c>
      <c r="AS230" t="s">
        <v>25</v>
      </c>
    </row>
    <row r="231" spans="4:45">
      <c r="D231" s="94"/>
      <c r="E231" s="94"/>
      <c r="G231" s="210" t="s">
        <v>5666</v>
      </c>
      <c r="H231" s="111">
        <v>195059.35799999998</v>
      </c>
      <c r="J231" t="s">
        <v>25</v>
      </c>
      <c r="Q231" s="213" t="s">
        <v>5415</v>
      </c>
      <c r="R231" s="213" t="s">
        <v>5680</v>
      </c>
      <c r="S231" s="240">
        <v>-120000</v>
      </c>
      <c r="T231" s="210" t="s">
        <v>4814</v>
      </c>
      <c r="U231" s="210">
        <v>8424</v>
      </c>
      <c r="V231" s="111">
        <v>299.15170000000001</v>
      </c>
      <c r="W231" s="111">
        <f t="shared" si="62"/>
        <v>2520053.9208</v>
      </c>
      <c r="X231" s="97" t="s">
        <v>452</v>
      </c>
      <c r="AH231" s="97">
        <v>211</v>
      </c>
      <c r="AI231" s="111" t="s">
        <v>5522</v>
      </c>
      <c r="AJ231" s="111">
        <v>2050000</v>
      </c>
      <c r="AK231" s="97">
        <v>7</v>
      </c>
      <c r="AL231" s="20">
        <f t="shared" si="71"/>
        <v>88</v>
      </c>
      <c r="AM231" s="115">
        <f t="shared" si="72"/>
        <v>180400000</v>
      </c>
      <c r="AN231" s="20"/>
      <c r="AR231" t="s">
        <v>25</v>
      </c>
      <c r="AS231" t="s">
        <v>25</v>
      </c>
    </row>
    <row r="232" spans="4:45">
      <c r="D232" s="94"/>
      <c r="E232" s="94"/>
      <c r="G232" s="210" t="s">
        <v>5671</v>
      </c>
      <c r="H232" s="111">
        <v>744082</v>
      </c>
      <c r="Q232" s="271" t="s">
        <v>5415</v>
      </c>
      <c r="R232" s="271" t="s">
        <v>5665</v>
      </c>
      <c r="S232" s="92">
        <v>-150000</v>
      </c>
      <c r="T232" s="210" t="s">
        <v>4849</v>
      </c>
      <c r="U232" s="210">
        <v>15943</v>
      </c>
      <c r="V232" s="111">
        <v>307.34415000000001</v>
      </c>
      <c r="W232" s="111">
        <f t="shared" si="62"/>
        <v>4899987.78345</v>
      </c>
      <c r="X232" s="97" t="s">
        <v>452</v>
      </c>
      <c r="AH232" s="97">
        <v>212</v>
      </c>
      <c r="AI232" s="111" t="s">
        <v>5543</v>
      </c>
      <c r="AJ232" s="111">
        <v>50000000</v>
      </c>
      <c r="AK232" s="97">
        <v>24</v>
      </c>
      <c r="AL232" s="20">
        <f t="shared" si="71"/>
        <v>81</v>
      </c>
      <c r="AM232" s="115">
        <f t="shared" si="72"/>
        <v>4050000000</v>
      </c>
      <c r="AN232" s="20" t="s">
        <v>4692</v>
      </c>
    </row>
    <row r="233" spans="4:45">
      <c r="D233" s="94"/>
      <c r="E233" s="94"/>
      <c r="G233" s="210" t="s">
        <v>5674</v>
      </c>
      <c r="H233" s="111">
        <v>920308.446</v>
      </c>
      <c r="Q233" s="271" t="s">
        <v>5415</v>
      </c>
      <c r="R233" s="271" t="s">
        <v>5705</v>
      </c>
      <c r="S233" s="92">
        <v>-200000</v>
      </c>
      <c r="T233" s="210" t="s">
        <v>4868</v>
      </c>
      <c r="U233" s="210">
        <v>3741</v>
      </c>
      <c r="V233" s="111">
        <v>307.34415000000001</v>
      </c>
      <c r="W233" s="111">
        <f t="shared" si="62"/>
        <v>1149774.4651500001</v>
      </c>
      <c r="X233" s="97" t="s">
        <v>452</v>
      </c>
      <c r="Y233" t="s">
        <v>25</v>
      </c>
      <c r="AH233" s="97">
        <v>213</v>
      </c>
      <c r="AI233" s="111" t="s">
        <v>5592</v>
      </c>
      <c r="AJ233" s="111">
        <v>-58196600</v>
      </c>
      <c r="AK233" s="97">
        <v>22</v>
      </c>
      <c r="AL233" s="20">
        <f t="shared" si="71"/>
        <v>57</v>
      </c>
      <c r="AM233" s="115">
        <f t="shared" si="72"/>
        <v>-3317206200</v>
      </c>
      <c r="AN233" s="20" t="s">
        <v>4882</v>
      </c>
    </row>
    <row r="234" spans="4:45">
      <c r="G234" s="210" t="s">
        <v>5676</v>
      </c>
      <c r="H234" s="111">
        <v>4635809.8416840006</v>
      </c>
      <c r="Q234" s="271" t="s">
        <v>5415</v>
      </c>
      <c r="R234" s="271" t="s">
        <v>5715</v>
      </c>
      <c r="S234" s="92">
        <v>-120000</v>
      </c>
      <c r="T234" s="210" t="s">
        <v>4873</v>
      </c>
      <c r="U234" s="210">
        <v>-6207</v>
      </c>
      <c r="V234" s="111">
        <v>322.214</v>
      </c>
      <c r="W234" s="111">
        <f t="shared" si="62"/>
        <v>-1999982.298</v>
      </c>
      <c r="X234" s="97" t="s">
        <v>744</v>
      </c>
      <c r="AH234" s="97">
        <v>214</v>
      </c>
      <c r="AI234" s="111" t="s">
        <v>5646</v>
      </c>
      <c r="AJ234" s="111">
        <v>25000</v>
      </c>
      <c r="AK234" s="97">
        <v>8</v>
      </c>
      <c r="AL234" s="20">
        <f t="shared" si="71"/>
        <v>35</v>
      </c>
      <c r="AM234" s="115">
        <f t="shared" si="72"/>
        <v>875000</v>
      </c>
      <c r="AN234" s="20"/>
    </row>
    <row r="235" spans="4:45">
      <c r="G235" s="210" t="s">
        <v>5731</v>
      </c>
      <c r="H235" s="111">
        <v>58508002.009000003</v>
      </c>
      <c r="J235" t="s">
        <v>25</v>
      </c>
      <c r="K235" t="s">
        <v>25</v>
      </c>
      <c r="Q235" s="271"/>
      <c r="R235" s="271"/>
      <c r="S235" s="92"/>
      <c r="T235" s="210" t="s">
        <v>4873</v>
      </c>
      <c r="U235" s="210">
        <v>6207</v>
      </c>
      <c r="V235" s="111">
        <v>322.214</v>
      </c>
      <c r="W235" s="111">
        <f t="shared" si="62"/>
        <v>1999982.298</v>
      </c>
      <c r="X235" s="97" t="s">
        <v>4411</v>
      </c>
      <c r="Z235" t="s">
        <v>25</v>
      </c>
      <c r="AA235" t="s">
        <v>25</v>
      </c>
      <c r="AH235" s="97">
        <v>215</v>
      </c>
      <c r="AI235" s="111" t="s">
        <v>5671</v>
      </c>
      <c r="AJ235" s="111">
        <v>70000</v>
      </c>
      <c r="AK235" s="97">
        <v>6</v>
      </c>
      <c r="AL235" s="20">
        <f t="shared" si="71"/>
        <v>27</v>
      </c>
      <c r="AM235" s="115">
        <f t="shared" si="72"/>
        <v>1890000</v>
      </c>
      <c r="AN235" s="20"/>
    </row>
    <row r="236" spans="4:45">
      <c r="G236" s="210" t="s">
        <v>5734</v>
      </c>
      <c r="H236" s="111">
        <v>2245515.5410799999</v>
      </c>
      <c r="J236" t="s">
        <v>25</v>
      </c>
      <c r="Q236" s="19"/>
      <c r="R236" s="19"/>
      <c r="S236" s="115"/>
      <c r="T236" s="210" t="s">
        <v>4821</v>
      </c>
      <c r="U236" s="210">
        <v>776</v>
      </c>
      <c r="V236" s="111">
        <v>322.214</v>
      </c>
      <c r="W236" s="111">
        <f t="shared" si="62"/>
        <v>250038.06400000001</v>
      </c>
      <c r="X236" s="97" t="s">
        <v>452</v>
      </c>
      <c r="AH236" s="97">
        <v>216</v>
      </c>
      <c r="AI236" s="111" t="s">
        <v>5680</v>
      </c>
      <c r="AJ236" s="111">
        <v>70000</v>
      </c>
      <c r="AK236" s="97">
        <v>1</v>
      </c>
      <c r="AL236" s="20">
        <f t="shared" si="71"/>
        <v>21</v>
      </c>
      <c r="AM236" s="115">
        <f t="shared" si="72"/>
        <v>1470000</v>
      </c>
      <c r="AN236" s="20"/>
      <c r="AR236" t="s">
        <v>25</v>
      </c>
    </row>
    <row r="237" spans="4:45">
      <c r="G237" s="210" t="s">
        <v>5737</v>
      </c>
      <c r="H237" s="111">
        <v>18404699.3442</v>
      </c>
      <c r="Q237" s="210"/>
      <c r="R237" s="210"/>
      <c r="S237" s="111"/>
      <c r="T237" s="210" t="s">
        <v>4896</v>
      </c>
      <c r="U237" s="210">
        <v>1524</v>
      </c>
      <c r="V237" s="111">
        <v>314.95999999999998</v>
      </c>
      <c r="W237" s="111">
        <f t="shared" si="62"/>
        <v>479999.04</v>
      </c>
      <c r="X237" s="97" t="s">
        <v>1071</v>
      </c>
      <c r="Y237" t="s">
        <v>25</v>
      </c>
      <c r="AH237" s="97">
        <v>217</v>
      </c>
      <c r="AI237" s="111" t="s">
        <v>5665</v>
      </c>
      <c r="AJ237" s="111">
        <v>150000</v>
      </c>
      <c r="AK237" s="97">
        <v>0</v>
      </c>
      <c r="AL237" s="20">
        <f t="shared" si="71"/>
        <v>20</v>
      </c>
      <c r="AM237" s="115">
        <f t="shared" si="72"/>
        <v>3000000</v>
      </c>
      <c r="AN237" s="20"/>
      <c r="AQ237" t="s">
        <v>25</v>
      </c>
      <c r="AS237" t="s">
        <v>25</v>
      </c>
    </row>
    <row r="238" spans="4:45">
      <c r="G238" s="210" t="s">
        <v>5740</v>
      </c>
      <c r="H238" s="111">
        <v>2264658.5922190002</v>
      </c>
      <c r="Q238" s="210"/>
      <c r="R238" s="210"/>
      <c r="S238" s="111">
        <f>SUM(S191:S237)</f>
        <v>918365.69300000137</v>
      </c>
      <c r="T238" s="210" t="s">
        <v>4903</v>
      </c>
      <c r="U238" s="210">
        <v>4435</v>
      </c>
      <c r="V238" s="111">
        <v>316.4375</v>
      </c>
      <c r="W238" s="111">
        <f t="shared" si="62"/>
        <v>1403400.3125</v>
      </c>
      <c r="X238" s="97" t="s">
        <v>452</v>
      </c>
      <c r="AH238" s="97">
        <v>218</v>
      </c>
      <c r="AI238" s="111" t="s">
        <v>5665</v>
      </c>
      <c r="AJ238" s="111">
        <v>-95599450</v>
      </c>
      <c r="AK238" s="97">
        <v>7</v>
      </c>
      <c r="AL238" s="20">
        <f t="shared" si="71"/>
        <v>20</v>
      </c>
      <c r="AM238" s="115">
        <f t="shared" si="72"/>
        <v>-1911989000</v>
      </c>
      <c r="AN238" s="20" t="s">
        <v>5684</v>
      </c>
      <c r="AR238" t="s">
        <v>25</v>
      </c>
    </row>
    <row r="239" spans="4:45">
      <c r="G239" s="210" t="s">
        <v>5744</v>
      </c>
      <c r="H239" s="111">
        <v>22877413.789960001</v>
      </c>
      <c r="Q239" s="41"/>
      <c r="R239" s="210"/>
      <c r="S239" s="210" t="s">
        <v>6</v>
      </c>
      <c r="T239" s="210" t="s">
        <v>4906</v>
      </c>
      <c r="U239" s="210">
        <v>624</v>
      </c>
      <c r="V239" s="111">
        <v>320.5</v>
      </c>
      <c r="W239" s="111">
        <f t="shared" si="62"/>
        <v>199992</v>
      </c>
      <c r="X239" s="97" t="s">
        <v>452</v>
      </c>
      <c r="AH239" s="97">
        <v>219</v>
      </c>
      <c r="AI239" s="111" t="s">
        <v>5705</v>
      </c>
      <c r="AJ239" s="111">
        <v>200000</v>
      </c>
      <c r="AK239" s="97">
        <v>7</v>
      </c>
      <c r="AL239" s="20">
        <f t="shared" si="71"/>
        <v>13</v>
      </c>
      <c r="AM239" s="115">
        <f t="shared" si="72"/>
        <v>2600000</v>
      </c>
      <c r="AN239" s="20"/>
      <c r="AR239" t="s">
        <v>25</v>
      </c>
    </row>
    <row r="240" spans="4:45">
      <c r="G240" s="210" t="s">
        <v>5750</v>
      </c>
      <c r="H240" s="111">
        <v>2362539.4373280001</v>
      </c>
      <c r="Q240" s="94"/>
      <c r="T240" s="210" t="s">
        <v>4911</v>
      </c>
      <c r="U240" s="210">
        <v>1086</v>
      </c>
      <c r="V240" s="111">
        <v>317.55</v>
      </c>
      <c r="W240" s="111">
        <f t="shared" si="62"/>
        <v>344859.3</v>
      </c>
      <c r="X240" s="97" t="s">
        <v>452</v>
      </c>
      <c r="AH240" s="97">
        <v>220</v>
      </c>
      <c r="AI240" s="111" t="s">
        <v>5715</v>
      </c>
      <c r="AJ240" s="111">
        <v>150000</v>
      </c>
      <c r="AK240" s="97">
        <v>5</v>
      </c>
      <c r="AL240" s="20">
        <f t="shared" si="71"/>
        <v>6</v>
      </c>
      <c r="AM240" s="115">
        <f t="shared" si="72"/>
        <v>900000</v>
      </c>
      <c r="AN240" s="20"/>
    </row>
    <row r="241" spans="7:44">
      <c r="G241" s="210" t="s">
        <v>5752</v>
      </c>
      <c r="H241" s="111">
        <v>16042676.656608</v>
      </c>
      <c r="Q241" s="94" t="s">
        <v>25</v>
      </c>
      <c r="R241" s="94" t="s">
        <v>25</v>
      </c>
      <c r="T241" s="210" t="s">
        <v>4916</v>
      </c>
      <c r="U241" s="210">
        <v>2820</v>
      </c>
      <c r="V241" s="111">
        <v>319.1096</v>
      </c>
      <c r="W241" s="111">
        <f t="shared" si="62"/>
        <v>899889.07200000004</v>
      </c>
      <c r="X241" s="97" t="s">
        <v>452</v>
      </c>
      <c r="AH241" s="97">
        <v>221</v>
      </c>
      <c r="AI241" s="111" t="s">
        <v>5719</v>
      </c>
      <c r="AJ241" s="111">
        <v>310000</v>
      </c>
      <c r="AK241" s="97">
        <v>1</v>
      </c>
      <c r="AL241" s="20">
        <f t="shared" si="71"/>
        <v>1</v>
      </c>
      <c r="AM241" s="115">
        <f t="shared" si="72"/>
        <v>310000</v>
      </c>
      <c r="AN241" s="20"/>
      <c r="AR241" t="s">
        <v>25</v>
      </c>
    </row>
    <row r="242" spans="7:44">
      <c r="G242" s="210"/>
      <c r="H242" s="111"/>
      <c r="J242" t="s">
        <v>25</v>
      </c>
      <c r="Q242" s="94" t="s">
        <v>25</v>
      </c>
      <c r="R242" s="94" t="s">
        <v>25</v>
      </c>
      <c r="S242" t="s">
        <v>25</v>
      </c>
      <c r="T242" s="210" t="s">
        <v>4919</v>
      </c>
      <c r="U242" s="210">
        <v>1145</v>
      </c>
      <c r="V242" s="111">
        <v>325.44</v>
      </c>
      <c r="W242" s="111">
        <f t="shared" si="62"/>
        <v>372628.8</v>
      </c>
      <c r="X242" s="97" t="s">
        <v>452</v>
      </c>
      <c r="AH242" s="97"/>
      <c r="AI242" s="111"/>
      <c r="AJ242" s="111">
        <v>0</v>
      </c>
      <c r="AK242" s="97">
        <v>0</v>
      </c>
      <c r="AL242" s="20">
        <f t="shared" si="71"/>
        <v>0</v>
      </c>
      <c r="AM242" s="115">
        <f t="shared" si="72"/>
        <v>0</v>
      </c>
      <c r="AN242" s="20"/>
    </row>
    <row r="243" spans="7:44">
      <c r="G243" s="210"/>
      <c r="H243" s="111"/>
      <c r="J243" t="s">
        <v>25</v>
      </c>
      <c r="S243" t="s">
        <v>25</v>
      </c>
      <c r="T243" s="210" t="s">
        <v>4927</v>
      </c>
      <c r="U243" s="210">
        <v>20153</v>
      </c>
      <c r="V243" s="111">
        <v>322</v>
      </c>
      <c r="W243" s="111">
        <f t="shared" si="62"/>
        <v>6489266</v>
      </c>
      <c r="X243" s="97" t="s">
        <v>452</v>
      </c>
      <c r="AH243" s="97"/>
      <c r="AI243" s="111" t="s">
        <v>25</v>
      </c>
      <c r="AJ243" s="111">
        <v>0</v>
      </c>
      <c r="AK243" s="97">
        <v>0</v>
      </c>
      <c r="AL243" s="20">
        <f t="shared" si="71"/>
        <v>0</v>
      </c>
      <c r="AM243" s="115">
        <f t="shared" si="72"/>
        <v>0</v>
      </c>
      <c r="AN243" s="20"/>
    </row>
    <row r="244" spans="7:44">
      <c r="G244" s="210"/>
      <c r="H244" s="111"/>
      <c r="Q244" s="97" t="s">
        <v>744</v>
      </c>
      <c r="R244" s="97"/>
      <c r="S244" t="s">
        <v>25</v>
      </c>
      <c r="T244" s="210" t="s">
        <v>4937</v>
      </c>
      <c r="U244" s="210">
        <v>93720</v>
      </c>
      <c r="V244" s="111">
        <v>325.435</v>
      </c>
      <c r="W244" s="111">
        <f t="shared" si="62"/>
        <v>30499768.199999999</v>
      </c>
      <c r="X244" s="97" t="s">
        <v>1071</v>
      </c>
      <c r="AH244" s="97"/>
      <c r="AI244" s="111"/>
      <c r="AJ244" s="111">
        <v>0</v>
      </c>
      <c r="AK244" s="97">
        <v>0</v>
      </c>
      <c r="AL244" s="20">
        <f t="shared" si="71"/>
        <v>0</v>
      </c>
      <c r="AM244" s="115">
        <f t="shared" si="72"/>
        <v>0</v>
      </c>
      <c r="AN244" s="20"/>
      <c r="AP244" t="s">
        <v>25</v>
      </c>
    </row>
    <row r="245" spans="7:44">
      <c r="G245" s="210"/>
      <c r="H245" s="111"/>
      <c r="P245" t="s">
        <v>25</v>
      </c>
      <c r="Q245" s="97" t="s">
        <v>4404</v>
      </c>
      <c r="R245" s="93">
        <v>172908000</v>
      </c>
      <c r="T245" s="210" t="s">
        <v>4937</v>
      </c>
      <c r="U245" s="210">
        <v>20895</v>
      </c>
      <c r="V245" s="111">
        <v>325.435</v>
      </c>
      <c r="W245" s="111">
        <f t="shared" si="62"/>
        <v>6799964.3250000002</v>
      </c>
      <c r="X245" s="97" t="s">
        <v>744</v>
      </c>
      <c r="AH245" s="97"/>
      <c r="AI245" s="111"/>
      <c r="AJ245" s="111">
        <v>0</v>
      </c>
      <c r="AK245" s="97">
        <v>0</v>
      </c>
      <c r="AL245" s="20">
        <f t="shared" si="71"/>
        <v>0</v>
      </c>
      <c r="AM245" s="115">
        <f t="shared" si="72"/>
        <v>0</v>
      </c>
      <c r="AN245" s="20"/>
    </row>
    <row r="246" spans="7:44">
      <c r="G246" s="210"/>
      <c r="H246" s="111"/>
      <c r="Q246" s="97" t="s">
        <v>4438</v>
      </c>
      <c r="R246" s="93">
        <v>1400000</v>
      </c>
      <c r="T246" s="210" t="s">
        <v>4946</v>
      </c>
      <c r="U246" s="210">
        <v>2611</v>
      </c>
      <c r="V246" s="111">
        <v>325.435</v>
      </c>
      <c r="W246" s="111">
        <f t="shared" si="62"/>
        <v>849710.78500000003</v>
      </c>
      <c r="X246" s="97" t="s">
        <v>744</v>
      </c>
      <c r="AH246" s="97"/>
      <c r="AI246" s="111"/>
      <c r="AJ246" s="111">
        <v>0</v>
      </c>
      <c r="AK246" s="97">
        <v>0</v>
      </c>
      <c r="AL246" s="20">
        <f t="shared" si="71"/>
        <v>0</v>
      </c>
      <c r="AM246" s="115">
        <f t="shared" si="72"/>
        <v>0</v>
      </c>
      <c r="AN246" s="20"/>
    </row>
    <row r="247" spans="7:44">
      <c r="G247" s="210"/>
      <c r="H247" s="111"/>
      <c r="Q247" s="97" t="s">
        <v>4210</v>
      </c>
      <c r="R247" s="93">
        <v>247393</v>
      </c>
      <c r="S247" t="s">
        <v>25</v>
      </c>
      <c r="T247" s="210" t="s">
        <v>4955</v>
      </c>
      <c r="U247" s="210">
        <v>6750</v>
      </c>
      <c r="V247" s="111">
        <v>339.3</v>
      </c>
      <c r="W247" s="111">
        <f t="shared" si="62"/>
        <v>2290275</v>
      </c>
      <c r="X247" s="97" t="s">
        <v>744</v>
      </c>
      <c r="AH247" s="97"/>
      <c r="AI247" s="111"/>
      <c r="AJ247" s="111">
        <v>0</v>
      </c>
      <c r="AK247" s="97">
        <v>0</v>
      </c>
      <c r="AL247" s="20">
        <f>AL248+AK247</f>
        <v>0</v>
      </c>
      <c r="AM247" s="115">
        <f t="shared" si="72"/>
        <v>0</v>
      </c>
      <c r="AN247" s="20"/>
    </row>
    <row r="248" spans="7:44">
      <c r="G248" s="210" t="s">
        <v>5583</v>
      </c>
      <c r="H248" s="111">
        <v>-87000000</v>
      </c>
      <c r="J248" t="s">
        <v>25</v>
      </c>
      <c r="O248" t="s">
        <v>25</v>
      </c>
      <c r="Q248" s="97" t="s">
        <v>4209</v>
      </c>
      <c r="R248" s="93">
        <v>6780000</v>
      </c>
      <c r="T248" s="210" t="s">
        <v>4963</v>
      </c>
      <c r="U248" s="210">
        <v>1850</v>
      </c>
      <c r="V248" s="111">
        <v>334.10050000000001</v>
      </c>
      <c r="W248" s="111">
        <f t="shared" si="62"/>
        <v>618085.92500000005</v>
      </c>
      <c r="X248" s="97" t="s">
        <v>452</v>
      </c>
      <c r="AH248" s="97"/>
      <c r="AI248" s="111"/>
      <c r="AJ248" s="111">
        <v>0</v>
      </c>
      <c r="AK248" s="97"/>
      <c r="AL248" s="20">
        <f t="shared" si="71"/>
        <v>0</v>
      </c>
      <c r="AM248" s="115">
        <f t="shared" si="72"/>
        <v>0</v>
      </c>
      <c r="AN248" s="20"/>
    </row>
    <row r="249" spans="7:44">
      <c r="G249" s="210"/>
      <c r="H249" s="111"/>
      <c r="J249" t="s">
        <v>25</v>
      </c>
      <c r="Q249" s="97" t="s">
        <v>4541</v>
      </c>
      <c r="R249" s="93">
        <v>-4000000</v>
      </c>
      <c r="T249" s="210" t="s">
        <v>4963</v>
      </c>
      <c r="U249" s="210">
        <v>-1194</v>
      </c>
      <c r="V249" s="111">
        <v>335</v>
      </c>
      <c r="W249" s="111">
        <f t="shared" si="62"/>
        <v>-399990</v>
      </c>
      <c r="X249" s="97" t="s">
        <v>4411</v>
      </c>
      <c r="AH249" s="97"/>
      <c r="AI249" s="111"/>
      <c r="AJ249" s="111"/>
      <c r="AK249" s="97">
        <v>0</v>
      </c>
      <c r="AL249" s="20">
        <f t="shared" si="71"/>
        <v>0</v>
      </c>
      <c r="AM249" s="115">
        <f t="shared" si="72"/>
        <v>0</v>
      </c>
      <c r="AN249" s="20"/>
      <c r="AP249" t="s">
        <v>25</v>
      </c>
    </row>
    <row r="250" spans="7:44">
      <c r="G250" s="210"/>
      <c r="H250" s="1"/>
      <c r="Q250" s="97" t="s">
        <v>4567</v>
      </c>
      <c r="R250" s="93">
        <v>16727037</v>
      </c>
      <c r="T250" s="210" t="s">
        <v>4963</v>
      </c>
      <c r="U250" s="210">
        <v>1194</v>
      </c>
      <c r="V250" s="111">
        <v>335</v>
      </c>
      <c r="W250" s="111">
        <f t="shared" si="62"/>
        <v>399990</v>
      </c>
      <c r="X250" s="97" t="s">
        <v>744</v>
      </c>
      <c r="Y250" t="s">
        <v>25</v>
      </c>
      <c r="AH250" s="97"/>
      <c r="AI250" s="97"/>
      <c r="AJ250" s="93">
        <f>SUM(AJ20:AJ249)</f>
        <v>481715751</v>
      </c>
      <c r="AK250" s="97"/>
      <c r="AL250" s="97">
        <v>0</v>
      </c>
      <c r="AM250" s="93">
        <f>SUM(AM20:AM249)</f>
        <v>339965231162</v>
      </c>
      <c r="AN250" s="93">
        <f>AM250*AN253/31</f>
        <v>182780661.5411953</v>
      </c>
    </row>
    <row r="251" spans="7:44">
      <c r="G251" s="210"/>
      <c r="H251" s="1"/>
      <c r="Q251" s="97" t="s">
        <v>4572</v>
      </c>
      <c r="R251" s="93">
        <v>46460683</v>
      </c>
      <c r="S251" t="s">
        <v>25</v>
      </c>
      <c r="T251" s="210" t="s">
        <v>4970</v>
      </c>
      <c r="U251" s="210">
        <v>433</v>
      </c>
      <c r="V251" s="111">
        <v>345.68</v>
      </c>
      <c r="W251" s="111">
        <f t="shared" si="62"/>
        <v>149679.44</v>
      </c>
      <c r="X251" s="97" t="s">
        <v>744</v>
      </c>
      <c r="Y251" t="s">
        <v>25</v>
      </c>
      <c r="AH251" s="97"/>
      <c r="AI251" s="97"/>
      <c r="AJ251" s="97" t="s">
        <v>4043</v>
      </c>
      <c r="AK251" s="97"/>
      <c r="AL251" s="97"/>
      <c r="AM251" s="97" t="s">
        <v>284</v>
      </c>
      <c r="AN251" s="97" t="s">
        <v>928</v>
      </c>
    </row>
    <row r="252" spans="7:44">
      <c r="G252" s="210"/>
      <c r="H252" s="1"/>
      <c r="P252" t="s">
        <v>25</v>
      </c>
      <c r="Q252" s="97" t="s">
        <v>4573</v>
      </c>
      <c r="R252" s="93">
        <v>19663646</v>
      </c>
      <c r="T252" s="210" t="s">
        <v>4974</v>
      </c>
      <c r="U252" s="210">
        <v>55459</v>
      </c>
      <c r="V252" s="111">
        <v>362.51978000000003</v>
      </c>
      <c r="W252" s="111">
        <f t="shared" si="62"/>
        <v>20104984.479020003</v>
      </c>
      <c r="X252" s="97" t="s">
        <v>452</v>
      </c>
      <c r="AH252" s="97"/>
      <c r="AI252" s="97"/>
      <c r="AJ252" s="97"/>
      <c r="AK252" s="97"/>
      <c r="AL252" s="97"/>
      <c r="AM252" s="97"/>
      <c r="AN252" s="97"/>
    </row>
    <row r="253" spans="7:44">
      <c r="G253" s="210" t="s">
        <v>6</v>
      </c>
      <c r="H253" s="1">
        <f>SUM(H205:H252)</f>
        <v>350379278.86574793</v>
      </c>
      <c r="Q253" s="97" t="s">
        <v>4596</v>
      </c>
      <c r="R253" s="93">
        <v>4374525</v>
      </c>
      <c r="T253" s="210" t="s">
        <v>4978</v>
      </c>
      <c r="U253" s="210">
        <v>-57212</v>
      </c>
      <c r="V253" s="111">
        <v>368.45400000000001</v>
      </c>
      <c r="W253" s="111">
        <f t="shared" si="62"/>
        <v>-21079990.248</v>
      </c>
      <c r="X253" s="97" t="s">
        <v>452</v>
      </c>
      <c r="AH253" s="97"/>
      <c r="AI253" s="97"/>
      <c r="AJ253" s="97"/>
      <c r="AK253" s="97"/>
      <c r="AL253" s="97"/>
      <c r="AM253" s="97" t="s">
        <v>4044</v>
      </c>
      <c r="AN253" s="97">
        <v>1.6667000000000001E-2</v>
      </c>
      <c r="AQ253" t="s">
        <v>25</v>
      </c>
    </row>
    <row r="254" spans="7:44">
      <c r="G254" s="321"/>
      <c r="H254" s="1"/>
      <c r="Q254" s="97" t="s">
        <v>4607</v>
      </c>
      <c r="R254" s="93">
        <v>6550580</v>
      </c>
      <c r="T254" s="210" t="s">
        <v>4979</v>
      </c>
      <c r="U254" s="210">
        <v>-15881</v>
      </c>
      <c r="V254" s="111">
        <v>374.61599999999999</v>
      </c>
      <c r="W254" s="111">
        <f t="shared" si="62"/>
        <v>-5949276.6959999995</v>
      </c>
      <c r="X254" s="97" t="s">
        <v>452</v>
      </c>
      <c r="AH254" s="97"/>
      <c r="AI254" s="97"/>
      <c r="AJ254" s="97"/>
      <c r="AK254" s="97"/>
      <c r="AL254" s="97"/>
      <c r="AM254" s="97"/>
      <c r="AN254" s="97"/>
    </row>
    <row r="255" spans="7:44">
      <c r="Q255" s="97" t="s">
        <v>4609</v>
      </c>
      <c r="R255" s="93">
        <v>6650895</v>
      </c>
      <c r="T255" s="210" t="s">
        <v>4985</v>
      </c>
      <c r="U255" s="210">
        <v>-41289</v>
      </c>
      <c r="V255" s="111">
        <v>372.27</v>
      </c>
      <c r="W255" s="111">
        <f t="shared" si="62"/>
        <v>-15370656.029999999</v>
      </c>
      <c r="X255" s="97" t="s">
        <v>452</v>
      </c>
      <c r="AH255" s="97"/>
      <c r="AI255" s="97" t="s">
        <v>4045</v>
      </c>
      <c r="AJ255" s="93">
        <f>AJ250+AN250</f>
        <v>664496412.54119527</v>
      </c>
      <c r="AK255" s="97"/>
      <c r="AL255" s="97"/>
      <c r="AM255" s="97"/>
      <c r="AN255" s="97"/>
    </row>
    <row r="256" spans="7:44">
      <c r="Q256" s="97" t="s">
        <v>4626</v>
      </c>
      <c r="R256" s="93">
        <v>2145814</v>
      </c>
      <c r="T256" s="210" t="s">
        <v>4991</v>
      </c>
      <c r="U256" s="210">
        <v>13563</v>
      </c>
      <c r="V256" s="111">
        <v>365.69799999999998</v>
      </c>
      <c r="W256" s="111">
        <f t="shared" si="62"/>
        <v>4959961.9739999995</v>
      </c>
      <c r="X256" s="97" t="s">
        <v>452</v>
      </c>
      <c r="AI256" t="s">
        <v>4048</v>
      </c>
      <c r="AJ256" s="112">
        <f>SUM(N41:N51)</f>
        <v>5362152214</v>
      </c>
      <c r="AM256" t="s">
        <v>25</v>
      </c>
    </row>
    <row r="257" spans="7:45">
      <c r="G257" s="94"/>
      <c r="H257" s="9" t="s">
        <v>452</v>
      </c>
      <c r="Q257" s="97" t="s">
        <v>4637</v>
      </c>
      <c r="R257" s="93">
        <v>4369730</v>
      </c>
      <c r="T257" s="210" t="s">
        <v>4991</v>
      </c>
      <c r="U257" s="210">
        <v>27344</v>
      </c>
      <c r="V257" s="111">
        <v>365.69799999999998</v>
      </c>
      <c r="W257" s="111">
        <f t="shared" si="62"/>
        <v>9999646.1119999997</v>
      </c>
      <c r="X257" s="97" t="s">
        <v>452</v>
      </c>
      <c r="AI257" t="s">
        <v>4120</v>
      </c>
      <c r="AJ257" s="112">
        <f>AJ256-AJ250</f>
        <v>4880436463</v>
      </c>
      <c r="AM257" t="s">
        <v>25</v>
      </c>
    </row>
    <row r="258" spans="7:45" ht="30">
      <c r="G258" s="94"/>
      <c r="H258" s="9" t="s">
        <v>744</v>
      </c>
      <c r="Q258" s="97" t="s">
        <v>4639</v>
      </c>
      <c r="R258" s="93">
        <v>8739459</v>
      </c>
      <c r="S258" t="s">
        <v>25</v>
      </c>
      <c r="T258" s="210" t="s">
        <v>4998</v>
      </c>
      <c r="U258" s="210">
        <v>-103145</v>
      </c>
      <c r="V258" s="111">
        <v>393.334</v>
      </c>
      <c r="W258" s="111">
        <f t="shared" si="62"/>
        <v>-40570435.43</v>
      </c>
      <c r="X258" s="36" t="s">
        <v>5003</v>
      </c>
      <c r="Z258" t="s">
        <v>25</v>
      </c>
      <c r="AI258" t="s">
        <v>928</v>
      </c>
      <c r="AJ258" s="112">
        <f>AN250</f>
        <v>182780661.5411953</v>
      </c>
      <c r="AN258" t="s">
        <v>25</v>
      </c>
    </row>
    <row r="259" spans="7:45">
      <c r="G259" s="94"/>
      <c r="H259" s="9" t="s">
        <v>5499</v>
      </c>
      <c r="Q259" s="97" t="s">
        <v>4648</v>
      </c>
      <c r="R259" s="93">
        <v>6667654</v>
      </c>
      <c r="T259" s="210" t="s">
        <v>4998</v>
      </c>
      <c r="U259" s="210">
        <v>-369</v>
      </c>
      <c r="V259" s="111">
        <v>393.334</v>
      </c>
      <c r="W259" s="111">
        <f t="shared" si="62"/>
        <v>-145140.24600000001</v>
      </c>
      <c r="X259" s="36" t="s">
        <v>5077</v>
      </c>
      <c r="AI259" t="s">
        <v>4049</v>
      </c>
      <c r="AJ259" s="112">
        <f>AJ256-AJ255</f>
        <v>4697655801.4588051</v>
      </c>
      <c r="AN259" t="s">
        <v>25</v>
      </c>
    </row>
    <row r="260" spans="7:45">
      <c r="G260" s="94"/>
      <c r="H260" s="9" t="s">
        <v>1071</v>
      </c>
      <c r="Q260" s="97" t="s">
        <v>4656</v>
      </c>
      <c r="R260" s="93">
        <v>8981245</v>
      </c>
      <c r="T260" s="210" t="s">
        <v>4998</v>
      </c>
      <c r="U260" s="210">
        <v>-889</v>
      </c>
      <c r="V260" s="111">
        <v>393.334</v>
      </c>
      <c r="W260" s="111">
        <f t="shared" si="62"/>
        <v>-349673.92599999998</v>
      </c>
      <c r="X260" s="36" t="s">
        <v>5078</v>
      </c>
      <c r="AM260" t="s">
        <v>25</v>
      </c>
    </row>
    <row r="261" spans="7:45">
      <c r="H261" s="9" t="s">
        <v>5415</v>
      </c>
      <c r="Q261" s="97" t="s">
        <v>4660</v>
      </c>
      <c r="R261" s="93">
        <v>9181756</v>
      </c>
      <c r="T261" s="210" t="s">
        <v>5007</v>
      </c>
      <c r="U261" s="210">
        <v>2546</v>
      </c>
      <c r="V261" s="111">
        <v>393</v>
      </c>
      <c r="W261" s="111">
        <f t="shared" si="62"/>
        <v>1000578</v>
      </c>
      <c r="X261" s="36" t="s">
        <v>452</v>
      </c>
      <c r="AJ261" t="s">
        <v>25</v>
      </c>
    </row>
    <row r="262" spans="7:45">
      <c r="H262" s="9" t="s">
        <v>5634</v>
      </c>
      <c r="Q262" s="97" t="s">
        <v>4663</v>
      </c>
      <c r="R262" s="93">
        <v>11811208</v>
      </c>
      <c r="S262" t="s">
        <v>25</v>
      </c>
      <c r="T262" s="210" t="s">
        <v>5008</v>
      </c>
      <c r="U262" s="210">
        <v>1034</v>
      </c>
      <c r="V262" s="111">
        <v>386.608</v>
      </c>
      <c r="W262" s="111">
        <f t="shared" si="62"/>
        <v>399752.67200000002</v>
      </c>
      <c r="X262" s="36" t="s">
        <v>452</v>
      </c>
    </row>
    <row r="263" spans="7:45">
      <c r="H263" s="324" t="s">
        <v>5635</v>
      </c>
      <c r="Q263" s="97" t="s">
        <v>4677</v>
      </c>
      <c r="R263" s="93">
        <v>41248054</v>
      </c>
      <c r="S263" t="s">
        <v>25</v>
      </c>
      <c r="T263" s="210" t="s">
        <v>5015</v>
      </c>
      <c r="U263" s="210">
        <v>300</v>
      </c>
      <c r="V263" s="111">
        <v>400</v>
      </c>
      <c r="W263" s="111">
        <f t="shared" si="62"/>
        <v>120000</v>
      </c>
      <c r="X263" s="36" t="s">
        <v>452</v>
      </c>
    </row>
    <row r="264" spans="7:45">
      <c r="H264" s="324" t="s">
        <v>744</v>
      </c>
      <c r="Q264" s="97" t="s">
        <v>4684</v>
      </c>
      <c r="R264" s="93">
        <v>37328780</v>
      </c>
      <c r="T264" s="210" t="s">
        <v>5024</v>
      </c>
      <c r="U264" s="210">
        <v>782</v>
      </c>
      <c r="V264" s="111">
        <v>409</v>
      </c>
      <c r="W264" s="111">
        <f t="shared" si="62"/>
        <v>319838</v>
      </c>
      <c r="X264" s="36" t="s">
        <v>744</v>
      </c>
    </row>
    <row r="265" spans="7:45">
      <c r="H265" s="9" t="s">
        <v>5636</v>
      </c>
      <c r="Q265" s="97" t="s">
        <v>4765</v>
      </c>
      <c r="R265" s="93">
        <v>-2194100</v>
      </c>
      <c r="T265" s="210" t="s">
        <v>5028</v>
      </c>
      <c r="U265" s="210">
        <v>1220</v>
      </c>
      <c r="V265" s="111">
        <v>409.9</v>
      </c>
      <c r="W265" s="111">
        <f t="shared" si="62"/>
        <v>500078</v>
      </c>
      <c r="X265" s="36" t="s">
        <v>744</v>
      </c>
    </row>
    <row r="266" spans="7:45">
      <c r="H266" s="9" t="s">
        <v>5637</v>
      </c>
      <c r="Q266" s="97" t="s">
        <v>4802</v>
      </c>
      <c r="R266" s="93">
        <v>20193916</v>
      </c>
      <c r="T266" s="210" t="s">
        <v>5030</v>
      </c>
      <c r="U266" s="210">
        <v>1285</v>
      </c>
      <c r="V266" s="111">
        <v>388.84</v>
      </c>
      <c r="W266" s="111">
        <f t="shared" si="62"/>
        <v>499659.39999999997</v>
      </c>
      <c r="X266" s="36" t="s">
        <v>452</v>
      </c>
      <c r="AH266" s="97" t="s">
        <v>3625</v>
      </c>
      <c r="AI266" s="97" t="s">
        <v>180</v>
      </c>
      <c r="AJ266" s="97" t="s">
        <v>267</v>
      </c>
      <c r="AK266" s="97" t="s">
        <v>4042</v>
      </c>
      <c r="AL266" s="97" t="s">
        <v>4034</v>
      </c>
      <c r="AM266" s="97" t="s">
        <v>282</v>
      </c>
      <c r="AN266" s="97" t="s">
        <v>4270</v>
      </c>
    </row>
    <row r="267" spans="7:45">
      <c r="H267" s="9" t="s">
        <v>5669</v>
      </c>
      <c r="Q267" s="97" t="s">
        <v>4873</v>
      </c>
      <c r="R267" s="93">
        <v>-2000000</v>
      </c>
      <c r="T267" s="210" t="s">
        <v>5020</v>
      </c>
      <c r="U267" s="210">
        <v>1924</v>
      </c>
      <c r="V267" s="111">
        <v>386.69600000000003</v>
      </c>
      <c r="W267" s="111">
        <f t="shared" si="62"/>
        <v>744003.10400000005</v>
      </c>
      <c r="X267" s="36" t="s">
        <v>452</v>
      </c>
      <c r="Y267" t="s">
        <v>25</v>
      </c>
      <c r="AH267" s="97">
        <v>1</v>
      </c>
      <c r="AI267" s="97" t="s">
        <v>3933</v>
      </c>
      <c r="AJ267" s="115">
        <v>3555820</v>
      </c>
      <c r="AK267" s="97">
        <v>2</v>
      </c>
      <c r="AL267" s="97">
        <f>AK267+AL268</f>
        <v>761</v>
      </c>
      <c r="AM267" s="97">
        <f>AJ267*AL267</f>
        <v>2705979020</v>
      </c>
      <c r="AN267" s="97" t="s">
        <v>4288</v>
      </c>
      <c r="AS267" t="s">
        <v>25</v>
      </c>
    </row>
    <row r="268" spans="7:45">
      <c r="H268" s="324"/>
      <c r="Q268" s="97" t="s">
        <v>4937</v>
      </c>
      <c r="R268" s="93">
        <v>6800000</v>
      </c>
      <c r="S268" t="s">
        <v>25</v>
      </c>
      <c r="T268" s="210" t="s">
        <v>5046</v>
      </c>
      <c r="U268" s="210">
        <v>165</v>
      </c>
      <c r="V268" s="111">
        <v>393.5</v>
      </c>
      <c r="W268" s="111">
        <f t="shared" si="62"/>
        <v>64927.5</v>
      </c>
      <c r="X268" s="36" t="s">
        <v>452</v>
      </c>
      <c r="AA268" t="s">
        <v>25</v>
      </c>
      <c r="AH268" s="97">
        <v>2</v>
      </c>
      <c r="AI268" s="97" t="s">
        <v>4008</v>
      </c>
      <c r="AJ268" s="115">
        <v>1720837</v>
      </c>
      <c r="AK268" s="97">
        <v>51</v>
      </c>
      <c r="AL268" s="97">
        <f t="shared" ref="AL268:AL277" si="73">AK268+AL269</f>
        <v>759</v>
      </c>
      <c r="AM268" s="97">
        <f t="shared" ref="AM268:AM296" si="74">AJ268*AL268</f>
        <v>1306115283</v>
      </c>
      <c r="AN268" s="97" t="s">
        <v>4289</v>
      </c>
    </row>
    <row r="269" spans="7:45" ht="30">
      <c r="Q269" s="97" t="s">
        <v>4946</v>
      </c>
      <c r="R269" s="93">
        <v>850000</v>
      </c>
      <c r="T269" s="210" t="s">
        <v>5052</v>
      </c>
      <c r="U269" s="210">
        <v>-34859</v>
      </c>
      <c r="V269" s="111">
        <v>403.1585</v>
      </c>
      <c r="W269" s="111">
        <f t="shared" si="62"/>
        <v>-14053702.1515</v>
      </c>
      <c r="X269" s="36" t="s">
        <v>5055</v>
      </c>
      <c r="AH269" s="97">
        <v>3</v>
      </c>
      <c r="AI269" s="97" t="s">
        <v>4114</v>
      </c>
      <c r="AJ269" s="115">
        <v>150000</v>
      </c>
      <c r="AK269" s="97">
        <v>3</v>
      </c>
      <c r="AL269" s="97">
        <f t="shared" si="73"/>
        <v>708</v>
      </c>
      <c r="AM269" s="97">
        <f t="shared" si="74"/>
        <v>106200000</v>
      </c>
      <c r="AN269" s="97"/>
    </row>
    <row r="270" spans="7:45">
      <c r="Q270" s="97" t="s">
        <v>4955</v>
      </c>
      <c r="R270" s="93">
        <v>2290500</v>
      </c>
      <c r="T270" s="210" t="s">
        <v>5021</v>
      </c>
      <c r="U270" s="210">
        <v>8476</v>
      </c>
      <c r="V270" s="111">
        <v>419.49900000000002</v>
      </c>
      <c r="W270" s="111">
        <f t="shared" si="62"/>
        <v>3555673.5240000002</v>
      </c>
      <c r="X270" s="36" t="s">
        <v>5061</v>
      </c>
      <c r="AH270" s="97">
        <v>4</v>
      </c>
      <c r="AI270" s="97" t="s">
        <v>4129</v>
      </c>
      <c r="AJ270" s="115">
        <v>-95000</v>
      </c>
      <c r="AK270" s="97">
        <v>8</v>
      </c>
      <c r="AL270" s="97">
        <f t="shared" si="73"/>
        <v>705</v>
      </c>
      <c r="AM270" s="97">
        <f t="shared" si="74"/>
        <v>-66975000</v>
      </c>
      <c r="AN270" s="97"/>
    </row>
    <row r="271" spans="7:45">
      <c r="Q271" s="97" t="s">
        <v>4963</v>
      </c>
      <c r="R271" s="93">
        <v>400000</v>
      </c>
      <c r="S271" t="s">
        <v>25</v>
      </c>
      <c r="T271" s="210" t="s">
        <v>5073</v>
      </c>
      <c r="U271" s="210">
        <v>903</v>
      </c>
      <c r="V271" s="111">
        <v>442.77379999999999</v>
      </c>
      <c r="W271" s="111">
        <f t="shared" si="62"/>
        <v>399824.7414</v>
      </c>
      <c r="X271" s="36" t="s">
        <v>744</v>
      </c>
      <c r="AH271" s="97">
        <v>5</v>
      </c>
      <c r="AI271" s="97" t="s">
        <v>4154</v>
      </c>
      <c r="AJ271" s="115">
        <v>3150000</v>
      </c>
      <c r="AK271" s="97">
        <v>16</v>
      </c>
      <c r="AL271" s="97">
        <f t="shared" si="73"/>
        <v>697</v>
      </c>
      <c r="AM271" s="97">
        <f t="shared" si="74"/>
        <v>2195550000</v>
      </c>
      <c r="AN271" s="97"/>
      <c r="AR271" t="s">
        <v>25</v>
      </c>
    </row>
    <row r="272" spans="7:45">
      <c r="Q272" s="97" t="s">
        <v>4970</v>
      </c>
      <c r="R272" s="93">
        <v>150000</v>
      </c>
      <c r="T272" s="210" t="s">
        <v>5076</v>
      </c>
      <c r="U272" s="210">
        <v>113</v>
      </c>
      <c r="V272" s="111">
        <v>442.48200000000003</v>
      </c>
      <c r="W272" s="111">
        <f t="shared" ref="W272:W361" si="75">U272*V272</f>
        <v>50000.466</v>
      </c>
      <c r="X272" s="36" t="s">
        <v>744</v>
      </c>
      <c r="AH272" s="97">
        <v>6</v>
      </c>
      <c r="AI272" s="97" t="s">
        <v>4219</v>
      </c>
      <c r="AJ272" s="115">
        <v>-65000</v>
      </c>
      <c r="AK272" s="97">
        <v>1</v>
      </c>
      <c r="AL272" s="97">
        <f t="shared" si="73"/>
        <v>681</v>
      </c>
      <c r="AM272" s="97">
        <f t="shared" si="74"/>
        <v>-44265000</v>
      </c>
      <c r="AN272" s="97"/>
    </row>
    <row r="273" spans="15:40">
      <c r="Q273" s="97" t="s">
        <v>4998</v>
      </c>
      <c r="R273" s="93">
        <v>-144950</v>
      </c>
      <c r="T273" s="210" t="s">
        <v>5086</v>
      </c>
      <c r="U273" s="210">
        <v>671</v>
      </c>
      <c r="V273" s="111">
        <v>447</v>
      </c>
      <c r="W273" s="111">
        <f t="shared" si="75"/>
        <v>299937</v>
      </c>
      <c r="X273" s="36" t="s">
        <v>744</v>
      </c>
      <c r="Y273" t="s">
        <v>25</v>
      </c>
      <c r="AH273" s="97">
        <v>7</v>
      </c>
      <c r="AI273" s="97" t="s">
        <v>4290</v>
      </c>
      <c r="AJ273" s="115">
        <v>-95000</v>
      </c>
      <c r="AK273" s="97">
        <v>6</v>
      </c>
      <c r="AL273" s="97">
        <f t="shared" si="73"/>
        <v>680</v>
      </c>
      <c r="AM273" s="97">
        <f t="shared" si="74"/>
        <v>-64600000</v>
      </c>
      <c r="AN273" s="97"/>
    </row>
    <row r="274" spans="15:40">
      <c r="Q274" s="97" t="s">
        <v>5024</v>
      </c>
      <c r="R274" s="93">
        <v>320000</v>
      </c>
      <c r="T274" s="210" t="s">
        <v>5088</v>
      </c>
      <c r="U274" s="210">
        <v>7</v>
      </c>
      <c r="V274" s="111">
        <v>465.31200000000001</v>
      </c>
      <c r="W274" s="111">
        <f t="shared" si="75"/>
        <v>3257.1840000000002</v>
      </c>
      <c r="X274" s="36" t="s">
        <v>452</v>
      </c>
      <c r="Y274" t="s">
        <v>25</v>
      </c>
      <c r="AH274" s="97">
        <v>8</v>
      </c>
      <c r="AI274" s="97" t="s">
        <v>4291</v>
      </c>
      <c r="AJ274" s="115">
        <v>232000</v>
      </c>
      <c r="AK274" s="97">
        <v>7</v>
      </c>
      <c r="AL274" s="97">
        <f t="shared" si="73"/>
        <v>674</v>
      </c>
      <c r="AM274" s="97">
        <f t="shared" si="74"/>
        <v>156368000</v>
      </c>
      <c r="AN274" s="97"/>
    </row>
    <row r="275" spans="15:40">
      <c r="Q275" s="97" t="s">
        <v>5028</v>
      </c>
      <c r="R275" s="93">
        <v>500000</v>
      </c>
      <c r="S275" t="s">
        <v>25</v>
      </c>
      <c r="T275" s="210" t="s">
        <v>5094</v>
      </c>
      <c r="U275" s="210">
        <v>12950</v>
      </c>
      <c r="V275" s="111">
        <v>463.31599999999997</v>
      </c>
      <c r="W275" s="111">
        <f t="shared" si="75"/>
        <v>5999942.1999999993</v>
      </c>
      <c r="X275" s="36" t="s">
        <v>452</v>
      </c>
      <c r="AH275" s="97">
        <v>9</v>
      </c>
      <c r="AI275" s="97" t="s">
        <v>4269</v>
      </c>
      <c r="AJ275" s="115">
        <v>13000000</v>
      </c>
      <c r="AK275" s="97">
        <v>2</v>
      </c>
      <c r="AL275" s="97">
        <f t="shared" si="73"/>
        <v>667</v>
      </c>
      <c r="AM275" s="97">
        <f t="shared" si="74"/>
        <v>8671000000</v>
      </c>
      <c r="AN275" s="97"/>
    </row>
    <row r="276" spans="15:40">
      <c r="Q276" s="97" t="s">
        <v>5073</v>
      </c>
      <c r="R276" s="93">
        <v>400000</v>
      </c>
      <c r="S276" t="s">
        <v>25</v>
      </c>
      <c r="T276" s="210" t="s">
        <v>5097</v>
      </c>
      <c r="U276" s="210">
        <v>37</v>
      </c>
      <c r="V276" s="111">
        <v>463.315</v>
      </c>
      <c r="W276" s="111">
        <f t="shared" si="75"/>
        <v>17142.654999999999</v>
      </c>
      <c r="X276" s="36" t="s">
        <v>452</v>
      </c>
      <c r="AH276" s="97">
        <v>10</v>
      </c>
      <c r="AI276" s="97" t="s">
        <v>4292</v>
      </c>
      <c r="AJ276" s="115">
        <v>10000000</v>
      </c>
      <c r="AK276" s="97">
        <v>3</v>
      </c>
      <c r="AL276" s="97">
        <f t="shared" si="73"/>
        <v>665</v>
      </c>
      <c r="AM276" s="97">
        <f t="shared" si="74"/>
        <v>6650000000</v>
      </c>
      <c r="AN276" s="97"/>
    </row>
    <row r="277" spans="15:40">
      <c r="Q277" s="97" t="s">
        <v>5076</v>
      </c>
      <c r="R277" s="93">
        <v>50000</v>
      </c>
      <c r="S277" t="s">
        <v>25</v>
      </c>
      <c r="T277" s="210" t="s">
        <v>5098</v>
      </c>
      <c r="U277" s="210">
        <v>19</v>
      </c>
      <c r="V277" s="111">
        <v>434.3</v>
      </c>
      <c r="W277" s="111">
        <f t="shared" si="75"/>
        <v>8251.7000000000007</v>
      </c>
      <c r="X277" s="36" t="s">
        <v>452</v>
      </c>
      <c r="AH277" s="97">
        <v>11</v>
      </c>
      <c r="AI277" s="97" t="s">
        <v>4281</v>
      </c>
      <c r="AJ277" s="115">
        <v>3400000</v>
      </c>
      <c r="AK277" s="97">
        <v>9</v>
      </c>
      <c r="AL277" s="97">
        <f t="shared" si="73"/>
        <v>662</v>
      </c>
      <c r="AM277" s="97">
        <f t="shared" si="74"/>
        <v>2250800000</v>
      </c>
      <c r="AN277" s="97"/>
    </row>
    <row r="278" spans="15:40">
      <c r="Q278" s="97" t="s">
        <v>5086</v>
      </c>
      <c r="R278" s="93">
        <v>300000</v>
      </c>
      <c r="T278" s="210" t="s">
        <v>5100</v>
      </c>
      <c r="U278" s="210">
        <v>16</v>
      </c>
      <c r="V278" s="111">
        <v>439</v>
      </c>
      <c r="W278" s="111">
        <f t="shared" si="75"/>
        <v>7024</v>
      </c>
      <c r="X278" s="36" t="s">
        <v>452</v>
      </c>
      <c r="AH278" s="97">
        <v>12</v>
      </c>
      <c r="AI278" s="97" t="s">
        <v>4318</v>
      </c>
      <c r="AJ278" s="115">
        <v>-8736514</v>
      </c>
      <c r="AK278" s="97">
        <v>1</v>
      </c>
      <c r="AL278" s="97">
        <f>AK278+AL279</f>
        <v>653</v>
      </c>
      <c r="AM278" s="97">
        <f t="shared" si="74"/>
        <v>-5704943642</v>
      </c>
      <c r="AN278" s="97"/>
    </row>
    <row r="279" spans="15:40" ht="45">
      <c r="Q279" s="97" t="s">
        <v>5112</v>
      </c>
      <c r="R279" s="93">
        <v>250000</v>
      </c>
      <c r="T279" s="210" t="s">
        <v>5100</v>
      </c>
      <c r="U279" s="210">
        <v>9191</v>
      </c>
      <c r="V279" s="111">
        <v>440.24630000000002</v>
      </c>
      <c r="W279" s="111">
        <f t="shared" si="75"/>
        <v>4046303.7433000002</v>
      </c>
      <c r="X279" s="36" t="s">
        <v>5101</v>
      </c>
      <c r="AH279" s="97">
        <v>13</v>
      </c>
      <c r="AI279" s="97" t="s">
        <v>4319</v>
      </c>
      <c r="AJ279" s="115">
        <v>555000</v>
      </c>
      <c r="AK279" s="97">
        <v>5</v>
      </c>
      <c r="AL279" s="97">
        <f t="shared" ref="AL279:AL295" si="76">AK279+AL280</f>
        <v>652</v>
      </c>
      <c r="AM279" s="97">
        <f t="shared" si="74"/>
        <v>361860000</v>
      </c>
      <c r="AN279" s="97"/>
    </row>
    <row r="280" spans="15:40">
      <c r="O280" t="s">
        <v>25</v>
      </c>
      <c r="Q280" s="97" t="s">
        <v>5147</v>
      </c>
      <c r="R280" s="93">
        <v>200000</v>
      </c>
      <c r="T280" s="210" t="s">
        <v>5103</v>
      </c>
      <c r="U280" s="210">
        <v>-8792</v>
      </c>
      <c r="V280" s="111">
        <v>441.90665999999999</v>
      </c>
      <c r="W280" s="111">
        <f t="shared" si="75"/>
        <v>-3885243.3547199997</v>
      </c>
      <c r="X280" s="36" t="s">
        <v>5104</v>
      </c>
      <c r="AH280" s="97">
        <v>14</v>
      </c>
      <c r="AI280" s="97" t="s">
        <v>4343</v>
      </c>
      <c r="AJ280" s="115">
        <v>-448308</v>
      </c>
      <c r="AK280" s="97">
        <v>6</v>
      </c>
      <c r="AL280" s="97">
        <f t="shared" si="76"/>
        <v>647</v>
      </c>
      <c r="AM280" s="97">
        <f t="shared" si="74"/>
        <v>-290055276</v>
      </c>
      <c r="AN280" s="97"/>
    </row>
    <row r="281" spans="15:40">
      <c r="Q281" s="97" t="s">
        <v>5181</v>
      </c>
      <c r="R281" s="93">
        <v>122000</v>
      </c>
      <c r="T281" s="187" t="s">
        <v>5107</v>
      </c>
      <c r="U281" s="187">
        <v>24374</v>
      </c>
      <c r="V281" s="186">
        <v>471.81700000000001</v>
      </c>
      <c r="W281" s="186">
        <f t="shared" si="75"/>
        <v>11500067.558</v>
      </c>
      <c r="X281" s="275" t="s">
        <v>5110</v>
      </c>
      <c r="AH281" s="97">
        <v>15</v>
      </c>
      <c r="AI281" s="97" t="s">
        <v>4370</v>
      </c>
      <c r="AJ281" s="115">
        <v>33225</v>
      </c>
      <c r="AK281" s="97">
        <v>0</v>
      </c>
      <c r="AL281" s="97">
        <f t="shared" si="76"/>
        <v>641</v>
      </c>
      <c r="AM281" s="97">
        <f t="shared" si="74"/>
        <v>21297225</v>
      </c>
      <c r="AN281" s="97"/>
    </row>
    <row r="282" spans="15:40">
      <c r="Q282" s="97" t="s">
        <v>5189</v>
      </c>
      <c r="R282" s="93">
        <v>200000</v>
      </c>
      <c r="S282" t="s">
        <v>25</v>
      </c>
      <c r="T282" s="210" t="s">
        <v>5112</v>
      </c>
      <c r="U282" s="210">
        <v>530</v>
      </c>
      <c r="V282" s="111">
        <v>472</v>
      </c>
      <c r="W282" s="111">
        <f t="shared" si="75"/>
        <v>250160</v>
      </c>
      <c r="X282" s="36" t="s">
        <v>744</v>
      </c>
      <c r="AH282" s="147">
        <v>16</v>
      </c>
      <c r="AI282" s="147" t="s">
        <v>4370</v>
      </c>
      <c r="AJ282" s="186">
        <v>4098523</v>
      </c>
      <c r="AK282" s="147">
        <v>2</v>
      </c>
      <c r="AL282" s="147">
        <f t="shared" si="76"/>
        <v>641</v>
      </c>
      <c r="AM282" s="147">
        <f t="shared" si="74"/>
        <v>2627153243</v>
      </c>
      <c r="AN282" s="147" t="s">
        <v>650</v>
      </c>
    </row>
    <row r="283" spans="15:40" ht="30">
      <c r="Q283" s="97" t="s">
        <v>5199</v>
      </c>
      <c r="R283" s="93">
        <v>60000</v>
      </c>
      <c r="T283" s="210" t="s">
        <v>5112</v>
      </c>
      <c r="U283" s="210">
        <v>12</v>
      </c>
      <c r="V283" s="111">
        <v>481.86</v>
      </c>
      <c r="W283" s="111">
        <f t="shared" si="75"/>
        <v>5782.32</v>
      </c>
      <c r="X283" s="36" t="s">
        <v>5114</v>
      </c>
      <c r="AH283" s="147">
        <v>17</v>
      </c>
      <c r="AI283" s="147" t="s">
        <v>4381</v>
      </c>
      <c r="AJ283" s="186">
        <v>-1000000</v>
      </c>
      <c r="AK283" s="147">
        <v>7</v>
      </c>
      <c r="AL283" s="147">
        <f t="shared" si="76"/>
        <v>639</v>
      </c>
      <c r="AM283" s="147">
        <f t="shared" si="74"/>
        <v>-639000000</v>
      </c>
      <c r="AN283" s="147" t="s">
        <v>650</v>
      </c>
    </row>
    <row r="284" spans="15:40">
      <c r="Q284" s="97" t="s">
        <v>5259</v>
      </c>
      <c r="R284" s="93">
        <v>-200000</v>
      </c>
      <c r="S284" t="s">
        <v>25</v>
      </c>
      <c r="T284" s="187" t="s">
        <v>5137</v>
      </c>
      <c r="U284" s="187">
        <v>12330</v>
      </c>
      <c r="V284" s="186">
        <v>486.63443869999998</v>
      </c>
      <c r="W284" s="186">
        <f t="shared" si="75"/>
        <v>6000202.6291709999</v>
      </c>
      <c r="X284" s="275" t="s">
        <v>5110</v>
      </c>
      <c r="AH284" s="147">
        <v>18</v>
      </c>
      <c r="AI284" s="147" t="s">
        <v>4401</v>
      </c>
      <c r="AJ284" s="186">
        <v>750000</v>
      </c>
      <c r="AK284" s="147">
        <v>1</v>
      </c>
      <c r="AL284" s="147">
        <f t="shared" si="76"/>
        <v>632</v>
      </c>
      <c r="AM284" s="147">
        <f t="shared" si="74"/>
        <v>474000000</v>
      </c>
      <c r="AN284" s="147" t="s">
        <v>650</v>
      </c>
    </row>
    <row r="285" spans="15:40">
      <c r="Q285" s="97" t="s">
        <v>5334</v>
      </c>
      <c r="R285" s="93">
        <v>-9000000</v>
      </c>
      <c r="T285" s="210" t="s">
        <v>5139</v>
      </c>
      <c r="U285" s="210">
        <v>846</v>
      </c>
      <c r="V285" s="111">
        <v>472.7</v>
      </c>
      <c r="W285" s="111">
        <f t="shared" si="75"/>
        <v>399904.2</v>
      </c>
      <c r="X285" s="36" t="s">
        <v>452</v>
      </c>
      <c r="AH285" s="193">
        <v>19</v>
      </c>
      <c r="AI285" s="193" t="s">
        <v>4402</v>
      </c>
      <c r="AJ285" s="194">
        <v>-604152</v>
      </c>
      <c r="AK285" s="193">
        <v>0</v>
      </c>
      <c r="AL285" s="193">
        <f t="shared" si="76"/>
        <v>631</v>
      </c>
      <c r="AM285" s="193">
        <f t="shared" si="74"/>
        <v>-381219912</v>
      </c>
      <c r="AN285" s="193" t="s">
        <v>650</v>
      </c>
    </row>
    <row r="286" spans="15:40">
      <c r="Q286" s="97" t="s">
        <v>5398</v>
      </c>
      <c r="R286" s="93">
        <v>-26000000</v>
      </c>
      <c r="T286" s="187" t="s">
        <v>5139</v>
      </c>
      <c r="U286" s="187">
        <v>3173</v>
      </c>
      <c r="V286" s="186">
        <v>472.7</v>
      </c>
      <c r="W286" s="186">
        <f t="shared" si="75"/>
        <v>1499877.0999999999</v>
      </c>
      <c r="X286" s="275" t="s">
        <v>5270</v>
      </c>
      <c r="AH286" s="97">
        <v>20</v>
      </c>
      <c r="AI286" s="97" t="s">
        <v>4403</v>
      </c>
      <c r="AJ286" s="115">
        <v>-587083</v>
      </c>
      <c r="AK286" s="97">
        <v>4</v>
      </c>
      <c r="AL286" s="97">
        <f t="shared" si="76"/>
        <v>631</v>
      </c>
      <c r="AM286" s="97">
        <f t="shared" si="74"/>
        <v>-370449373</v>
      </c>
      <c r="AN286" s="97"/>
    </row>
    <row r="287" spans="15:40">
      <c r="Q287" s="97" t="s">
        <v>5403</v>
      </c>
      <c r="R287" s="93">
        <v>-95900000</v>
      </c>
      <c r="T287" s="210" t="s">
        <v>5143</v>
      </c>
      <c r="U287" s="210">
        <v>191</v>
      </c>
      <c r="V287" s="111">
        <v>484.572</v>
      </c>
      <c r="W287" s="111">
        <f t="shared" si="75"/>
        <v>92553.252000000008</v>
      </c>
      <c r="X287" s="36" t="s">
        <v>5144</v>
      </c>
      <c r="AH287" s="193">
        <v>21</v>
      </c>
      <c r="AI287" s="193" t="s">
        <v>4404</v>
      </c>
      <c r="AJ287" s="194">
        <v>-754351</v>
      </c>
      <c r="AK287" s="193">
        <v>0</v>
      </c>
      <c r="AL287" s="147">
        <f t="shared" si="76"/>
        <v>627</v>
      </c>
      <c r="AM287" s="193">
        <f t="shared" si="74"/>
        <v>-472978077</v>
      </c>
      <c r="AN287" s="193" t="s">
        <v>650</v>
      </c>
    </row>
    <row r="288" spans="15:40">
      <c r="O288" t="s">
        <v>25</v>
      </c>
      <c r="Q288" s="97" t="s">
        <v>5404</v>
      </c>
      <c r="R288" s="93">
        <v>-28950000</v>
      </c>
      <c r="S288" t="s">
        <v>25</v>
      </c>
      <c r="T288" s="210" t="s">
        <v>5143</v>
      </c>
      <c r="U288" s="210">
        <v>-206</v>
      </c>
      <c r="V288" s="111">
        <v>484.572</v>
      </c>
      <c r="W288" s="111">
        <f t="shared" si="75"/>
        <v>-99821.831999999995</v>
      </c>
      <c r="X288" s="36" t="s">
        <v>5146</v>
      </c>
      <c r="AH288" s="97">
        <v>22</v>
      </c>
      <c r="AI288" s="97" t="s">
        <v>4404</v>
      </c>
      <c r="AJ288" s="115">
        <v>-189619</v>
      </c>
      <c r="AK288" s="97">
        <v>15</v>
      </c>
      <c r="AL288" s="97">
        <f t="shared" si="76"/>
        <v>627</v>
      </c>
      <c r="AM288" s="97">
        <f t="shared" si="74"/>
        <v>-118891113</v>
      </c>
      <c r="AN288" s="97"/>
    </row>
    <row r="289" spans="15:44">
      <c r="Q289" s="97" t="s">
        <v>5592</v>
      </c>
      <c r="R289" s="93">
        <v>-93000000</v>
      </c>
      <c r="S289" t="s">
        <v>25</v>
      </c>
      <c r="T289" s="210" t="s">
        <v>5147</v>
      </c>
      <c r="U289" s="210">
        <v>20685</v>
      </c>
      <c r="V289" s="111">
        <v>483.43312200000003</v>
      </c>
      <c r="W289" s="111">
        <f t="shared" si="75"/>
        <v>9999814.1285699997</v>
      </c>
      <c r="X289" s="36" t="s">
        <v>5149</v>
      </c>
      <c r="AH289" s="193">
        <v>23</v>
      </c>
      <c r="AI289" s="193" t="s">
        <v>4469</v>
      </c>
      <c r="AJ289" s="186">
        <v>7100</v>
      </c>
      <c r="AK289" s="193">
        <v>0</v>
      </c>
      <c r="AL289" s="147">
        <f t="shared" si="76"/>
        <v>612</v>
      </c>
      <c r="AM289" s="193">
        <f t="shared" si="74"/>
        <v>4345200</v>
      </c>
      <c r="AN289" s="193" t="s">
        <v>650</v>
      </c>
    </row>
    <row r="290" spans="15:44">
      <c r="Q290" s="97" t="s">
        <v>5607</v>
      </c>
      <c r="R290" s="93">
        <v>50000000</v>
      </c>
      <c r="T290" s="210" t="s">
        <v>5147</v>
      </c>
      <c r="U290" s="210">
        <v>-413</v>
      </c>
      <c r="V290" s="111">
        <v>483.40199999999999</v>
      </c>
      <c r="W290" s="111">
        <f t="shared" si="75"/>
        <v>-199645.02599999998</v>
      </c>
      <c r="X290" s="36" t="s">
        <v>4411</v>
      </c>
      <c r="AH290" s="20">
        <v>24</v>
      </c>
      <c r="AI290" s="20" t="s">
        <v>4469</v>
      </c>
      <c r="AJ290" s="115">
        <v>-147902</v>
      </c>
      <c r="AK290" s="20">
        <v>3</v>
      </c>
      <c r="AL290" s="97">
        <f t="shared" si="76"/>
        <v>612</v>
      </c>
      <c r="AM290" s="20">
        <f t="shared" si="74"/>
        <v>-90516024</v>
      </c>
      <c r="AN290" s="20"/>
    </row>
    <row r="291" spans="15:44">
      <c r="Q291" s="97" t="s">
        <v>4214</v>
      </c>
      <c r="R291" s="93">
        <v>2749471.1668000002</v>
      </c>
      <c r="T291" s="210" t="s">
        <v>5147</v>
      </c>
      <c r="U291" s="210">
        <v>413</v>
      </c>
      <c r="V291" s="111">
        <v>483.40199999999999</v>
      </c>
      <c r="W291" s="111">
        <f t="shared" si="75"/>
        <v>199645.02599999998</v>
      </c>
      <c r="X291" s="36" t="s">
        <v>744</v>
      </c>
      <c r="AH291" s="147">
        <v>25</v>
      </c>
      <c r="AI291" s="147" t="s">
        <v>4477</v>
      </c>
      <c r="AJ291" s="186">
        <v>-37200</v>
      </c>
      <c r="AK291" s="147">
        <v>4</v>
      </c>
      <c r="AL291" s="147">
        <f t="shared" si="76"/>
        <v>609</v>
      </c>
      <c r="AM291" s="193">
        <f t="shared" si="74"/>
        <v>-22654800</v>
      </c>
      <c r="AN291" s="147" t="s">
        <v>650</v>
      </c>
    </row>
    <row r="292" spans="15:44">
      <c r="Q292" s="97" t="s">
        <v>5737</v>
      </c>
      <c r="R292" s="93">
        <v>-680940.07019999996</v>
      </c>
      <c r="T292" s="210" t="s">
        <v>5152</v>
      </c>
      <c r="U292" s="210">
        <v>-828</v>
      </c>
      <c r="V292" s="111">
        <v>483.43312200000003</v>
      </c>
      <c r="W292" s="111">
        <f t="shared" si="75"/>
        <v>-400282.62501600001</v>
      </c>
      <c r="X292" s="36" t="s">
        <v>452</v>
      </c>
      <c r="AH292" s="97">
        <v>26</v>
      </c>
      <c r="AI292" s="97" t="s">
        <v>4507</v>
      </c>
      <c r="AJ292" s="115">
        <v>-372326</v>
      </c>
      <c r="AK292" s="97">
        <v>21</v>
      </c>
      <c r="AL292" s="97">
        <f t="shared" si="76"/>
        <v>605</v>
      </c>
      <c r="AM292" s="20">
        <f t="shared" si="74"/>
        <v>-225257230</v>
      </c>
      <c r="AN292" s="97"/>
    </row>
    <row r="293" spans="15:44">
      <c r="Q293" s="97" t="s">
        <v>5737</v>
      </c>
      <c r="R293" s="93">
        <v>-48684800.338199995</v>
      </c>
      <c r="T293" s="210" t="s">
        <v>5155</v>
      </c>
      <c r="U293" s="210">
        <v>12</v>
      </c>
      <c r="V293" s="111">
        <v>473.61898300000001</v>
      </c>
      <c r="W293" s="111">
        <f t="shared" si="75"/>
        <v>5683.4277959999999</v>
      </c>
      <c r="X293" s="36" t="s">
        <v>452</v>
      </c>
      <c r="AH293" s="97">
        <v>27</v>
      </c>
      <c r="AI293" s="97" t="s">
        <v>4554</v>
      </c>
      <c r="AJ293" s="115">
        <v>235062</v>
      </c>
      <c r="AK293" s="97">
        <v>0</v>
      </c>
      <c r="AL293" s="97">
        <f t="shared" si="76"/>
        <v>584</v>
      </c>
      <c r="AM293" s="20">
        <f t="shared" si="74"/>
        <v>137276208</v>
      </c>
      <c r="AN293" s="97"/>
    </row>
    <row r="294" spans="15:44">
      <c r="Q294" s="97"/>
      <c r="R294" s="93"/>
      <c r="S294" t="s">
        <v>25</v>
      </c>
      <c r="T294" s="210" t="s">
        <v>5158</v>
      </c>
      <c r="U294" s="210">
        <v>963</v>
      </c>
      <c r="V294" s="111">
        <v>477.92200000000003</v>
      </c>
      <c r="W294" s="111">
        <f t="shared" si="75"/>
        <v>460238.886</v>
      </c>
      <c r="X294" s="36" t="s">
        <v>452</v>
      </c>
      <c r="AH294" s="147">
        <v>28</v>
      </c>
      <c r="AI294" s="147" t="s">
        <v>4554</v>
      </c>
      <c r="AJ294" s="186">
        <v>235062</v>
      </c>
      <c r="AK294" s="147">
        <v>9</v>
      </c>
      <c r="AL294" s="97">
        <f t="shared" si="76"/>
        <v>584</v>
      </c>
      <c r="AM294" s="147">
        <f t="shared" si="74"/>
        <v>137276208</v>
      </c>
      <c r="AN294" s="147" t="s">
        <v>650</v>
      </c>
    </row>
    <row r="295" spans="15:44">
      <c r="Q295" s="97"/>
      <c r="R295" s="93"/>
      <c r="T295" s="210" t="s">
        <v>5159</v>
      </c>
      <c r="U295" s="210">
        <v>2815</v>
      </c>
      <c r="V295" s="111">
        <v>461.79</v>
      </c>
      <c r="W295" s="111">
        <f t="shared" si="75"/>
        <v>1299938.8500000001</v>
      </c>
      <c r="X295" s="36" t="s">
        <v>452</v>
      </c>
      <c r="AH295" s="147">
        <v>29</v>
      </c>
      <c r="AI295" s="147" t="s">
        <v>4573</v>
      </c>
      <c r="AJ295" s="186">
        <v>450000</v>
      </c>
      <c r="AK295" s="147">
        <v>0</v>
      </c>
      <c r="AL295" s="97">
        <f t="shared" si="76"/>
        <v>575</v>
      </c>
      <c r="AM295" s="147">
        <f t="shared" si="74"/>
        <v>258750000</v>
      </c>
      <c r="AN295" s="147" t="s">
        <v>650</v>
      </c>
    </row>
    <row r="296" spans="15:44">
      <c r="O296" t="s">
        <v>25</v>
      </c>
      <c r="Q296" s="97"/>
      <c r="R296" s="93">
        <f>SUM(R245:R295)</f>
        <v>187317555.75839999</v>
      </c>
      <c r="T296" s="210" t="s">
        <v>5159</v>
      </c>
      <c r="U296" s="210">
        <v>1581</v>
      </c>
      <c r="V296" s="111">
        <v>461.79</v>
      </c>
      <c r="W296" s="111">
        <f t="shared" si="75"/>
        <v>730089.99</v>
      </c>
      <c r="X296" s="36" t="s">
        <v>452</v>
      </c>
      <c r="AH296" s="20">
        <v>30</v>
      </c>
      <c r="AI296" s="20" t="s">
        <v>4573</v>
      </c>
      <c r="AJ296" s="115">
        <v>450000</v>
      </c>
      <c r="AK296" s="20">
        <v>22</v>
      </c>
      <c r="AL296" s="97">
        <f>AK296+AL297</f>
        <v>575</v>
      </c>
      <c r="AM296" s="20">
        <f t="shared" si="74"/>
        <v>258750000</v>
      </c>
      <c r="AN296" s="20"/>
    </row>
    <row r="297" spans="15:44">
      <c r="Q297" s="97"/>
      <c r="R297" s="97" t="s">
        <v>6</v>
      </c>
      <c r="T297" s="187" t="s">
        <v>5166</v>
      </c>
      <c r="U297" s="187">
        <v>1916</v>
      </c>
      <c r="V297" s="186">
        <v>521.70000000000005</v>
      </c>
      <c r="W297" s="186">
        <f t="shared" si="75"/>
        <v>999577.20000000007</v>
      </c>
      <c r="X297" s="275" t="s">
        <v>5270</v>
      </c>
      <c r="AH297" s="147">
        <v>31</v>
      </c>
      <c r="AI297" s="147" t="s">
        <v>4639</v>
      </c>
      <c r="AJ297" s="186">
        <v>300000</v>
      </c>
      <c r="AK297" s="147">
        <v>0</v>
      </c>
      <c r="AL297" s="147">
        <f t="shared" ref="AL297:AL312" si="77">AK297+AL298</f>
        <v>553</v>
      </c>
      <c r="AM297" s="147">
        <f t="shared" ref="AM297:AM306" si="78">AJ297*AL297</f>
        <v>165900000</v>
      </c>
      <c r="AN297" s="147"/>
    </row>
    <row r="298" spans="15:44" ht="30">
      <c r="P298" t="s">
        <v>25</v>
      </c>
      <c r="R298" t="s">
        <v>25</v>
      </c>
      <c r="S298" t="s">
        <v>25</v>
      </c>
      <c r="T298" s="210" t="s">
        <v>977</v>
      </c>
      <c r="U298" s="210">
        <v>41</v>
      </c>
      <c r="V298" s="111">
        <v>514.48099999999999</v>
      </c>
      <c r="W298" s="111">
        <f t="shared" si="75"/>
        <v>21093.721000000001</v>
      </c>
      <c r="X298" s="36" t="s">
        <v>5144</v>
      </c>
      <c r="AH298" s="119">
        <v>32</v>
      </c>
      <c r="AI298" s="119" t="s">
        <v>4639</v>
      </c>
      <c r="AJ298" s="77">
        <v>288936</v>
      </c>
      <c r="AK298" s="119">
        <v>3</v>
      </c>
      <c r="AL298" s="119">
        <f t="shared" si="77"/>
        <v>553</v>
      </c>
      <c r="AM298" s="119">
        <f t="shared" si="78"/>
        <v>159781608</v>
      </c>
      <c r="AN298" s="202" t="s">
        <v>4650</v>
      </c>
    </row>
    <row r="299" spans="15:44">
      <c r="T299" s="210" t="s">
        <v>4258</v>
      </c>
      <c r="U299" s="210">
        <v>71</v>
      </c>
      <c r="V299" s="111">
        <v>482.57</v>
      </c>
      <c r="W299" s="111">
        <f t="shared" si="75"/>
        <v>34262.47</v>
      </c>
      <c r="X299" s="36" t="s">
        <v>5144</v>
      </c>
      <c r="AH299" s="119">
        <v>33</v>
      </c>
      <c r="AI299" s="119" t="s">
        <v>4648</v>
      </c>
      <c r="AJ299" s="77">
        <v>17962491</v>
      </c>
      <c r="AK299" s="119">
        <v>1</v>
      </c>
      <c r="AL299" s="119">
        <f t="shared" si="77"/>
        <v>550</v>
      </c>
      <c r="AM299" s="119">
        <f t="shared" si="78"/>
        <v>9879370050</v>
      </c>
      <c r="AN299" s="119" t="s">
        <v>4655</v>
      </c>
    </row>
    <row r="300" spans="15:44">
      <c r="Q300" s="97" t="s">
        <v>452</v>
      </c>
      <c r="R300" s="97"/>
      <c r="T300" s="210" t="s">
        <v>5181</v>
      </c>
      <c r="U300" s="210">
        <v>-250</v>
      </c>
      <c r="V300" s="111">
        <v>487.125</v>
      </c>
      <c r="W300" s="111">
        <f t="shared" si="75"/>
        <v>-121781.25</v>
      </c>
      <c r="X300" s="36" t="s">
        <v>4411</v>
      </c>
      <c r="AH300" s="119">
        <v>34</v>
      </c>
      <c r="AI300" s="119" t="s">
        <v>3668</v>
      </c>
      <c r="AJ300" s="77">
        <v>18363511</v>
      </c>
      <c r="AK300" s="119">
        <v>1</v>
      </c>
      <c r="AL300" s="119">
        <f t="shared" si="77"/>
        <v>549</v>
      </c>
      <c r="AM300" s="119">
        <f t="shared" si="78"/>
        <v>10081567539</v>
      </c>
      <c r="AN300" s="119" t="s">
        <v>4655</v>
      </c>
      <c r="AR300" t="s">
        <v>25</v>
      </c>
    </row>
    <row r="301" spans="15:44">
      <c r="Q301" s="97" t="s">
        <v>4404</v>
      </c>
      <c r="R301" s="93">
        <v>63115000</v>
      </c>
      <c r="T301" s="210" t="s">
        <v>5181</v>
      </c>
      <c r="U301" s="210">
        <v>250</v>
      </c>
      <c r="V301" s="111">
        <v>487.125</v>
      </c>
      <c r="W301" s="111">
        <f t="shared" si="75"/>
        <v>121781.25</v>
      </c>
      <c r="X301" s="36" t="s">
        <v>744</v>
      </c>
      <c r="AH301" s="119">
        <v>35</v>
      </c>
      <c r="AI301" s="119" t="s">
        <v>4660</v>
      </c>
      <c r="AJ301" s="77">
        <v>23622417</v>
      </c>
      <c r="AK301" s="119">
        <v>5</v>
      </c>
      <c r="AL301" s="119">
        <f t="shared" si="77"/>
        <v>548</v>
      </c>
      <c r="AM301" s="119">
        <f t="shared" si="78"/>
        <v>12945084516</v>
      </c>
      <c r="AN301" s="119" t="s">
        <v>4662</v>
      </c>
    </row>
    <row r="302" spans="15:44">
      <c r="Q302" s="97" t="s">
        <v>4451</v>
      </c>
      <c r="R302" s="93">
        <v>13300000</v>
      </c>
      <c r="T302" s="210" t="s">
        <v>5189</v>
      </c>
      <c r="U302" s="210">
        <v>-1439</v>
      </c>
      <c r="V302" s="111">
        <v>486.53068999999999</v>
      </c>
      <c r="W302" s="111">
        <f t="shared" si="75"/>
        <v>-700117.66290999996</v>
      </c>
      <c r="X302" s="36" t="s">
        <v>4411</v>
      </c>
      <c r="Y302" t="s">
        <v>25</v>
      </c>
      <c r="AH302" s="119">
        <v>36</v>
      </c>
      <c r="AI302" s="119" t="s">
        <v>4675</v>
      </c>
      <c r="AJ302" s="77">
        <v>82496108</v>
      </c>
      <c r="AK302" s="119">
        <v>1</v>
      </c>
      <c r="AL302" s="119">
        <f t="shared" si="77"/>
        <v>543</v>
      </c>
      <c r="AM302" s="119">
        <f t="shared" si="78"/>
        <v>44795386644</v>
      </c>
      <c r="AN302" s="119" t="s">
        <v>4678</v>
      </c>
    </row>
    <row r="303" spans="15:44">
      <c r="Q303" s="97" t="s">
        <v>4459</v>
      </c>
      <c r="R303" s="93">
        <v>2269000</v>
      </c>
      <c r="T303" s="210" t="s">
        <v>5189</v>
      </c>
      <c r="U303" s="210">
        <v>411</v>
      </c>
      <c r="V303" s="111">
        <v>486.53068999999999</v>
      </c>
      <c r="W303" s="111">
        <f t="shared" si="75"/>
        <v>199964.11358999999</v>
      </c>
      <c r="X303" s="36" t="s">
        <v>744</v>
      </c>
      <c r="Y303" t="s">
        <v>25</v>
      </c>
      <c r="AH303" s="119">
        <v>37</v>
      </c>
      <c r="AI303" s="119" t="s">
        <v>4677</v>
      </c>
      <c r="AJ303" s="77">
        <v>74657561</v>
      </c>
      <c r="AK303" s="119">
        <v>16</v>
      </c>
      <c r="AL303" s="119">
        <f t="shared" si="77"/>
        <v>542</v>
      </c>
      <c r="AM303" s="119">
        <f t="shared" si="78"/>
        <v>40464398062</v>
      </c>
      <c r="AN303" s="119" t="s">
        <v>4683</v>
      </c>
    </row>
    <row r="304" spans="15:44">
      <c r="Q304" s="97" t="s">
        <v>4563</v>
      </c>
      <c r="R304" s="93">
        <v>25071612</v>
      </c>
      <c r="T304" s="210" t="s">
        <v>5157</v>
      </c>
      <c r="U304" s="210">
        <v>-4290</v>
      </c>
      <c r="V304" s="111">
        <v>497.57670000000002</v>
      </c>
      <c r="W304" s="111">
        <f t="shared" si="75"/>
        <v>-2134604.0430000001</v>
      </c>
      <c r="X304" s="36" t="s">
        <v>452</v>
      </c>
      <c r="AH304" s="97">
        <v>38</v>
      </c>
      <c r="AI304" s="97" t="s">
        <v>4751</v>
      </c>
      <c r="AJ304" s="115">
        <v>665000</v>
      </c>
      <c r="AK304" s="97">
        <v>0</v>
      </c>
      <c r="AL304" s="97">
        <f t="shared" si="77"/>
        <v>526</v>
      </c>
      <c r="AM304" s="20">
        <f t="shared" si="78"/>
        <v>349790000</v>
      </c>
      <c r="AN304" s="97"/>
    </row>
    <row r="305" spans="16:40">
      <c r="Q305" s="97" t="s">
        <v>4572</v>
      </c>
      <c r="R305" s="93">
        <v>42236984</v>
      </c>
      <c r="T305" s="210" t="s">
        <v>5196</v>
      </c>
      <c r="U305" s="210">
        <v>-644</v>
      </c>
      <c r="V305" s="111">
        <v>494.76464499999997</v>
      </c>
      <c r="W305" s="111">
        <f t="shared" si="75"/>
        <v>-318628.43137999997</v>
      </c>
      <c r="X305" s="36" t="s">
        <v>452</v>
      </c>
      <c r="AH305" s="147">
        <v>39</v>
      </c>
      <c r="AI305" s="147" t="s">
        <v>4751</v>
      </c>
      <c r="AJ305" s="186">
        <v>665000</v>
      </c>
      <c r="AK305" s="147">
        <v>4</v>
      </c>
      <c r="AL305" s="193">
        <f t="shared" si="77"/>
        <v>526</v>
      </c>
      <c r="AM305" s="193">
        <f t="shared" si="78"/>
        <v>349790000</v>
      </c>
      <c r="AN305" s="193"/>
    </row>
    <row r="306" spans="16:40">
      <c r="Q306" s="97" t="s">
        <v>4573</v>
      </c>
      <c r="R306" s="93">
        <v>19663646</v>
      </c>
      <c r="T306" s="210" t="s">
        <v>5199</v>
      </c>
      <c r="U306" s="210">
        <v>-112</v>
      </c>
      <c r="V306" s="111">
        <v>485.78</v>
      </c>
      <c r="W306" s="111">
        <f t="shared" si="75"/>
        <v>-54407.360000000001</v>
      </c>
      <c r="X306" s="36" t="s">
        <v>452</v>
      </c>
      <c r="AH306" s="20">
        <v>40</v>
      </c>
      <c r="AI306" s="20" t="s">
        <v>4760</v>
      </c>
      <c r="AJ306" s="115">
        <v>2000000</v>
      </c>
      <c r="AK306" s="20">
        <v>1</v>
      </c>
      <c r="AL306" s="97">
        <f t="shared" si="77"/>
        <v>522</v>
      </c>
      <c r="AM306" s="20">
        <f t="shared" si="78"/>
        <v>1044000000</v>
      </c>
      <c r="AN306" s="97"/>
    </row>
    <row r="307" spans="16:40">
      <c r="Q307" s="97" t="s">
        <v>4596</v>
      </c>
      <c r="R307" s="93">
        <v>4374525</v>
      </c>
      <c r="T307" s="210" t="s">
        <v>5199</v>
      </c>
      <c r="U307" s="210">
        <v>123</v>
      </c>
      <c r="V307" s="111">
        <v>485.78</v>
      </c>
      <c r="W307" s="111">
        <f t="shared" si="75"/>
        <v>59750.939999999995</v>
      </c>
      <c r="X307" s="36" t="s">
        <v>744</v>
      </c>
      <c r="AH307" s="20">
        <v>41</v>
      </c>
      <c r="AI307" s="20" t="s">
        <v>4765</v>
      </c>
      <c r="AJ307" s="115">
        <v>-2060725</v>
      </c>
      <c r="AK307" s="20">
        <v>0</v>
      </c>
      <c r="AL307" s="97">
        <f t="shared" si="77"/>
        <v>521</v>
      </c>
      <c r="AM307" s="20">
        <f t="shared" ref="AM307:AM312" si="79">AJ307*AL307</f>
        <v>-1073637725</v>
      </c>
      <c r="AN307" s="97" t="s">
        <v>4766</v>
      </c>
    </row>
    <row r="308" spans="16:40">
      <c r="P308" t="s">
        <v>25</v>
      </c>
      <c r="Q308" s="97" t="s">
        <v>4607</v>
      </c>
      <c r="R308" s="93">
        <v>6550580</v>
      </c>
      <c r="T308" s="210" t="s">
        <v>5199</v>
      </c>
      <c r="U308" s="210">
        <v>-123</v>
      </c>
      <c r="V308" s="111">
        <v>485.78</v>
      </c>
      <c r="W308" s="111">
        <f t="shared" si="75"/>
        <v>-59750.939999999995</v>
      </c>
      <c r="X308" s="36" t="s">
        <v>4411</v>
      </c>
      <c r="AH308" s="147">
        <v>42</v>
      </c>
      <c r="AI308" s="147" t="s">
        <v>4765</v>
      </c>
      <c r="AJ308" s="186">
        <v>-433375</v>
      </c>
      <c r="AK308" s="147">
        <v>0</v>
      </c>
      <c r="AL308" s="147">
        <f t="shared" si="77"/>
        <v>521</v>
      </c>
      <c r="AM308" s="147">
        <f t="shared" si="79"/>
        <v>-225788375</v>
      </c>
      <c r="AN308" s="147" t="s">
        <v>4767</v>
      </c>
    </row>
    <row r="309" spans="16:40">
      <c r="P309" t="s">
        <v>25</v>
      </c>
      <c r="Q309" s="97" t="s">
        <v>4609</v>
      </c>
      <c r="R309" s="93">
        <v>7054895</v>
      </c>
      <c r="T309" s="210" t="s">
        <v>5243</v>
      </c>
      <c r="U309" s="210">
        <v>32367</v>
      </c>
      <c r="V309" s="111">
        <v>556.12900000000002</v>
      </c>
      <c r="W309" s="111">
        <f t="shared" si="75"/>
        <v>18000227.343000002</v>
      </c>
      <c r="X309" s="36" t="s">
        <v>452</v>
      </c>
      <c r="AH309" s="20">
        <v>43</v>
      </c>
      <c r="AI309" s="20" t="s">
        <v>4765</v>
      </c>
      <c r="AJ309" s="115">
        <v>28000000</v>
      </c>
      <c r="AK309" s="20">
        <v>1</v>
      </c>
      <c r="AL309" s="97">
        <f t="shared" si="77"/>
        <v>521</v>
      </c>
      <c r="AM309" s="20">
        <f t="shared" si="79"/>
        <v>14588000000</v>
      </c>
      <c r="AN309" s="97" t="s">
        <v>3875</v>
      </c>
    </row>
    <row r="310" spans="16:40">
      <c r="Q310" s="97" t="s">
        <v>4626</v>
      </c>
      <c r="R310" s="93">
        <v>2145814</v>
      </c>
      <c r="T310" s="210" t="s">
        <v>5259</v>
      </c>
      <c r="U310" s="210">
        <v>1254</v>
      </c>
      <c r="V310" s="111">
        <v>558.24400000000003</v>
      </c>
      <c r="W310" s="111">
        <f t="shared" si="75"/>
        <v>700037.97600000002</v>
      </c>
      <c r="X310" s="36" t="s">
        <v>4411</v>
      </c>
      <c r="AH310" s="20">
        <v>44</v>
      </c>
      <c r="AI310" s="20" t="s">
        <v>4774</v>
      </c>
      <c r="AJ310" s="115">
        <v>160000</v>
      </c>
      <c r="AK310" s="20">
        <v>0</v>
      </c>
      <c r="AL310" s="97">
        <f t="shared" si="77"/>
        <v>520</v>
      </c>
      <c r="AM310" s="20">
        <f t="shared" si="79"/>
        <v>83200000</v>
      </c>
      <c r="AN310" s="97"/>
    </row>
    <row r="311" spans="16:40">
      <c r="Q311" s="97" t="s">
        <v>4637</v>
      </c>
      <c r="R311" s="93">
        <v>4369730</v>
      </c>
      <c r="T311" s="166" t="s">
        <v>5259</v>
      </c>
      <c r="U311" s="210">
        <v>-358</v>
      </c>
      <c r="V311" s="111">
        <v>558.24400000000003</v>
      </c>
      <c r="W311" s="111">
        <f t="shared" si="75"/>
        <v>-199851.35200000001</v>
      </c>
      <c r="X311" s="36" t="s">
        <v>744</v>
      </c>
      <c r="AH311" s="147">
        <v>45</v>
      </c>
      <c r="AI311" s="147" t="s">
        <v>4774</v>
      </c>
      <c r="AJ311" s="186">
        <v>70000</v>
      </c>
      <c r="AK311" s="147">
        <v>9</v>
      </c>
      <c r="AL311" s="147">
        <f t="shared" si="77"/>
        <v>520</v>
      </c>
      <c r="AM311" s="147">
        <f t="shared" si="79"/>
        <v>36400000</v>
      </c>
      <c r="AN311" s="147"/>
    </row>
    <row r="312" spans="16:40">
      <c r="Q312" s="97" t="s">
        <v>4639</v>
      </c>
      <c r="R312" s="93">
        <v>8739459</v>
      </c>
      <c r="T312" s="187" t="s">
        <v>5268</v>
      </c>
      <c r="U312" s="187">
        <v>-3326</v>
      </c>
      <c r="V312" s="186">
        <v>601.39300000000003</v>
      </c>
      <c r="W312" s="186">
        <f t="shared" si="75"/>
        <v>-2000233.118</v>
      </c>
      <c r="X312" s="275" t="s">
        <v>5110</v>
      </c>
      <c r="AH312" s="20">
        <v>46</v>
      </c>
      <c r="AI312" s="20" t="s">
        <v>4781</v>
      </c>
      <c r="AJ312" s="115">
        <v>850000</v>
      </c>
      <c r="AK312" s="20">
        <v>0</v>
      </c>
      <c r="AL312" s="97">
        <f t="shared" si="77"/>
        <v>511</v>
      </c>
      <c r="AM312" s="20">
        <f t="shared" si="79"/>
        <v>434350000</v>
      </c>
      <c r="AN312" s="97"/>
    </row>
    <row r="313" spans="16:40">
      <c r="Q313" s="97" t="s">
        <v>4648</v>
      </c>
      <c r="R313" s="93">
        <v>6667654</v>
      </c>
      <c r="T313" s="187" t="s">
        <v>5271</v>
      </c>
      <c r="U313" s="187">
        <v>3326</v>
      </c>
      <c r="V313" s="186">
        <v>601.39300000000003</v>
      </c>
      <c r="W313" s="186">
        <f t="shared" si="75"/>
        <v>2000233.118</v>
      </c>
      <c r="X313" s="275" t="s">
        <v>5110</v>
      </c>
      <c r="AH313" s="193">
        <v>47</v>
      </c>
      <c r="AI313" s="193" t="s">
        <v>4781</v>
      </c>
      <c r="AJ313" s="194">
        <v>20000</v>
      </c>
      <c r="AK313" s="193">
        <v>4</v>
      </c>
      <c r="AL313" s="193">
        <f t="shared" ref="AL313:AL321" si="80">AK313+AL314</f>
        <v>511</v>
      </c>
      <c r="AM313" s="193">
        <f t="shared" ref="AM313:AM321" si="81">AJ313*AL313</f>
        <v>10220000</v>
      </c>
      <c r="AN313" s="193"/>
    </row>
    <row r="314" spans="16:40">
      <c r="Q314" s="97" t="s">
        <v>3668</v>
      </c>
      <c r="R314" s="93">
        <v>8981245</v>
      </c>
      <c r="T314" s="187" t="s">
        <v>5283</v>
      </c>
      <c r="U314" s="187">
        <v>63259</v>
      </c>
      <c r="V314" s="186">
        <v>632.31960000000004</v>
      </c>
      <c r="W314" s="186">
        <f t="shared" si="75"/>
        <v>39999905.576400004</v>
      </c>
      <c r="X314" s="275" t="s">
        <v>1071</v>
      </c>
      <c r="AH314" s="193">
        <v>48</v>
      </c>
      <c r="AI314" s="193" t="s">
        <v>4794</v>
      </c>
      <c r="AJ314" s="194">
        <v>30000000</v>
      </c>
      <c r="AK314" s="193">
        <v>27</v>
      </c>
      <c r="AL314" s="193">
        <f t="shared" si="80"/>
        <v>507</v>
      </c>
      <c r="AM314" s="193">
        <f t="shared" si="81"/>
        <v>15210000000</v>
      </c>
      <c r="AN314" s="193" t="s">
        <v>4795</v>
      </c>
    </row>
    <row r="315" spans="16:40">
      <c r="Q315" s="97" t="s">
        <v>4660</v>
      </c>
      <c r="R315" s="93">
        <v>9181756</v>
      </c>
      <c r="T315" s="19" t="s">
        <v>5288</v>
      </c>
      <c r="U315" s="19">
        <v>-1278</v>
      </c>
      <c r="V315" s="115">
        <v>625.98</v>
      </c>
      <c r="W315" s="115">
        <f t="shared" si="75"/>
        <v>-800002.44000000006</v>
      </c>
      <c r="X315" s="276" t="s">
        <v>5289</v>
      </c>
      <c r="AH315" s="20">
        <v>49</v>
      </c>
      <c r="AI315" s="20" t="s">
        <v>4868</v>
      </c>
      <c r="AJ315" s="115">
        <v>1100000</v>
      </c>
      <c r="AK315" s="20">
        <v>1</v>
      </c>
      <c r="AL315" s="20">
        <f t="shared" si="80"/>
        <v>480</v>
      </c>
      <c r="AM315" s="20">
        <f t="shared" si="81"/>
        <v>528000000</v>
      </c>
      <c r="AN315" s="20"/>
    </row>
    <row r="316" spans="16:40">
      <c r="Q316" s="97" t="s">
        <v>4663</v>
      </c>
      <c r="R316" s="93">
        <v>11811208</v>
      </c>
      <c r="T316" s="19" t="s">
        <v>5294</v>
      </c>
      <c r="U316" s="19">
        <v>32049</v>
      </c>
      <c r="V316" s="115">
        <v>624.04600000000005</v>
      </c>
      <c r="W316" s="115">
        <f t="shared" si="75"/>
        <v>20000050.254000001</v>
      </c>
      <c r="X316" s="276" t="s">
        <v>5149</v>
      </c>
      <c r="AH316" s="20">
        <v>50</v>
      </c>
      <c r="AI316" s="20" t="s">
        <v>4869</v>
      </c>
      <c r="AJ316" s="115">
        <v>450000</v>
      </c>
      <c r="AK316" s="20">
        <v>0</v>
      </c>
      <c r="AL316" s="20">
        <f t="shared" si="80"/>
        <v>479</v>
      </c>
      <c r="AM316" s="20">
        <f t="shared" si="81"/>
        <v>215550000</v>
      </c>
      <c r="AN316" s="20"/>
    </row>
    <row r="317" spans="16:40" ht="30">
      <c r="Q317" s="97" t="s">
        <v>4677</v>
      </c>
      <c r="R317" s="93">
        <v>41248054</v>
      </c>
      <c r="T317" s="19" t="s">
        <v>5304</v>
      </c>
      <c r="U317" s="19">
        <v>45094</v>
      </c>
      <c r="V317" s="115">
        <v>614.13559759999998</v>
      </c>
      <c r="W317" s="115">
        <f t="shared" si="75"/>
        <v>27693830.6381744</v>
      </c>
      <c r="X317" s="276" t="s">
        <v>5306</v>
      </c>
      <c r="AH317" s="147">
        <v>51</v>
      </c>
      <c r="AI317" s="147" t="s">
        <v>4869</v>
      </c>
      <c r="AJ317" s="186">
        <v>550000</v>
      </c>
      <c r="AK317" s="147">
        <v>1</v>
      </c>
      <c r="AL317" s="147">
        <f t="shared" si="80"/>
        <v>479</v>
      </c>
      <c r="AM317" s="147">
        <f t="shared" si="81"/>
        <v>263450000</v>
      </c>
      <c r="AN317" s="147"/>
    </row>
    <row r="318" spans="16:40" ht="30">
      <c r="Q318" s="97" t="s">
        <v>4684</v>
      </c>
      <c r="R318" s="93">
        <v>37328780</v>
      </c>
      <c r="T318" s="19" t="s">
        <v>5334</v>
      </c>
      <c r="U318" s="19">
        <v>-11804</v>
      </c>
      <c r="V318" s="115">
        <v>762.46640000000002</v>
      </c>
      <c r="W318" s="115">
        <f t="shared" si="75"/>
        <v>-9000153.3856000006</v>
      </c>
      <c r="X318" s="276" t="s">
        <v>5336</v>
      </c>
      <c r="Y318" t="s">
        <v>25</v>
      </c>
      <c r="AH318" s="147">
        <v>52</v>
      </c>
      <c r="AI318" s="147" t="s">
        <v>4871</v>
      </c>
      <c r="AJ318" s="186">
        <v>1000000</v>
      </c>
      <c r="AK318" s="147">
        <v>8</v>
      </c>
      <c r="AL318" s="147">
        <f t="shared" si="80"/>
        <v>478</v>
      </c>
      <c r="AM318" s="147">
        <f t="shared" si="81"/>
        <v>478000000</v>
      </c>
      <c r="AN318" s="147"/>
    </row>
    <row r="319" spans="16:40">
      <c r="Q319" s="97" t="s">
        <v>4690</v>
      </c>
      <c r="R319" s="93">
        <v>50000000</v>
      </c>
      <c r="T319" s="19" t="s">
        <v>5379</v>
      </c>
      <c r="U319" s="19">
        <v>844</v>
      </c>
      <c r="V319" s="115">
        <v>830</v>
      </c>
      <c r="W319" s="115">
        <f t="shared" si="75"/>
        <v>700520</v>
      </c>
      <c r="X319" s="276" t="s">
        <v>4411</v>
      </c>
      <c r="AH319" s="20">
        <v>53</v>
      </c>
      <c r="AI319" s="20" t="s">
        <v>4880</v>
      </c>
      <c r="AJ319" s="115">
        <v>-2668880</v>
      </c>
      <c r="AK319" s="20">
        <v>0</v>
      </c>
      <c r="AL319" s="20">
        <f t="shared" si="80"/>
        <v>470</v>
      </c>
      <c r="AM319" s="20">
        <f t="shared" si="81"/>
        <v>-1254373600</v>
      </c>
      <c r="AN319" s="20" t="s">
        <v>4882</v>
      </c>
    </row>
    <row r="320" spans="16:40">
      <c r="Q320" s="97" t="s">
        <v>4751</v>
      </c>
      <c r="R320" s="93">
        <v>68656</v>
      </c>
      <c r="S320" s="112"/>
      <c r="T320" s="19" t="s">
        <v>5383</v>
      </c>
      <c r="U320" s="19">
        <v>8662</v>
      </c>
      <c r="V320" s="115">
        <v>832.57011999999997</v>
      </c>
      <c r="W320" s="115">
        <f t="shared" si="75"/>
        <v>7211722.3794399993</v>
      </c>
      <c r="X320" s="276" t="s">
        <v>5144</v>
      </c>
      <c r="AH320" s="147">
        <v>54</v>
      </c>
      <c r="AI320" s="147" t="s">
        <v>4880</v>
      </c>
      <c r="AJ320" s="186">
        <v>-1528620</v>
      </c>
      <c r="AK320" s="147">
        <v>0</v>
      </c>
      <c r="AL320" s="147">
        <f t="shared" si="80"/>
        <v>470</v>
      </c>
      <c r="AM320" s="147">
        <f t="shared" si="81"/>
        <v>-718451400</v>
      </c>
      <c r="AN320" s="147" t="s">
        <v>4882</v>
      </c>
    </row>
    <row r="321" spans="17:44" ht="30">
      <c r="Q321" s="97" t="s">
        <v>4760</v>
      </c>
      <c r="R321" s="93">
        <v>4000236</v>
      </c>
      <c r="T321" s="19" t="s">
        <v>5384</v>
      </c>
      <c r="U321" s="19">
        <v>10253</v>
      </c>
      <c r="V321" s="115">
        <v>827.2568</v>
      </c>
      <c r="W321" s="115">
        <f t="shared" si="75"/>
        <v>8481863.9704</v>
      </c>
      <c r="X321" s="276" t="s">
        <v>5391</v>
      </c>
      <c r="AH321" s="20">
        <v>55</v>
      </c>
      <c r="AI321" s="20" t="s">
        <v>4880</v>
      </c>
      <c r="AJ321" s="115">
        <v>50000000</v>
      </c>
      <c r="AK321" s="20">
        <v>4</v>
      </c>
      <c r="AL321" s="20">
        <f t="shared" si="80"/>
        <v>470</v>
      </c>
      <c r="AM321" s="20">
        <f t="shared" si="81"/>
        <v>23500000000</v>
      </c>
      <c r="AN321" s="20"/>
    </row>
    <row r="322" spans="17:44">
      <c r="Q322" s="97" t="s">
        <v>4760</v>
      </c>
      <c r="R322" s="93">
        <v>2250000</v>
      </c>
      <c r="T322" s="242" t="s">
        <v>5392</v>
      </c>
      <c r="U322" s="242">
        <v>-33077</v>
      </c>
      <c r="V322" s="243">
        <v>786.02973999999995</v>
      </c>
      <c r="W322" s="243">
        <f t="shared" si="75"/>
        <v>-25999505.70998</v>
      </c>
      <c r="X322" s="284" t="s">
        <v>5395</v>
      </c>
      <c r="AH322" s="20">
        <v>56</v>
      </c>
      <c r="AI322" s="20" t="s">
        <v>4886</v>
      </c>
      <c r="AJ322" s="115">
        <v>400000</v>
      </c>
      <c r="AK322" s="20">
        <v>4</v>
      </c>
      <c r="AL322" s="20">
        <f t="shared" ref="AL322:AL331" si="82">AK322+AL323</f>
        <v>466</v>
      </c>
      <c r="AM322" s="20">
        <f t="shared" ref="AM322:AM331" si="83">AJ322*AL322</f>
        <v>186400000</v>
      </c>
      <c r="AN322" s="20"/>
    </row>
    <row r="323" spans="17:44">
      <c r="Q323" s="97" t="s">
        <v>4765</v>
      </c>
      <c r="R323" s="93">
        <v>-2512200</v>
      </c>
      <c r="T323" s="19" t="s">
        <v>5392</v>
      </c>
      <c r="U323" s="19">
        <v>-33077</v>
      </c>
      <c r="V323" s="115">
        <v>786.02973999999995</v>
      </c>
      <c r="W323" s="115">
        <f t="shared" si="75"/>
        <v>-25999505.70998</v>
      </c>
      <c r="X323" s="276" t="s">
        <v>5396</v>
      </c>
      <c r="AH323" s="20">
        <v>57</v>
      </c>
      <c r="AI323" s="20" t="s">
        <v>4896</v>
      </c>
      <c r="AJ323" s="115">
        <v>2000000</v>
      </c>
      <c r="AK323" s="20">
        <v>3</v>
      </c>
      <c r="AL323" s="20">
        <f t="shared" si="82"/>
        <v>462</v>
      </c>
      <c r="AM323" s="20">
        <f t="shared" si="83"/>
        <v>924000000</v>
      </c>
      <c r="AN323" s="20"/>
    </row>
    <row r="324" spans="17:44">
      <c r="Q324" s="97" t="s">
        <v>4774</v>
      </c>
      <c r="R324" s="93">
        <v>300000</v>
      </c>
      <c r="T324" s="19" t="s">
        <v>5392</v>
      </c>
      <c r="U324" s="19">
        <v>1983</v>
      </c>
      <c r="V324" s="115">
        <v>786.02973999999995</v>
      </c>
      <c r="W324" s="115">
        <f t="shared" si="75"/>
        <v>1558696.9744199999</v>
      </c>
      <c r="X324" s="276" t="s">
        <v>5144</v>
      </c>
      <c r="Y324" t="s">
        <v>25</v>
      </c>
      <c r="AH324" s="20">
        <v>58</v>
      </c>
      <c r="AI324" s="20" t="s">
        <v>4899</v>
      </c>
      <c r="AJ324" s="115">
        <v>100000</v>
      </c>
      <c r="AK324" s="20">
        <v>4</v>
      </c>
      <c r="AL324" s="20">
        <f t="shared" si="82"/>
        <v>459</v>
      </c>
      <c r="AM324" s="20">
        <f t="shared" si="83"/>
        <v>45900000</v>
      </c>
      <c r="AN324" s="20" t="s">
        <v>3875</v>
      </c>
    </row>
    <row r="325" spans="17:44">
      <c r="Q325" s="97" t="s">
        <v>966</v>
      </c>
      <c r="R325" s="93">
        <v>1100000</v>
      </c>
      <c r="T325" s="242" t="s">
        <v>5397</v>
      </c>
      <c r="U325" s="242">
        <v>-119753</v>
      </c>
      <c r="V325" s="243">
        <v>800.81560000000002</v>
      </c>
      <c r="W325" s="243">
        <f t="shared" si="75"/>
        <v>-95900070.546800002</v>
      </c>
      <c r="X325" s="284" t="s">
        <v>5395</v>
      </c>
      <c r="AH325" s="20">
        <v>59</v>
      </c>
      <c r="AI325" s="20" t="s">
        <v>4906</v>
      </c>
      <c r="AJ325" s="115">
        <v>100000</v>
      </c>
      <c r="AK325" s="20">
        <v>7</v>
      </c>
      <c r="AL325" s="20">
        <f t="shared" si="82"/>
        <v>455</v>
      </c>
      <c r="AM325" s="20">
        <f t="shared" si="83"/>
        <v>45500000</v>
      </c>
      <c r="AN325" s="20"/>
    </row>
    <row r="326" spans="17:44">
      <c r="Q326" s="97" t="s">
        <v>4781</v>
      </c>
      <c r="R326" s="93">
        <v>890000</v>
      </c>
      <c r="T326" s="19" t="s">
        <v>5397</v>
      </c>
      <c r="U326" s="19">
        <v>-119753</v>
      </c>
      <c r="V326" s="115">
        <v>800.81560000000002</v>
      </c>
      <c r="W326" s="115">
        <f t="shared" si="75"/>
        <v>-95900070.546800002</v>
      </c>
      <c r="X326" s="276" t="s">
        <v>5396</v>
      </c>
      <c r="AH326" s="20">
        <v>60</v>
      </c>
      <c r="AI326" s="20" t="s">
        <v>4919</v>
      </c>
      <c r="AJ326" s="115">
        <v>50000</v>
      </c>
      <c r="AK326" s="20">
        <v>0</v>
      </c>
      <c r="AL326" s="20">
        <f t="shared" si="82"/>
        <v>448</v>
      </c>
      <c r="AM326" s="20">
        <f t="shared" si="83"/>
        <v>22400000</v>
      </c>
      <c r="AN326" s="20"/>
    </row>
    <row r="327" spans="17:44">
      <c r="Q327" s="97" t="s">
        <v>4801</v>
      </c>
      <c r="R327" s="93">
        <v>1000000</v>
      </c>
      <c r="T327" s="19" t="s">
        <v>5397</v>
      </c>
      <c r="U327" s="19">
        <v>11291</v>
      </c>
      <c r="V327" s="115">
        <v>800.81560000000002</v>
      </c>
      <c r="W327" s="115">
        <f t="shared" si="75"/>
        <v>9042008.9396000002</v>
      </c>
      <c r="X327" s="276" t="s">
        <v>452</v>
      </c>
      <c r="AH327" s="147">
        <v>61</v>
      </c>
      <c r="AI327" s="147" t="s">
        <v>4919</v>
      </c>
      <c r="AJ327" s="186">
        <v>50000</v>
      </c>
      <c r="AK327" s="147">
        <v>3</v>
      </c>
      <c r="AL327" s="147">
        <f t="shared" si="82"/>
        <v>448</v>
      </c>
      <c r="AM327" s="147">
        <f t="shared" si="83"/>
        <v>22400000</v>
      </c>
      <c r="AN327" s="147"/>
    </row>
    <row r="328" spans="17:44">
      <c r="Q328" s="97" t="s">
        <v>4802</v>
      </c>
      <c r="R328" s="93">
        <v>45436311</v>
      </c>
      <c r="T328" s="187" t="s">
        <v>5398</v>
      </c>
      <c r="U328" s="187">
        <v>-35361</v>
      </c>
      <c r="V328" s="186">
        <v>818.697</v>
      </c>
      <c r="W328" s="186">
        <f t="shared" si="75"/>
        <v>-28949944.616999999</v>
      </c>
      <c r="X328" s="275" t="s">
        <v>5395</v>
      </c>
      <c r="AH328" s="20">
        <v>62</v>
      </c>
      <c r="AI328" s="20" t="s">
        <v>4922</v>
      </c>
      <c r="AJ328" s="115">
        <v>50000</v>
      </c>
      <c r="AK328" s="20">
        <v>0</v>
      </c>
      <c r="AL328" s="20">
        <f t="shared" si="82"/>
        <v>445</v>
      </c>
      <c r="AM328" s="20">
        <f t="shared" si="83"/>
        <v>22250000</v>
      </c>
      <c r="AN328" s="20"/>
    </row>
    <row r="329" spans="17:44">
      <c r="Q329" s="97" t="s">
        <v>4802</v>
      </c>
      <c r="R329" s="93">
        <v>-3500000</v>
      </c>
      <c r="T329" s="19" t="s">
        <v>5398</v>
      </c>
      <c r="U329" s="19">
        <v>-35361</v>
      </c>
      <c r="V329" s="115">
        <v>818.697</v>
      </c>
      <c r="W329" s="115">
        <f t="shared" si="75"/>
        <v>-28949944.616999999</v>
      </c>
      <c r="X329" s="276" t="s">
        <v>5396</v>
      </c>
      <c r="AH329" s="193">
        <v>63</v>
      </c>
      <c r="AI329" s="193" t="s">
        <v>4922</v>
      </c>
      <c r="AJ329" s="194">
        <v>50000</v>
      </c>
      <c r="AK329" s="193">
        <v>2</v>
      </c>
      <c r="AL329" s="193">
        <f t="shared" si="82"/>
        <v>445</v>
      </c>
      <c r="AM329" s="193">
        <f t="shared" si="83"/>
        <v>22250000</v>
      </c>
      <c r="AN329" s="193"/>
    </row>
    <row r="330" spans="17:44">
      <c r="Q330" s="97" t="s">
        <v>4814</v>
      </c>
      <c r="R330" s="93">
        <v>2520000</v>
      </c>
      <c r="T330" s="19" t="s">
        <v>5398</v>
      </c>
      <c r="U330" s="19">
        <v>116</v>
      </c>
      <c r="V330" s="115">
        <v>818.697</v>
      </c>
      <c r="W330" s="115">
        <f t="shared" si="75"/>
        <v>94968.851999999999</v>
      </c>
      <c r="X330" s="276" t="s">
        <v>5144</v>
      </c>
      <c r="AH330" s="20">
        <v>64</v>
      </c>
      <c r="AI330" s="20" t="s">
        <v>4929</v>
      </c>
      <c r="AJ330" s="115">
        <v>25000</v>
      </c>
      <c r="AK330" s="20">
        <v>0</v>
      </c>
      <c r="AL330" s="20">
        <f t="shared" si="82"/>
        <v>443</v>
      </c>
      <c r="AM330" s="20">
        <f t="shared" si="83"/>
        <v>11075000</v>
      </c>
      <c r="AN330" s="20"/>
    </row>
    <row r="331" spans="17:44">
      <c r="Q331" s="97" t="s">
        <v>4849</v>
      </c>
      <c r="R331" s="93">
        <v>4900000</v>
      </c>
      <c r="T331" s="19" t="s">
        <v>5403</v>
      </c>
      <c r="U331" s="19">
        <v>48633</v>
      </c>
      <c r="V331" s="115">
        <v>822.47199999999998</v>
      </c>
      <c r="W331" s="115">
        <f t="shared" si="75"/>
        <v>39999280.776000001</v>
      </c>
      <c r="X331" s="276" t="s">
        <v>5407</v>
      </c>
      <c r="AH331" s="147">
        <v>65</v>
      </c>
      <c r="AI331" s="147" t="s">
        <v>4929</v>
      </c>
      <c r="AJ331" s="186">
        <v>35000</v>
      </c>
      <c r="AK331" s="147">
        <v>7</v>
      </c>
      <c r="AL331" s="147">
        <f t="shared" si="82"/>
        <v>443</v>
      </c>
      <c r="AM331" s="147">
        <f t="shared" si="83"/>
        <v>15505000</v>
      </c>
      <c r="AN331" s="147"/>
    </row>
    <row r="332" spans="17:44">
      <c r="Q332" s="97" t="s">
        <v>4868</v>
      </c>
      <c r="R332" s="93">
        <v>1150000</v>
      </c>
      <c r="T332" s="19" t="s">
        <v>5403</v>
      </c>
      <c r="U332" s="19">
        <v>3412</v>
      </c>
      <c r="V332" s="115">
        <v>822.47199999999998</v>
      </c>
      <c r="W332" s="115">
        <f t="shared" si="75"/>
        <v>2806274.4640000002</v>
      </c>
      <c r="X332" s="276" t="s">
        <v>5409</v>
      </c>
      <c r="Z332" t="s">
        <v>25</v>
      </c>
      <c r="AH332" s="147">
        <v>66</v>
      </c>
      <c r="AI332" s="147" t="s">
        <v>4937</v>
      </c>
      <c r="AJ332" s="186">
        <v>30000000</v>
      </c>
      <c r="AK332" s="147">
        <v>0</v>
      </c>
      <c r="AL332" s="147">
        <f t="shared" ref="AL332:AL351" si="84">AK332+AL333</f>
        <v>436</v>
      </c>
      <c r="AM332" s="147">
        <f t="shared" ref="AM332:AM351" si="85">AJ332*AL332</f>
        <v>13080000000</v>
      </c>
      <c r="AN332" s="147"/>
      <c r="AR332" t="s">
        <v>25</v>
      </c>
    </row>
    <row r="333" spans="17:44">
      <c r="Q333" s="97" t="s">
        <v>4821</v>
      </c>
      <c r="R333" s="93">
        <v>250000</v>
      </c>
      <c r="T333" s="19" t="s">
        <v>5404</v>
      </c>
      <c r="U333" s="19">
        <v>1531</v>
      </c>
      <c r="V333" s="115">
        <v>869.82500000000005</v>
      </c>
      <c r="W333" s="115">
        <f t="shared" si="75"/>
        <v>1331702.075</v>
      </c>
      <c r="X333" s="276" t="s">
        <v>5410</v>
      </c>
      <c r="AH333" s="20">
        <v>67</v>
      </c>
      <c r="AI333" s="20" t="s">
        <v>4937</v>
      </c>
      <c r="AJ333" s="115">
        <v>6800000</v>
      </c>
      <c r="AK333" s="20">
        <v>1</v>
      </c>
      <c r="AL333" s="20">
        <f t="shared" si="84"/>
        <v>436</v>
      </c>
      <c r="AM333" s="20">
        <f t="shared" si="85"/>
        <v>2964800000</v>
      </c>
      <c r="AN333" s="20"/>
    </row>
    <row r="334" spans="17:44">
      <c r="Q334" s="97" t="s">
        <v>4903</v>
      </c>
      <c r="R334" s="93">
        <v>1403460</v>
      </c>
      <c r="T334" s="170" t="s">
        <v>5413</v>
      </c>
      <c r="U334" s="170">
        <v>2394</v>
      </c>
      <c r="V334" s="168">
        <v>835.36580000000004</v>
      </c>
      <c r="W334" s="168">
        <f t="shared" si="75"/>
        <v>1999865.7252</v>
      </c>
      <c r="X334" s="285" t="s">
        <v>5415</v>
      </c>
      <c r="AH334" s="20">
        <v>68</v>
      </c>
      <c r="AI334" s="20" t="s">
        <v>4940</v>
      </c>
      <c r="AJ334" s="115">
        <v>500000</v>
      </c>
      <c r="AK334" s="20">
        <v>1</v>
      </c>
      <c r="AL334" s="20">
        <f t="shared" si="84"/>
        <v>435</v>
      </c>
      <c r="AM334" s="20">
        <f t="shared" si="85"/>
        <v>217500000</v>
      </c>
      <c r="AN334" s="20"/>
    </row>
    <row r="335" spans="17:44">
      <c r="Q335" s="97" t="s">
        <v>4906</v>
      </c>
      <c r="R335" s="93">
        <v>200000</v>
      </c>
      <c r="T335" s="19" t="s">
        <v>5413</v>
      </c>
      <c r="U335" s="19">
        <v>1019</v>
      </c>
      <c r="V335" s="115">
        <v>835.36580000000004</v>
      </c>
      <c r="W335" s="115">
        <f t="shared" si="75"/>
        <v>851237.75020000001</v>
      </c>
      <c r="X335" s="276" t="s">
        <v>452</v>
      </c>
      <c r="AH335" s="20">
        <v>69</v>
      </c>
      <c r="AI335" s="20" t="s">
        <v>4946</v>
      </c>
      <c r="AJ335" s="115">
        <v>850000</v>
      </c>
      <c r="AK335" s="20">
        <v>5</v>
      </c>
      <c r="AL335" s="20">
        <f t="shared" si="84"/>
        <v>434</v>
      </c>
      <c r="AM335" s="20">
        <f t="shared" si="85"/>
        <v>368900000</v>
      </c>
      <c r="AN335" s="20"/>
    </row>
    <row r="336" spans="17:44">
      <c r="Q336" s="97" t="s">
        <v>4911</v>
      </c>
      <c r="R336" s="93">
        <v>345000</v>
      </c>
      <c r="T336" s="187" t="s">
        <v>5419</v>
      </c>
      <c r="U336" s="187">
        <v>2316</v>
      </c>
      <c r="V336" s="186">
        <v>818.697</v>
      </c>
      <c r="W336" s="186">
        <f t="shared" si="75"/>
        <v>1896102.2520000001</v>
      </c>
      <c r="X336" s="275" t="s">
        <v>5422</v>
      </c>
      <c r="Y336" t="s">
        <v>25</v>
      </c>
      <c r="AA336" t="s">
        <v>25</v>
      </c>
      <c r="AH336" s="20">
        <v>70</v>
      </c>
      <c r="AI336" s="20" t="s">
        <v>4955</v>
      </c>
      <c r="AJ336" s="115">
        <v>1130250</v>
      </c>
      <c r="AK336" s="20">
        <v>0</v>
      </c>
      <c r="AL336" s="20">
        <f t="shared" si="84"/>
        <v>429</v>
      </c>
      <c r="AM336" s="20">
        <f t="shared" si="85"/>
        <v>484877250</v>
      </c>
      <c r="AN336" s="20"/>
      <c r="AR336" t="s">
        <v>25</v>
      </c>
    </row>
    <row r="337" spans="17:46">
      <c r="Q337" s="97" t="s">
        <v>4916</v>
      </c>
      <c r="R337" s="93">
        <v>900000</v>
      </c>
      <c r="T337" s="19" t="s">
        <v>5425</v>
      </c>
      <c r="U337" s="19">
        <v>315</v>
      </c>
      <c r="V337" s="115">
        <v>680</v>
      </c>
      <c r="W337" s="115">
        <f t="shared" si="75"/>
        <v>214200</v>
      </c>
      <c r="X337" s="276" t="s">
        <v>5144</v>
      </c>
      <c r="AH337" s="252">
        <v>71</v>
      </c>
      <c r="AI337" s="252" t="s">
        <v>4955</v>
      </c>
      <c r="AJ337" s="243">
        <v>30000</v>
      </c>
      <c r="AK337" s="252">
        <v>5</v>
      </c>
      <c r="AL337" s="252">
        <f t="shared" si="84"/>
        <v>429</v>
      </c>
      <c r="AM337" s="252">
        <f t="shared" si="85"/>
        <v>12870000</v>
      </c>
      <c r="AN337" s="252"/>
      <c r="AS337" t="s">
        <v>25</v>
      </c>
    </row>
    <row r="338" spans="17:46">
      <c r="Q338" s="97" t="s">
        <v>4919</v>
      </c>
      <c r="R338" s="93">
        <v>372517</v>
      </c>
      <c r="T338" s="19" t="s">
        <v>5451</v>
      </c>
      <c r="U338" s="19">
        <v>832</v>
      </c>
      <c r="V338" s="115">
        <v>784.36500000000001</v>
      </c>
      <c r="W338" s="115">
        <f t="shared" si="75"/>
        <v>652591.68000000005</v>
      </c>
      <c r="X338" s="276" t="s">
        <v>5144</v>
      </c>
      <c r="Y338" t="s">
        <v>25</v>
      </c>
      <c r="AH338" s="20">
        <v>72</v>
      </c>
      <c r="AI338" s="20" t="s">
        <v>4963</v>
      </c>
      <c r="AJ338" s="115">
        <v>206000</v>
      </c>
      <c r="AK338" s="20">
        <v>0</v>
      </c>
      <c r="AL338" s="20">
        <f t="shared" si="84"/>
        <v>424</v>
      </c>
      <c r="AM338" s="20">
        <f t="shared" si="85"/>
        <v>87344000</v>
      </c>
      <c r="AN338" s="20"/>
      <c r="AR338" t="s">
        <v>25</v>
      </c>
      <c r="AT338" s="94" t="s">
        <v>25</v>
      </c>
    </row>
    <row r="339" spans="17:46">
      <c r="Q339" s="97" t="s">
        <v>4927</v>
      </c>
      <c r="R339" s="93">
        <v>6489257</v>
      </c>
      <c r="T339" s="19" t="s">
        <v>5517</v>
      </c>
      <c r="U339" s="19">
        <v>382</v>
      </c>
      <c r="V339" s="115">
        <v>1450.6065000000001</v>
      </c>
      <c r="W339" s="115">
        <f t="shared" si="75"/>
        <v>554131.68300000008</v>
      </c>
      <c r="X339" s="276" t="s">
        <v>5144</v>
      </c>
      <c r="Z339" t="s">
        <v>25</v>
      </c>
      <c r="AH339" s="147">
        <v>73</v>
      </c>
      <c r="AI339" s="147" t="s">
        <v>4963</v>
      </c>
      <c r="AJ339" s="186">
        <v>206000</v>
      </c>
      <c r="AK339" s="147">
        <v>2</v>
      </c>
      <c r="AL339" s="147">
        <f t="shared" si="84"/>
        <v>424</v>
      </c>
      <c r="AM339" s="147">
        <f t="shared" si="85"/>
        <v>87344000</v>
      </c>
      <c r="AN339" s="147"/>
      <c r="AS339" t="s">
        <v>25</v>
      </c>
    </row>
    <row r="340" spans="17:46">
      <c r="Q340" s="97" t="s">
        <v>4963</v>
      </c>
      <c r="R340" s="93">
        <v>618000</v>
      </c>
      <c r="T340" s="19" t="s">
        <v>5518</v>
      </c>
      <c r="U340" s="19">
        <v>50047</v>
      </c>
      <c r="V340" s="115">
        <v>1406.14</v>
      </c>
      <c r="W340" s="115">
        <f t="shared" si="75"/>
        <v>70373088.579999998</v>
      </c>
      <c r="X340" s="276" t="s">
        <v>5144</v>
      </c>
      <c r="AH340" s="20">
        <v>74</v>
      </c>
      <c r="AI340" s="20" t="s">
        <v>4970</v>
      </c>
      <c r="AJ340" s="115">
        <v>50000</v>
      </c>
      <c r="AK340" s="20">
        <v>0</v>
      </c>
      <c r="AL340" s="20">
        <f t="shared" si="84"/>
        <v>422</v>
      </c>
      <c r="AM340" s="20">
        <f t="shared" si="85"/>
        <v>21100000</v>
      </c>
      <c r="AN340" s="20"/>
    </row>
    <row r="341" spans="17:46">
      <c r="Q341" s="97" t="s">
        <v>4974</v>
      </c>
      <c r="R341" s="93">
        <v>20105000</v>
      </c>
      <c r="T341" s="19" t="s">
        <v>5519</v>
      </c>
      <c r="U341" s="19">
        <v>846</v>
      </c>
      <c r="V341" s="115">
        <v>1441.6724569999999</v>
      </c>
      <c r="W341" s="115">
        <f t="shared" si="75"/>
        <v>1219654.8986219999</v>
      </c>
      <c r="X341" s="276" t="s">
        <v>5144</v>
      </c>
      <c r="AH341" s="252">
        <v>75</v>
      </c>
      <c r="AI341" s="252" t="s">
        <v>4970</v>
      </c>
      <c r="AJ341" s="243">
        <v>50000</v>
      </c>
      <c r="AK341" s="252">
        <v>2</v>
      </c>
      <c r="AL341" s="252">
        <f t="shared" si="84"/>
        <v>422</v>
      </c>
      <c r="AM341" s="252">
        <f t="shared" si="85"/>
        <v>21100000</v>
      </c>
      <c r="AN341" s="252"/>
    </row>
    <row r="342" spans="17:46">
      <c r="Q342" s="97" t="s">
        <v>4978</v>
      </c>
      <c r="R342" s="93">
        <v>-21079990</v>
      </c>
      <c r="T342" s="19" t="s">
        <v>5520</v>
      </c>
      <c r="U342" s="19">
        <v>10573</v>
      </c>
      <c r="V342" s="115">
        <v>1451.825</v>
      </c>
      <c r="W342" s="115">
        <f t="shared" si="75"/>
        <v>15350145.725</v>
      </c>
      <c r="X342" s="276" t="s">
        <v>5144</v>
      </c>
      <c r="Y342" t="s">
        <v>25</v>
      </c>
      <c r="AA342" t="s">
        <v>25</v>
      </c>
      <c r="AH342" s="20">
        <v>76</v>
      </c>
      <c r="AI342" s="20" t="s">
        <v>4974</v>
      </c>
      <c r="AJ342" s="115">
        <v>20000000</v>
      </c>
      <c r="AK342" s="20">
        <v>7</v>
      </c>
      <c r="AL342" s="20">
        <f t="shared" si="84"/>
        <v>420</v>
      </c>
      <c r="AM342" s="20">
        <f t="shared" si="85"/>
        <v>8400000000</v>
      </c>
      <c r="AN342" s="20" t="s">
        <v>4975</v>
      </c>
    </row>
    <row r="343" spans="17:46" ht="30">
      <c r="Q343" s="97" t="s">
        <v>4979</v>
      </c>
      <c r="R343" s="93">
        <v>-5949277</v>
      </c>
      <c r="T343" s="19" t="s">
        <v>5522</v>
      </c>
      <c r="U343" s="19">
        <v>85</v>
      </c>
      <c r="V343" s="115">
        <v>1423.74</v>
      </c>
      <c r="W343" s="115">
        <f t="shared" si="75"/>
        <v>121017.9</v>
      </c>
      <c r="X343" s="276" t="s">
        <v>5523</v>
      </c>
      <c r="AH343" s="20">
        <v>77</v>
      </c>
      <c r="AI343" s="20" t="s">
        <v>4985</v>
      </c>
      <c r="AJ343" s="115">
        <v>50000</v>
      </c>
      <c r="AK343" s="20">
        <v>0</v>
      </c>
      <c r="AL343" s="20">
        <f t="shared" si="84"/>
        <v>413</v>
      </c>
      <c r="AM343" s="20">
        <f t="shared" si="85"/>
        <v>20650000</v>
      </c>
      <c r="AN343" s="20"/>
    </row>
    <row r="344" spans="17:46" ht="30">
      <c r="Q344" s="97" t="s">
        <v>4985</v>
      </c>
      <c r="R344" s="93">
        <v>-15370656</v>
      </c>
      <c r="T344" s="19" t="s">
        <v>5526</v>
      </c>
      <c r="U344" s="19">
        <v>738</v>
      </c>
      <c r="V344" s="115">
        <v>1388.87895</v>
      </c>
      <c r="W344" s="115">
        <f t="shared" si="75"/>
        <v>1024992.6651</v>
      </c>
      <c r="X344" s="276" t="s">
        <v>5534</v>
      </c>
      <c r="AH344" s="147">
        <v>78</v>
      </c>
      <c r="AI344" s="147" t="s">
        <v>4985</v>
      </c>
      <c r="AJ344" s="186">
        <v>50000</v>
      </c>
      <c r="AK344" s="147">
        <v>7</v>
      </c>
      <c r="AL344" s="147">
        <f t="shared" si="84"/>
        <v>413</v>
      </c>
      <c r="AM344" s="147">
        <f t="shared" si="85"/>
        <v>20650000</v>
      </c>
      <c r="AN344" s="147"/>
    </row>
    <row r="345" spans="17:46">
      <c r="Q345" s="97" t="s">
        <v>4991</v>
      </c>
      <c r="R345" s="93">
        <v>4960000</v>
      </c>
      <c r="T345" s="19" t="s">
        <v>5542</v>
      </c>
      <c r="U345" s="19">
        <v>1442</v>
      </c>
      <c r="V345" s="115">
        <v>1350.9547279999999</v>
      </c>
      <c r="W345" s="115">
        <f t="shared" si="75"/>
        <v>1948076.7177759998</v>
      </c>
      <c r="X345" s="276" t="s">
        <v>5144</v>
      </c>
      <c r="AH345" s="20">
        <v>79</v>
      </c>
      <c r="AI345" s="20" t="s">
        <v>4991</v>
      </c>
      <c r="AJ345" s="115">
        <v>2480000</v>
      </c>
      <c r="AK345" s="20">
        <v>0</v>
      </c>
      <c r="AL345" s="20">
        <f t="shared" si="84"/>
        <v>406</v>
      </c>
      <c r="AM345" s="20">
        <f t="shared" si="85"/>
        <v>1006880000</v>
      </c>
      <c r="AN345" s="20"/>
    </row>
    <row r="346" spans="17:46">
      <c r="Q346" s="97" t="s">
        <v>4991</v>
      </c>
      <c r="R346" s="93">
        <v>10000000</v>
      </c>
      <c r="T346" s="19" t="s">
        <v>5543</v>
      </c>
      <c r="U346" s="19">
        <v>36847</v>
      </c>
      <c r="V346" s="115">
        <v>1356.9658300000001</v>
      </c>
      <c r="W346" s="115">
        <f t="shared" si="75"/>
        <v>50000119.938010007</v>
      </c>
      <c r="X346" s="276" t="s">
        <v>5149</v>
      </c>
      <c r="AA346" t="s">
        <v>25</v>
      </c>
      <c r="AH346" s="147">
        <v>80</v>
      </c>
      <c r="AI346" s="147" t="s">
        <v>4991</v>
      </c>
      <c r="AJ346" s="186">
        <v>2480000</v>
      </c>
      <c r="AK346" s="147">
        <v>12</v>
      </c>
      <c r="AL346" s="147">
        <f t="shared" si="84"/>
        <v>406</v>
      </c>
      <c r="AM346" s="147">
        <f t="shared" si="85"/>
        <v>1006880000</v>
      </c>
      <c r="AN346" s="147"/>
    </row>
    <row r="347" spans="17:46" ht="30">
      <c r="Q347" s="97" t="s">
        <v>4998</v>
      </c>
      <c r="R347" s="93">
        <v>-40570100</v>
      </c>
      <c r="S347" s="112"/>
      <c r="T347" s="19" t="s">
        <v>5544</v>
      </c>
      <c r="U347" s="19">
        <v>13738</v>
      </c>
      <c r="V347" s="115">
        <v>1455.82</v>
      </c>
      <c r="W347" s="115">
        <f t="shared" si="75"/>
        <v>20000055.16</v>
      </c>
      <c r="X347" s="276" t="s">
        <v>5565</v>
      </c>
      <c r="Y347" t="s">
        <v>25</v>
      </c>
      <c r="AH347" s="20">
        <v>81</v>
      </c>
      <c r="AI347" s="20" t="s">
        <v>4998</v>
      </c>
      <c r="AJ347" s="115">
        <v>-24159500</v>
      </c>
      <c r="AK347" s="20">
        <v>4</v>
      </c>
      <c r="AL347" s="20">
        <f t="shared" si="84"/>
        <v>394</v>
      </c>
      <c r="AM347" s="20">
        <f t="shared" si="85"/>
        <v>-9518843000</v>
      </c>
      <c r="AN347" s="20" t="s">
        <v>5006</v>
      </c>
    </row>
    <row r="348" spans="17:46">
      <c r="Q348" s="97" t="s">
        <v>5007</v>
      </c>
      <c r="R348" s="93">
        <v>1000000</v>
      </c>
      <c r="T348" s="19" t="s">
        <v>5575</v>
      </c>
      <c r="U348" s="19">
        <v>3100</v>
      </c>
      <c r="V348" s="115">
        <v>1853.4507470000001</v>
      </c>
      <c r="W348" s="115">
        <f t="shared" si="75"/>
        <v>5745697.3157000002</v>
      </c>
      <c r="X348" s="276" t="s">
        <v>5144</v>
      </c>
      <c r="Y348" t="s">
        <v>25</v>
      </c>
      <c r="Z348" t="s">
        <v>25</v>
      </c>
      <c r="AH348" s="20">
        <v>82</v>
      </c>
      <c r="AI348" s="20" t="s">
        <v>5008</v>
      </c>
      <c r="AJ348" s="115">
        <v>400000</v>
      </c>
      <c r="AK348" s="20">
        <v>3</v>
      </c>
      <c r="AL348" s="20">
        <f t="shared" si="84"/>
        <v>390</v>
      </c>
      <c r="AM348" s="20">
        <f t="shared" si="85"/>
        <v>156000000</v>
      </c>
      <c r="AN348" s="20"/>
    </row>
    <row r="349" spans="17:46">
      <c r="Q349" s="97" t="s">
        <v>5008</v>
      </c>
      <c r="R349" s="93">
        <v>400000</v>
      </c>
      <c r="T349" s="19" t="s">
        <v>5576</v>
      </c>
      <c r="U349" s="19">
        <v>480</v>
      </c>
      <c r="V349" s="115">
        <v>1891.9962069999999</v>
      </c>
      <c r="W349" s="115">
        <f t="shared" si="75"/>
        <v>908158.17935999995</v>
      </c>
      <c r="X349" s="276" t="s">
        <v>5144</v>
      </c>
      <c r="AH349" s="147">
        <v>83</v>
      </c>
      <c r="AI349" s="147" t="s">
        <v>5015</v>
      </c>
      <c r="AJ349" s="186">
        <v>40000</v>
      </c>
      <c r="AK349" s="147">
        <v>0</v>
      </c>
      <c r="AL349" s="147">
        <f t="shared" si="84"/>
        <v>387</v>
      </c>
      <c r="AM349" s="147">
        <f t="shared" si="85"/>
        <v>15480000</v>
      </c>
      <c r="AN349" s="147"/>
    </row>
    <row r="350" spans="17:46">
      <c r="Q350" s="97" t="s">
        <v>5015</v>
      </c>
      <c r="R350" s="93">
        <v>120000</v>
      </c>
      <c r="T350" s="19" t="s">
        <v>5577</v>
      </c>
      <c r="U350" s="19">
        <v>6522</v>
      </c>
      <c r="V350" s="115">
        <v>1938.4694340000001</v>
      </c>
      <c r="W350" s="115">
        <f t="shared" si="75"/>
        <v>12642697.648548001</v>
      </c>
      <c r="X350" s="276" t="s">
        <v>5144</v>
      </c>
      <c r="AH350" s="20">
        <v>84</v>
      </c>
      <c r="AI350" s="20" t="s">
        <v>5015</v>
      </c>
      <c r="AJ350" s="115">
        <v>40000</v>
      </c>
      <c r="AK350" s="20">
        <v>5</v>
      </c>
      <c r="AL350" s="20">
        <f t="shared" si="84"/>
        <v>387</v>
      </c>
      <c r="AM350" s="20">
        <f t="shared" si="85"/>
        <v>15480000</v>
      </c>
      <c r="AN350" s="20"/>
    </row>
    <row r="351" spans="17:46">
      <c r="Q351" s="97" t="s">
        <v>5030</v>
      </c>
      <c r="R351" s="93">
        <v>500000</v>
      </c>
      <c r="T351" s="19" t="s">
        <v>5578</v>
      </c>
      <c r="U351" s="19">
        <v>6197</v>
      </c>
      <c r="V351" s="115">
        <v>1984.3985499999999</v>
      </c>
      <c r="W351" s="115">
        <f t="shared" si="75"/>
        <v>12297317.81435</v>
      </c>
      <c r="X351" s="276" t="s">
        <v>5144</v>
      </c>
      <c r="AH351" s="20">
        <v>85</v>
      </c>
      <c r="AI351" s="20" t="s">
        <v>5024</v>
      </c>
      <c r="AJ351" s="115">
        <v>200000</v>
      </c>
      <c r="AK351" s="20">
        <v>1</v>
      </c>
      <c r="AL351" s="20">
        <f t="shared" si="84"/>
        <v>382</v>
      </c>
      <c r="AM351" s="20">
        <f t="shared" si="85"/>
        <v>76400000</v>
      </c>
      <c r="AN351" s="20"/>
    </row>
    <row r="352" spans="17:46">
      <c r="Q352" s="97" t="s">
        <v>5020</v>
      </c>
      <c r="R352" s="93">
        <v>744000</v>
      </c>
      <c r="T352" s="19" t="s">
        <v>5579</v>
      </c>
      <c r="U352" s="19">
        <v>4646</v>
      </c>
      <c r="V352" s="115">
        <v>1928.464023</v>
      </c>
      <c r="W352" s="115">
        <f t="shared" si="75"/>
        <v>8959643.8508579992</v>
      </c>
      <c r="X352" s="276" t="s">
        <v>5144</v>
      </c>
      <c r="AH352" s="20">
        <v>86</v>
      </c>
      <c r="AI352" s="20" t="s">
        <v>5028</v>
      </c>
      <c r="AJ352" s="115">
        <v>500000</v>
      </c>
      <c r="AK352" s="20">
        <v>2</v>
      </c>
      <c r="AL352" s="20">
        <f t="shared" ref="AL352:AL381" si="86">AK352+AL353</f>
        <v>381</v>
      </c>
      <c r="AM352" s="20">
        <f t="shared" ref="AM352:AM381" si="87">AJ352*AL352</f>
        <v>190500000</v>
      </c>
      <c r="AN352" s="20"/>
    </row>
    <row r="353" spans="17:45">
      <c r="Q353" s="97" t="s">
        <v>5046</v>
      </c>
      <c r="R353" s="93">
        <v>65000</v>
      </c>
      <c r="T353" s="19" t="s">
        <v>5580</v>
      </c>
      <c r="U353" s="19">
        <v>7668</v>
      </c>
      <c r="V353" s="115">
        <v>1976.2774959999999</v>
      </c>
      <c r="W353" s="115">
        <f t="shared" si="75"/>
        <v>15154095.839328</v>
      </c>
      <c r="X353" s="276" t="s">
        <v>5144</v>
      </c>
      <c r="AH353" s="20">
        <v>87</v>
      </c>
      <c r="AI353" s="20" t="s">
        <v>5030</v>
      </c>
      <c r="AJ353" s="115">
        <v>500000</v>
      </c>
      <c r="AK353" s="20">
        <v>3</v>
      </c>
      <c r="AL353" s="20">
        <f t="shared" si="86"/>
        <v>379</v>
      </c>
      <c r="AM353" s="20">
        <f t="shared" si="87"/>
        <v>189500000</v>
      </c>
      <c r="AN353" s="20"/>
    </row>
    <row r="354" spans="17:45" ht="30">
      <c r="Q354" s="97" t="s">
        <v>5052</v>
      </c>
      <c r="R354" s="93">
        <v>-14053702</v>
      </c>
      <c r="T354" s="19" t="s">
        <v>5592</v>
      </c>
      <c r="U354" s="19">
        <v>-43325</v>
      </c>
      <c r="V354" s="115">
        <v>2146.5548840000001</v>
      </c>
      <c r="W354" s="115">
        <f t="shared" si="75"/>
        <v>-92999490.349300012</v>
      </c>
      <c r="X354" s="276" t="s">
        <v>5593</v>
      </c>
      <c r="AH354" s="20">
        <v>88</v>
      </c>
      <c r="AI354" s="20" t="s">
        <v>5020</v>
      </c>
      <c r="AJ354" s="115">
        <v>250000</v>
      </c>
      <c r="AK354" s="20">
        <v>0</v>
      </c>
      <c r="AL354" s="20">
        <f t="shared" si="86"/>
        <v>376</v>
      </c>
      <c r="AM354" s="20">
        <f t="shared" si="87"/>
        <v>94000000</v>
      </c>
      <c r="AN354" s="20"/>
    </row>
    <row r="355" spans="17:45">
      <c r="Q355" s="97" t="s">
        <v>5021</v>
      </c>
      <c r="R355" s="93">
        <v>3555678</v>
      </c>
      <c r="T355" s="187" t="s">
        <v>5592</v>
      </c>
      <c r="U355" s="187">
        <v>-589</v>
      </c>
      <c r="V355" s="186">
        <v>2146.5548840000001</v>
      </c>
      <c r="W355" s="186">
        <f t="shared" si="75"/>
        <v>-1264320.8266760001</v>
      </c>
      <c r="X355" s="275" t="s">
        <v>5598</v>
      </c>
      <c r="AH355" s="252">
        <v>89</v>
      </c>
      <c r="AI355" s="252" t="s">
        <v>5020</v>
      </c>
      <c r="AJ355" s="243">
        <v>245000</v>
      </c>
      <c r="AK355" s="252">
        <v>16</v>
      </c>
      <c r="AL355" s="252">
        <f t="shared" si="86"/>
        <v>376</v>
      </c>
      <c r="AM355" s="252">
        <f t="shared" si="87"/>
        <v>92120000</v>
      </c>
      <c r="AN355" s="252"/>
    </row>
    <row r="356" spans="17:45">
      <c r="Q356" s="97" t="s">
        <v>5088</v>
      </c>
      <c r="R356" s="93">
        <v>3495</v>
      </c>
      <c r="S356" t="s">
        <v>25</v>
      </c>
      <c r="T356" s="19" t="s">
        <v>5605</v>
      </c>
      <c r="U356" s="19">
        <v>20888</v>
      </c>
      <c r="V356" s="115">
        <v>2428.4521530000002</v>
      </c>
      <c r="W356" s="115">
        <f t="shared" si="75"/>
        <v>50725508.571864001</v>
      </c>
      <c r="X356" s="276" t="s">
        <v>5144</v>
      </c>
      <c r="Y356" t="s">
        <v>25</v>
      </c>
      <c r="AH356" s="20">
        <v>90</v>
      </c>
      <c r="AI356" s="20" t="s">
        <v>5056</v>
      </c>
      <c r="AJ356" s="115">
        <v>312598</v>
      </c>
      <c r="AK356" s="20">
        <v>0</v>
      </c>
      <c r="AL356" s="20">
        <f t="shared" si="86"/>
        <v>360</v>
      </c>
      <c r="AM356" s="20">
        <f t="shared" si="87"/>
        <v>112535280</v>
      </c>
      <c r="AN356" s="20"/>
    </row>
    <row r="357" spans="17:45">
      <c r="Q357" s="97" t="s">
        <v>5094</v>
      </c>
      <c r="R357" s="93">
        <v>6000000</v>
      </c>
      <c r="T357" s="19" t="s">
        <v>5607</v>
      </c>
      <c r="U357" s="19">
        <v>21663</v>
      </c>
      <c r="V357" s="115">
        <v>2308.0067819999999</v>
      </c>
      <c r="W357" s="115">
        <f t="shared" si="75"/>
        <v>49998350.918466002</v>
      </c>
      <c r="X357" s="276" t="s">
        <v>5610</v>
      </c>
      <c r="Y357" t="s">
        <v>25</v>
      </c>
      <c r="AH357" s="20">
        <v>91</v>
      </c>
      <c r="AI357" s="20" t="s">
        <v>5056</v>
      </c>
      <c r="AJ357" s="115">
        <v>780000</v>
      </c>
      <c r="AK357" s="20">
        <v>0</v>
      </c>
      <c r="AL357" s="20">
        <f t="shared" si="86"/>
        <v>360</v>
      </c>
      <c r="AM357" s="20">
        <f t="shared" si="87"/>
        <v>280800000</v>
      </c>
      <c r="AN357" s="20"/>
    </row>
    <row r="358" spans="17:45" ht="18" customHeight="1">
      <c r="Q358" s="97" t="s">
        <v>5097</v>
      </c>
      <c r="R358" s="93">
        <v>17220</v>
      </c>
      <c r="T358" s="19" t="s">
        <v>5607</v>
      </c>
      <c r="U358" s="19">
        <v>977</v>
      </c>
      <c r="V358" s="115">
        <v>2335.6821479999999</v>
      </c>
      <c r="W358" s="115">
        <f t="shared" si="75"/>
        <v>2281961.458596</v>
      </c>
      <c r="X358" s="276" t="s">
        <v>5144</v>
      </c>
      <c r="Z358" t="s">
        <v>25</v>
      </c>
      <c r="AH358" s="193">
        <v>92</v>
      </c>
      <c r="AI358" s="193" t="s">
        <v>5056</v>
      </c>
      <c r="AJ358" s="194">
        <v>-300000</v>
      </c>
      <c r="AK358" s="193">
        <v>1</v>
      </c>
      <c r="AL358" s="193">
        <f t="shared" si="86"/>
        <v>360</v>
      </c>
      <c r="AM358" s="193">
        <f t="shared" si="87"/>
        <v>-108000000</v>
      </c>
      <c r="AN358" s="193"/>
      <c r="AS358" t="s">
        <v>25</v>
      </c>
    </row>
    <row r="359" spans="17:45" ht="21" customHeight="1">
      <c r="Q359" s="97" t="s">
        <v>5098</v>
      </c>
      <c r="R359" s="93">
        <v>8249</v>
      </c>
      <c r="T359" s="19" t="s">
        <v>5616</v>
      </c>
      <c r="U359" s="19">
        <v>4155</v>
      </c>
      <c r="V359" s="115">
        <v>2647</v>
      </c>
      <c r="W359" s="115">
        <f t="shared" si="75"/>
        <v>10998285</v>
      </c>
      <c r="X359" s="276" t="s">
        <v>5144</v>
      </c>
      <c r="Y359" t="s">
        <v>25</v>
      </c>
      <c r="Z359" t="s">
        <v>25</v>
      </c>
      <c r="AA359" t="s">
        <v>25</v>
      </c>
      <c r="AH359" s="20">
        <v>93</v>
      </c>
      <c r="AI359" s="20" t="s">
        <v>5021</v>
      </c>
      <c r="AJ359" s="115">
        <v>300000</v>
      </c>
      <c r="AK359" s="20">
        <v>0</v>
      </c>
      <c r="AL359" s="20">
        <f t="shared" si="86"/>
        <v>359</v>
      </c>
      <c r="AM359" s="20">
        <f t="shared" si="87"/>
        <v>107700000</v>
      </c>
      <c r="AN359" s="20"/>
    </row>
    <row r="360" spans="17:45">
      <c r="Q360" s="97" t="s">
        <v>5100</v>
      </c>
      <c r="R360" s="93">
        <v>6937</v>
      </c>
      <c r="T360" s="19" t="s">
        <v>5617</v>
      </c>
      <c r="U360" s="19">
        <v>351</v>
      </c>
      <c r="V360" s="115">
        <v>2800.6238229999999</v>
      </c>
      <c r="W360" s="115">
        <f t="shared" si="75"/>
        <v>983018.96187300002</v>
      </c>
      <c r="X360" s="276" t="s">
        <v>5144</v>
      </c>
      <c r="Y360" t="s">
        <v>25</v>
      </c>
      <c r="AH360" s="20">
        <v>94</v>
      </c>
      <c r="AI360" s="20" t="s">
        <v>5021</v>
      </c>
      <c r="AJ360" s="115">
        <v>8660000</v>
      </c>
      <c r="AK360" s="20">
        <v>8</v>
      </c>
      <c r="AL360" s="20">
        <f t="shared" si="86"/>
        <v>359</v>
      </c>
      <c r="AM360" s="20">
        <f t="shared" si="87"/>
        <v>3108940000</v>
      </c>
      <c r="AN360" s="20"/>
    </row>
    <row r="361" spans="17:45">
      <c r="Q361" s="97" t="s">
        <v>5100</v>
      </c>
      <c r="R361" s="93">
        <v>4046552</v>
      </c>
      <c r="T361" s="19" t="s">
        <v>5621</v>
      </c>
      <c r="U361" s="19">
        <v>5877</v>
      </c>
      <c r="V361" s="115">
        <v>2901.0160000000001</v>
      </c>
      <c r="W361" s="115">
        <f t="shared" si="75"/>
        <v>17049271.032000002</v>
      </c>
      <c r="X361" s="276" t="s">
        <v>5144</v>
      </c>
      <c r="Y361" t="s">
        <v>25</v>
      </c>
      <c r="AA361" t="s">
        <v>25</v>
      </c>
      <c r="AH361" s="147">
        <v>95</v>
      </c>
      <c r="AI361" s="147" t="s">
        <v>5073</v>
      </c>
      <c r="AJ361" s="186">
        <v>200000</v>
      </c>
      <c r="AK361" s="147">
        <v>3</v>
      </c>
      <c r="AL361" s="147">
        <f t="shared" si="86"/>
        <v>351</v>
      </c>
      <c r="AM361" s="147">
        <f t="shared" si="87"/>
        <v>70200000</v>
      </c>
      <c r="AN361" s="147"/>
    </row>
    <row r="362" spans="17:45" ht="18.75" customHeight="1">
      <c r="Q362" s="97" t="s">
        <v>5103</v>
      </c>
      <c r="R362" s="93">
        <v>-3884943</v>
      </c>
      <c r="T362" s="19" t="s">
        <v>5624</v>
      </c>
      <c r="U362" s="19">
        <v>2374</v>
      </c>
      <c r="V362" s="115">
        <v>2877</v>
      </c>
      <c r="W362" s="115">
        <f t="shared" ref="W362:W395" si="88">U362*V362</f>
        <v>6829998</v>
      </c>
      <c r="X362" s="276" t="s">
        <v>5144</v>
      </c>
      <c r="Y362" t="s">
        <v>25</v>
      </c>
      <c r="AH362" s="147">
        <v>96</v>
      </c>
      <c r="AI362" s="147" t="s">
        <v>5076</v>
      </c>
      <c r="AJ362" s="186">
        <v>20000</v>
      </c>
      <c r="AK362" s="147">
        <v>1</v>
      </c>
      <c r="AL362" s="147">
        <f t="shared" si="86"/>
        <v>348</v>
      </c>
      <c r="AM362" s="147">
        <f t="shared" si="87"/>
        <v>6960000</v>
      </c>
      <c r="AN362" s="147"/>
    </row>
    <row r="363" spans="17:45">
      <c r="Q363" s="97" t="s">
        <v>5112</v>
      </c>
      <c r="R363" s="93">
        <v>6022</v>
      </c>
      <c r="T363" s="19" t="s">
        <v>4214</v>
      </c>
      <c r="U363" s="19">
        <v>2532</v>
      </c>
      <c r="V363" s="115">
        <v>2757.7444</v>
      </c>
      <c r="W363" s="115">
        <f t="shared" si="88"/>
        <v>6982608.8207999999</v>
      </c>
      <c r="X363" s="276" t="s">
        <v>5144</v>
      </c>
      <c r="AH363" s="20">
        <v>97</v>
      </c>
      <c r="AI363" s="20" t="s">
        <v>5086</v>
      </c>
      <c r="AJ363" s="115">
        <v>14340000</v>
      </c>
      <c r="AK363" s="20">
        <v>7</v>
      </c>
      <c r="AL363" s="20">
        <f t="shared" si="86"/>
        <v>347</v>
      </c>
      <c r="AM363" s="20">
        <f t="shared" si="87"/>
        <v>4975980000</v>
      </c>
      <c r="AN363" s="20"/>
    </row>
    <row r="364" spans="17:45">
      <c r="Q364" s="97" t="s">
        <v>5139</v>
      </c>
      <c r="R364" s="93">
        <v>400000</v>
      </c>
      <c r="T364" s="19" t="s">
        <v>4214</v>
      </c>
      <c r="U364" s="19">
        <v>4987</v>
      </c>
      <c r="V364" s="115">
        <v>2757.7444</v>
      </c>
      <c r="W364" s="115">
        <f t="shared" si="88"/>
        <v>13752871.322800001</v>
      </c>
      <c r="X364" s="276" t="s">
        <v>5642</v>
      </c>
      <c r="AB364" t="s">
        <v>25</v>
      </c>
      <c r="AH364" s="20">
        <v>98</v>
      </c>
      <c r="AI364" s="20" t="s">
        <v>5094</v>
      </c>
      <c r="AJ364" s="115">
        <v>10000000</v>
      </c>
      <c r="AK364" s="20">
        <v>6</v>
      </c>
      <c r="AL364" s="20">
        <f t="shared" si="86"/>
        <v>340</v>
      </c>
      <c r="AM364" s="20">
        <f t="shared" si="87"/>
        <v>3400000000</v>
      </c>
      <c r="AN364" s="20" t="s">
        <v>4692</v>
      </c>
    </row>
    <row r="365" spans="17:45">
      <c r="Q365" s="97" t="s">
        <v>5143</v>
      </c>
      <c r="R365" s="93">
        <v>92847</v>
      </c>
      <c r="T365" s="19" t="s">
        <v>4214</v>
      </c>
      <c r="U365" s="19">
        <v>997</v>
      </c>
      <c r="V365" s="115">
        <v>2757.7444</v>
      </c>
      <c r="W365" s="115">
        <f t="shared" si="88"/>
        <v>2749471.1668000002</v>
      </c>
      <c r="X365" s="276" t="s">
        <v>5643</v>
      </c>
      <c r="Y365" t="s">
        <v>25</v>
      </c>
      <c r="AA365" t="s">
        <v>25</v>
      </c>
      <c r="AH365" s="20">
        <v>99</v>
      </c>
      <c r="AI365" s="20" t="s">
        <v>5100</v>
      </c>
      <c r="AJ365" s="115">
        <v>4033949</v>
      </c>
      <c r="AK365" s="20">
        <v>2</v>
      </c>
      <c r="AL365" s="20">
        <f t="shared" si="86"/>
        <v>334</v>
      </c>
      <c r="AM365" s="20">
        <f t="shared" si="87"/>
        <v>1347338966</v>
      </c>
      <c r="AN365" s="20" t="s">
        <v>5102</v>
      </c>
    </row>
    <row r="366" spans="17:45" ht="30">
      <c r="Q366" s="97" t="s">
        <v>5143</v>
      </c>
      <c r="R366" s="93">
        <v>-100000</v>
      </c>
      <c r="T366" s="187" t="s">
        <v>5646</v>
      </c>
      <c r="U366" s="187">
        <v>-18</v>
      </c>
      <c r="V366" s="186">
        <v>2675</v>
      </c>
      <c r="W366" s="186">
        <f t="shared" si="88"/>
        <v>-48150</v>
      </c>
      <c r="X366" s="275" t="s">
        <v>5647</v>
      </c>
      <c r="Y366" t="s">
        <v>25</v>
      </c>
      <c r="AA366" t="s">
        <v>25</v>
      </c>
      <c r="AH366" s="147">
        <v>100</v>
      </c>
      <c r="AI366" s="147" t="s">
        <v>5106</v>
      </c>
      <c r="AJ366" s="186">
        <v>11500000</v>
      </c>
      <c r="AK366" s="147">
        <v>2</v>
      </c>
      <c r="AL366" s="147">
        <f t="shared" si="86"/>
        <v>332</v>
      </c>
      <c r="AM366" s="147">
        <f t="shared" si="87"/>
        <v>3818000000</v>
      </c>
      <c r="AN366" s="147" t="s">
        <v>5108</v>
      </c>
    </row>
    <row r="367" spans="17:45">
      <c r="Q367" s="97" t="s">
        <v>5147</v>
      </c>
      <c r="R367" s="93">
        <v>10000000</v>
      </c>
      <c r="T367" s="19" t="s">
        <v>5650</v>
      </c>
      <c r="U367" s="19">
        <v>2874</v>
      </c>
      <c r="V367" s="115">
        <v>2613.1284000000001</v>
      </c>
      <c r="W367" s="115">
        <f t="shared" si="88"/>
        <v>7510131.0216000006</v>
      </c>
      <c r="X367" s="276" t="s">
        <v>5144</v>
      </c>
      <c r="Y367" t="s">
        <v>25</v>
      </c>
      <c r="AH367" s="147">
        <v>101</v>
      </c>
      <c r="AI367" s="147" t="s">
        <v>5112</v>
      </c>
      <c r="AJ367" s="186">
        <v>250000</v>
      </c>
      <c r="AK367" s="147">
        <v>3</v>
      </c>
      <c r="AL367" s="147">
        <f t="shared" si="86"/>
        <v>330</v>
      </c>
      <c r="AM367" s="147">
        <f t="shared" si="87"/>
        <v>82500000</v>
      </c>
      <c r="AN367" s="147"/>
    </row>
    <row r="368" spans="17:45">
      <c r="Q368" s="97" t="s">
        <v>5152</v>
      </c>
      <c r="R368" s="93">
        <v>-400000</v>
      </c>
      <c r="T368" s="19" t="s">
        <v>5657</v>
      </c>
      <c r="U368" s="19">
        <v>2847</v>
      </c>
      <c r="V368" s="115">
        <v>2556.3841000000002</v>
      </c>
      <c r="W368" s="115">
        <f t="shared" si="88"/>
        <v>7278025.5327000003</v>
      </c>
      <c r="X368" s="276" t="s">
        <v>5144</v>
      </c>
      <c r="AH368" s="147">
        <v>102</v>
      </c>
      <c r="AI368" s="147" t="s">
        <v>5137</v>
      </c>
      <c r="AJ368" s="186">
        <v>6000000</v>
      </c>
      <c r="AK368" s="147">
        <v>1</v>
      </c>
      <c r="AL368" s="147">
        <f t="shared" si="86"/>
        <v>327</v>
      </c>
      <c r="AM368" s="147">
        <f t="shared" si="87"/>
        <v>1962000000</v>
      </c>
      <c r="AN368" s="147" t="s">
        <v>5108</v>
      </c>
    </row>
    <row r="369" spans="17:45">
      <c r="Q369" s="97" t="s">
        <v>5156</v>
      </c>
      <c r="R369" s="93">
        <v>5649</v>
      </c>
      <c r="T369" s="19" t="s">
        <v>5657</v>
      </c>
      <c r="U369" s="19">
        <v>1222</v>
      </c>
      <c r="V369" s="115">
        <v>2556.3841000000002</v>
      </c>
      <c r="W369" s="115">
        <f t="shared" si="88"/>
        <v>3123901.3702000002</v>
      </c>
      <c r="X369" s="276" t="s">
        <v>5658</v>
      </c>
      <c r="AH369" s="147">
        <v>103</v>
      </c>
      <c r="AI369" s="147" t="s">
        <v>5139</v>
      </c>
      <c r="AJ369" s="186">
        <v>1500000</v>
      </c>
      <c r="AK369" s="147">
        <v>6</v>
      </c>
      <c r="AL369" s="147">
        <f t="shared" si="86"/>
        <v>326</v>
      </c>
      <c r="AM369" s="147">
        <f t="shared" si="87"/>
        <v>489000000</v>
      </c>
      <c r="AN369" s="147" t="s">
        <v>5108</v>
      </c>
    </row>
    <row r="370" spans="17:45">
      <c r="Q370" s="97" t="s">
        <v>5158</v>
      </c>
      <c r="R370" s="93">
        <v>460000</v>
      </c>
      <c r="T370" s="19" t="s">
        <v>5666</v>
      </c>
      <c r="U370" s="19">
        <v>73</v>
      </c>
      <c r="V370" s="115">
        <v>2672.0459999999998</v>
      </c>
      <c r="W370" s="115">
        <f t="shared" si="88"/>
        <v>195059.35799999998</v>
      </c>
      <c r="X370" s="276" t="s">
        <v>5144</v>
      </c>
      <c r="Z370" t="s">
        <v>25</v>
      </c>
      <c r="AH370" s="20">
        <v>104</v>
      </c>
      <c r="AI370" s="20" t="s">
        <v>960</v>
      </c>
      <c r="AJ370" s="115">
        <v>-3960043</v>
      </c>
      <c r="AK370" s="20">
        <v>2</v>
      </c>
      <c r="AL370" s="20">
        <f t="shared" si="86"/>
        <v>320</v>
      </c>
      <c r="AM370" s="20">
        <f t="shared" si="87"/>
        <v>-1267213760</v>
      </c>
      <c r="AN370" s="20"/>
    </row>
    <row r="371" spans="17:45" ht="30">
      <c r="Q371" s="97" t="s">
        <v>5159</v>
      </c>
      <c r="R371" s="93">
        <v>1300000</v>
      </c>
      <c r="T371" s="187" t="s">
        <v>5671</v>
      </c>
      <c r="U371" s="187">
        <v>-19</v>
      </c>
      <c r="V371" s="186">
        <v>2598.1260000000002</v>
      </c>
      <c r="W371" s="186">
        <f t="shared" si="88"/>
        <v>-49364.394</v>
      </c>
      <c r="X371" s="275" t="s">
        <v>5647</v>
      </c>
      <c r="AH371" s="20">
        <v>105</v>
      </c>
      <c r="AI371" s="20" t="s">
        <v>5158</v>
      </c>
      <c r="AJ371" s="115">
        <v>230000</v>
      </c>
      <c r="AK371" s="20">
        <v>0</v>
      </c>
      <c r="AL371" s="20">
        <f t="shared" si="86"/>
        <v>318</v>
      </c>
      <c r="AM371" s="20">
        <f t="shared" si="87"/>
        <v>73140000</v>
      </c>
      <c r="AN371" s="20"/>
    </row>
    <row r="372" spans="17:45" ht="30">
      <c r="Q372" s="97" t="s">
        <v>5159</v>
      </c>
      <c r="R372" s="93">
        <v>7300000</v>
      </c>
      <c r="S372" t="s">
        <v>25</v>
      </c>
      <c r="T372" s="19" t="s">
        <v>5671</v>
      </c>
      <c r="U372" s="19">
        <v>332</v>
      </c>
      <c r="V372" s="115">
        <v>2598.1260000000002</v>
      </c>
      <c r="W372" s="115">
        <f t="shared" si="88"/>
        <v>862577.83200000005</v>
      </c>
      <c r="X372" s="276" t="s">
        <v>5672</v>
      </c>
      <c r="Y372" t="s">
        <v>25</v>
      </c>
      <c r="AH372" s="147">
        <v>106</v>
      </c>
      <c r="AI372" s="147" t="s">
        <v>5158</v>
      </c>
      <c r="AJ372" s="186">
        <v>230000</v>
      </c>
      <c r="AK372" s="147">
        <v>1</v>
      </c>
      <c r="AL372" s="147">
        <f t="shared" si="86"/>
        <v>318</v>
      </c>
      <c r="AM372" s="147">
        <f t="shared" si="87"/>
        <v>73140000</v>
      </c>
      <c r="AN372" s="147"/>
      <c r="AR372" t="s">
        <v>25</v>
      </c>
    </row>
    <row r="373" spans="17:45">
      <c r="Q373" s="97" t="s">
        <v>977</v>
      </c>
      <c r="R373" s="93">
        <v>21203</v>
      </c>
      <c r="T373" s="19" t="s">
        <v>5674</v>
      </c>
      <c r="U373" s="19">
        <v>346</v>
      </c>
      <c r="V373" s="115">
        <v>2659.8510000000001</v>
      </c>
      <c r="W373" s="115">
        <f t="shared" si="88"/>
        <v>920308.446</v>
      </c>
      <c r="X373" s="276" t="s">
        <v>5144</v>
      </c>
      <c r="AH373" s="147">
        <v>107</v>
      </c>
      <c r="AI373" s="147" t="s">
        <v>5159</v>
      </c>
      <c r="AJ373" s="186">
        <v>500000</v>
      </c>
      <c r="AK373" s="147">
        <v>1</v>
      </c>
      <c r="AL373" s="147">
        <f t="shared" si="86"/>
        <v>317</v>
      </c>
      <c r="AM373" s="147">
        <f t="shared" si="87"/>
        <v>158500000</v>
      </c>
      <c r="AN373" s="147"/>
    </row>
    <row r="374" spans="17:45">
      <c r="Q374" s="97" t="s">
        <v>4258</v>
      </c>
      <c r="R374" s="93">
        <v>34550</v>
      </c>
      <c r="T374" s="19" t="s">
        <v>5676</v>
      </c>
      <c r="U374" s="19">
        <v>1722</v>
      </c>
      <c r="V374" s="115">
        <v>2692.1079220000001</v>
      </c>
      <c r="W374" s="115">
        <f t="shared" si="88"/>
        <v>4635809.8416840006</v>
      </c>
      <c r="X374" s="276" t="s">
        <v>5144</v>
      </c>
      <c r="Y374" t="s">
        <v>25</v>
      </c>
      <c r="AH374" s="20">
        <v>108</v>
      </c>
      <c r="AI374" s="20" t="s">
        <v>5162</v>
      </c>
      <c r="AJ374" s="115">
        <v>-880000</v>
      </c>
      <c r="AK374" s="20">
        <v>4</v>
      </c>
      <c r="AL374" s="20">
        <f t="shared" si="86"/>
        <v>316</v>
      </c>
      <c r="AM374" s="20">
        <f t="shared" si="87"/>
        <v>-278080000</v>
      </c>
      <c r="AN374" s="20"/>
      <c r="AS374" t="s">
        <v>25</v>
      </c>
    </row>
    <row r="375" spans="17:45" ht="30">
      <c r="Q375" s="97" t="s">
        <v>5157</v>
      </c>
      <c r="R375" s="93">
        <v>-2134406</v>
      </c>
      <c r="T375" s="187" t="s">
        <v>5680</v>
      </c>
      <c r="U375" s="187">
        <v>-44</v>
      </c>
      <c r="V375" s="186">
        <v>2725.4</v>
      </c>
      <c r="W375" s="186">
        <f t="shared" si="88"/>
        <v>-119917.6</v>
      </c>
      <c r="X375" s="275" t="s">
        <v>5647</v>
      </c>
      <c r="AH375" s="193">
        <v>109</v>
      </c>
      <c r="AI375" s="193" t="s">
        <v>5166</v>
      </c>
      <c r="AJ375" s="194">
        <v>873000</v>
      </c>
      <c r="AK375" s="193">
        <v>0</v>
      </c>
      <c r="AL375" s="193">
        <f t="shared" si="86"/>
        <v>312</v>
      </c>
      <c r="AM375" s="193">
        <f t="shared" si="87"/>
        <v>272376000</v>
      </c>
      <c r="AN375" s="193" t="s">
        <v>5108</v>
      </c>
    </row>
    <row r="376" spans="17:45">
      <c r="Q376" s="97" t="s">
        <v>5196</v>
      </c>
      <c r="R376" s="93">
        <v>-618906</v>
      </c>
      <c r="T376" s="19" t="s">
        <v>5680</v>
      </c>
      <c r="U376" s="19">
        <v>106</v>
      </c>
      <c r="V376" s="115">
        <v>2725.4</v>
      </c>
      <c r="W376" s="115">
        <f t="shared" si="88"/>
        <v>288892.40000000002</v>
      </c>
      <c r="X376" s="276" t="s">
        <v>452</v>
      </c>
      <c r="AH376" s="20">
        <v>110</v>
      </c>
      <c r="AI376" s="20" t="s">
        <v>5166</v>
      </c>
      <c r="AJ376" s="115">
        <v>127000</v>
      </c>
      <c r="AK376" s="20">
        <v>0</v>
      </c>
      <c r="AL376" s="20">
        <f t="shared" si="86"/>
        <v>312</v>
      </c>
      <c r="AM376" s="20">
        <f t="shared" si="87"/>
        <v>39624000</v>
      </c>
      <c r="AN376" s="20" t="s">
        <v>5108</v>
      </c>
    </row>
    <row r="377" spans="17:45" ht="30">
      <c r="Q377" s="97" t="s">
        <v>5199</v>
      </c>
      <c r="R377" s="93">
        <v>-54615</v>
      </c>
      <c r="T377" s="187" t="s">
        <v>5665</v>
      </c>
      <c r="U377" s="187">
        <v>-55</v>
      </c>
      <c r="V377" s="186">
        <v>2730.81</v>
      </c>
      <c r="W377" s="186">
        <f t="shared" si="88"/>
        <v>-150194.54999999999</v>
      </c>
      <c r="X377" s="275" t="s">
        <v>5647</v>
      </c>
      <c r="Y377" t="s">
        <v>25</v>
      </c>
      <c r="AH377" s="20">
        <v>111</v>
      </c>
      <c r="AI377" s="20" t="s">
        <v>5166</v>
      </c>
      <c r="AJ377" s="115">
        <v>73000</v>
      </c>
      <c r="AK377" s="20">
        <v>1</v>
      </c>
      <c r="AL377" s="20">
        <f t="shared" si="86"/>
        <v>312</v>
      </c>
      <c r="AM377" s="20">
        <f t="shared" si="87"/>
        <v>22776000</v>
      </c>
      <c r="AN377" s="20"/>
      <c r="AR377" t="s">
        <v>25</v>
      </c>
    </row>
    <row r="378" spans="17:45" ht="30">
      <c r="Q378" s="97" t="s">
        <v>5242</v>
      </c>
      <c r="R378" s="93">
        <v>18000000</v>
      </c>
      <c r="T378" s="187" t="s">
        <v>5705</v>
      </c>
      <c r="U378" s="187">
        <v>-66</v>
      </c>
      <c r="V378" s="186">
        <v>3031</v>
      </c>
      <c r="W378" s="186">
        <f t="shared" si="88"/>
        <v>-200046</v>
      </c>
      <c r="X378" s="275" t="s">
        <v>5647</v>
      </c>
      <c r="Y378" t="s">
        <v>25</v>
      </c>
      <c r="AH378" s="20">
        <v>112</v>
      </c>
      <c r="AI378" s="20" t="s">
        <v>977</v>
      </c>
      <c r="AJ378" s="115">
        <v>4300000</v>
      </c>
      <c r="AK378" s="20">
        <v>1</v>
      </c>
      <c r="AL378" s="20">
        <f t="shared" si="86"/>
        <v>311</v>
      </c>
      <c r="AM378" s="20">
        <f t="shared" si="87"/>
        <v>1337300000</v>
      </c>
      <c r="AN378" s="20"/>
    </row>
    <row r="379" spans="17:45" ht="30">
      <c r="Q379" s="97" t="s">
        <v>5294</v>
      </c>
      <c r="R379" s="93">
        <v>20000000</v>
      </c>
      <c r="T379" s="187" t="s">
        <v>5715</v>
      </c>
      <c r="U379" s="187">
        <v>-42</v>
      </c>
      <c r="V379" s="186">
        <v>2883</v>
      </c>
      <c r="W379" s="186">
        <f t="shared" si="88"/>
        <v>-121086</v>
      </c>
      <c r="X379" s="275" t="s">
        <v>5647</v>
      </c>
      <c r="AH379" s="20">
        <v>113</v>
      </c>
      <c r="AI379" s="20" t="s">
        <v>5034</v>
      </c>
      <c r="AJ379" s="115">
        <v>1600000</v>
      </c>
      <c r="AK379" s="20">
        <v>0</v>
      </c>
      <c r="AL379" s="20">
        <f t="shared" si="86"/>
        <v>310</v>
      </c>
      <c r="AM379" s="20">
        <f t="shared" si="87"/>
        <v>496000000</v>
      </c>
      <c r="AN379" s="20"/>
    </row>
    <row r="380" spans="17:45">
      <c r="Q380" s="97" t="s">
        <v>5304</v>
      </c>
      <c r="R380" s="93">
        <v>27694196</v>
      </c>
      <c r="T380" s="19" t="s">
        <v>5731</v>
      </c>
      <c r="U380" s="19">
        <v>25901</v>
      </c>
      <c r="V380" s="115">
        <v>2258.9090000000001</v>
      </c>
      <c r="W380" s="115">
        <f t="shared" si="88"/>
        <v>58508002.009000003</v>
      </c>
      <c r="X380" s="276" t="s">
        <v>5144</v>
      </c>
      <c r="AH380" s="20">
        <v>114</v>
      </c>
      <c r="AI380" s="20" t="s">
        <v>4258</v>
      </c>
      <c r="AJ380" s="115">
        <v>-10000000</v>
      </c>
      <c r="AK380" s="20">
        <v>1</v>
      </c>
      <c r="AL380" s="20">
        <f t="shared" si="86"/>
        <v>310</v>
      </c>
      <c r="AM380" s="20">
        <f t="shared" si="87"/>
        <v>-3100000000</v>
      </c>
      <c r="AN380" s="20" t="s">
        <v>5173</v>
      </c>
    </row>
    <row r="381" spans="17:45">
      <c r="Q381" s="97" t="s">
        <v>5383</v>
      </c>
      <c r="R381" s="93">
        <v>7211722</v>
      </c>
      <c r="T381" s="19" t="s">
        <v>5734</v>
      </c>
      <c r="U381" s="19">
        <v>951</v>
      </c>
      <c r="V381" s="115">
        <v>2361.2150799999999</v>
      </c>
      <c r="W381" s="115">
        <f t="shared" si="88"/>
        <v>2245515.5410799999</v>
      </c>
      <c r="X381" s="276" t="s">
        <v>5144</v>
      </c>
      <c r="Y381" t="s">
        <v>25</v>
      </c>
      <c r="AH381" s="20">
        <v>115</v>
      </c>
      <c r="AI381" s="20" t="s">
        <v>5172</v>
      </c>
      <c r="AJ381" s="115">
        <v>571000</v>
      </c>
      <c r="AK381" s="20">
        <v>4</v>
      </c>
      <c r="AL381" s="20">
        <f t="shared" si="86"/>
        <v>309</v>
      </c>
      <c r="AM381" s="20">
        <f t="shared" si="87"/>
        <v>176439000</v>
      </c>
      <c r="AN381" s="20"/>
      <c r="AP381" t="s">
        <v>25</v>
      </c>
    </row>
    <row r="382" spans="17:45">
      <c r="Q382" s="97" t="s">
        <v>5384</v>
      </c>
      <c r="R382" s="93">
        <v>8481864</v>
      </c>
      <c r="T382" s="19" t="s">
        <v>5737</v>
      </c>
      <c r="U382" s="19">
        <v>7622</v>
      </c>
      <c r="V382" s="115">
        <v>2414.6810999999998</v>
      </c>
      <c r="W382" s="115">
        <f t="shared" si="88"/>
        <v>18404699.3442</v>
      </c>
      <c r="X382" s="276" t="s">
        <v>5144</v>
      </c>
      <c r="AH382" s="20">
        <v>116</v>
      </c>
      <c r="AI382" s="20" t="s">
        <v>5174</v>
      </c>
      <c r="AJ382" s="115">
        <v>200000</v>
      </c>
      <c r="AK382" s="20">
        <v>3</v>
      </c>
      <c r="AL382" s="20">
        <f t="shared" ref="AL382:AL393" si="89">AK382+AL383</f>
        <v>305</v>
      </c>
      <c r="AM382" s="20">
        <f t="shared" ref="AM382:AM393" si="90">AJ382*AL382</f>
        <v>61000000</v>
      </c>
      <c r="AN382" s="20"/>
    </row>
    <row r="383" spans="17:45">
      <c r="Q383" s="97" t="s">
        <v>5392</v>
      </c>
      <c r="R383" s="93">
        <v>1558697</v>
      </c>
      <c r="T383" s="19" t="s">
        <v>5737</v>
      </c>
      <c r="U383" s="19">
        <v>-282</v>
      </c>
      <c r="V383" s="115">
        <v>2414.6810999999998</v>
      </c>
      <c r="W383" s="115">
        <f t="shared" si="88"/>
        <v>-680940.07019999996</v>
      </c>
      <c r="X383" s="276" t="s">
        <v>5738</v>
      </c>
      <c r="AH383" s="147">
        <v>117</v>
      </c>
      <c r="AI383" s="147" t="s">
        <v>5181</v>
      </c>
      <c r="AJ383" s="186">
        <v>50000</v>
      </c>
      <c r="AK383" s="147">
        <v>7</v>
      </c>
      <c r="AL383" s="147">
        <f t="shared" si="89"/>
        <v>302</v>
      </c>
      <c r="AM383" s="147">
        <f t="shared" si="90"/>
        <v>15100000</v>
      </c>
      <c r="AN383" s="147"/>
    </row>
    <row r="384" spans="17:45">
      <c r="Q384" s="97" t="s">
        <v>5397</v>
      </c>
      <c r="R384" s="93">
        <v>9042009</v>
      </c>
      <c r="T384" s="19" t="s">
        <v>5737</v>
      </c>
      <c r="U384" s="19">
        <v>20162</v>
      </c>
      <c r="V384" s="115">
        <v>2414.6810999999998</v>
      </c>
      <c r="W384" s="115">
        <f t="shared" si="88"/>
        <v>48684800.338199995</v>
      </c>
      <c r="X384" s="276" t="s">
        <v>5739</v>
      </c>
      <c r="AH384" s="20">
        <v>118</v>
      </c>
      <c r="AI384" s="20" t="s">
        <v>5189</v>
      </c>
      <c r="AJ384" s="115">
        <v>-500000</v>
      </c>
      <c r="AK384" s="20">
        <v>12</v>
      </c>
      <c r="AL384" s="20">
        <f t="shared" si="89"/>
        <v>295</v>
      </c>
      <c r="AM384" s="20">
        <f t="shared" si="90"/>
        <v>-147500000</v>
      </c>
      <c r="AN384" s="20"/>
    </row>
    <row r="385" spans="16:45">
      <c r="Q385" s="97" t="s">
        <v>5398</v>
      </c>
      <c r="R385" s="93">
        <v>94969</v>
      </c>
      <c r="T385" s="19" t="s">
        <v>5737</v>
      </c>
      <c r="U385" s="19">
        <v>-20162</v>
      </c>
      <c r="V385" s="115">
        <v>2414.6810999999998</v>
      </c>
      <c r="W385" s="115">
        <f t="shared" si="88"/>
        <v>-48684800.338199995</v>
      </c>
      <c r="X385" s="276" t="s">
        <v>744</v>
      </c>
      <c r="AH385" s="147">
        <v>119</v>
      </c>
      <c r="AI385" s="147" t="s">
        <v>976</v>
      </c>
      <c r="AJ385" s="186">
        <v>-50000</v>
      </c>
      <c r="AK385" s="147">
        <v>0</v>
      </c>
      <c r="AL385" s="147">
        <f t="shared" si="89"/>
        <v>283</v>
      </c>
      <c r="AM385" s="147">
        <f t="shared" si="90"/>
        <v>-14150000</v>
      </c>
      <c r="AN385" s="147"/>
    </row>
    <row r="386" spans="16:45">
      <c r="Q386" s="97" t="s">
        <v>5403</v>
      </c>
      <c r="R386" s="93">
        <v>40000000</v>
      </c>
      <c r="T386" s="19" t="s">
        <v>5740</v>
      </c>
      <c r="U386" s="19">
        <v>977</v>
      </c>
      <c r="V386" s="115">
        <v>2317.971947</v>
      </c>
      <c r="W386" s="115">
        <f t="shared" si="88"/>
        <v>2264658.5922190002</v>
      </c>
      <c r="X386" s="276" t="s">
        <v>5144</v>
      </c>
      <c r="AH386" s="20">
        <v>120</v>
      </c>
      <c r="AI386" s="20" t="s">
        <v>976</v>
      </c>
      <c r="AJ386" s="115">
        <v>-50000</v>
      </c>
      <c r="AK386" s="20">
        <v>28</v>
      </c>
      <c r="AL386" s="20">
        <f t="shared" si="89"/>
        <v>283</v>
      </c>
      <c r="AM386" s="20">
        <f t="shared" si="90"/>
        <v>-14150000</v>
      </c>
      <c r="AN386" s="20"/>
      <c r="AQ386" t="s">
        <v>25</v>
      </c>
    </row>
    <row r="387" spans="16:45">
      <c r="Q387" s="97" t="s">
        <v>5403</v>
      </c>
      <c r="R387" s="93">
        <v>2806274</v>
      </c>
      <c r="T387" s="19" t="s">
        <v>5744</v>
      </c>
      <c r="U387" s="19">
        <v>10280</v>
      </c>
      <c r="V387" s="115">
        <v>2225.429357</v>
      </c>
      <c r="W387" s="115">
        <f t="shared" si="88"/>
        <v>22877413.789960001</v>
      </c>
      <c r="X387" s="276" t="s">
        <v>5144</v>
      </c>
      <c r="Y387" t="s">
        <v>25</v>
      </c>
      <c r="Z387" t="s">
        <v>25</v>
      </c>
      <c r="AF387" s="94" t="s">
        <v>25</v>
      </c>
      <c r="AH387" s="20">
        <v>121</v>
      </c>
      <c r="AI387" s="20" t="s">
        <v>5231</v>
      </c>
      <c r="AJ387" s="115">
        <v>-3020625</v>
      </c>
      <c r="AK387" s="20">
        <v>18</v>
      </c>
      <c r="AL387" s="20">
        <f t="shared" si="89"/>
        <v>255</v>
      </c>
      <c r="AM387" s="20">
        <f t="shared" si="90"/>
        <v>-770259375</v>
      </c>
      <c r="AN387" s="20"/>
    </row>
    <row r="388" spans="16:45">
      <c r="P388" t="s">
        <v>25</v>
      </c>
      <c r="Q388" s="97" t="s">
        <v>5404</v>
      </c>
      <c r="R388" s="93">
        <v>1331702</v>
      </c>
      <c r="T388" s="19" t="s">
        <v>5750</v>
      </c>
      <c r="U388" s="19">
        <v>1022</v>
      </c>
      <c r="V388" s="115">
        <v>2311.6824240000001</v>
      </c>
      <c r="W388" s="115">
        <f t="shared" si="88"/>
        <v>2362539.4373280001</v>
      </c>
      <c r="X388" s="276" t="s">
        <v>5144</v>
      </c>
      <c r="AH388" s="20">
        <v>122</v>
      </c>
      <c r="AI388" s="20" t="s">
        <v>5242</v>
      </c>
      <c r="AJ388" s="115">
        <v>18000000</v>
      </c>
      <c r="AK388" s="20">
        <v>19</v>
      </c>
      <c r="AL388" s="20">
        <f t="shared" si="89"/>
        <v>237</v>
      </c>
      <c r="AM388" s="20">
        <f t="shared" si="90"/>
        <v>4266000000</v>
      </c>
      <c r="AN388" s="20"/>
      <c r="AS388" t="s">
        <v>25</v>
      </c>
    </row>
    <row r="389" spans="16:45">
      <c r="Q389" s="97" t="s">
        <v>5413</v>
      </c>
      <c r="R389" s="93">
        <v>851238</v>
      </c>
      <c r="T389" s="19" t="s">
        <v>5752</v>
      </c>
      <c r="U389" s="19">
        <v>6818</v>
      </c>
      <c r="V389" s="115">
        <v>2352.988656</v>
      </c>
      <c r="W389" s="115">
        <f t="shared" si="88"/>
        <v>16042676.656608</v>
      </c>
      <c r="X389" s="276" t="s">
        <v>5144</v>
      </c>
      <c r="Y389" t="s">
        <v>25</v>
      </c>
      <c r="AH389" s="20">
        <v>123</v>
      </c>
      <c r="AI389" s="20" t="s">
        <v>5271</v>
      </c>
      <c r="AJ389" s="115">
        <v>2000000</v>
      </c>
      <c r="AK389" s="20">
        <v>6</v>
      </c>
      <c r="AL389" s="20">
        <f t="shared" si="89"/>
        <v>218</v>
      </c>
      <c r="AM389" s="20">
        <f t="shared" si="90"/>
        <v>436000000</v>
      </c>
      <c r="AN389" s="20"/>
    </row>
    <row r="390" spans="16:45">
      <c r="Q390" s="97" t="s">
        <v>5451</v>
      </c>
      <c r="R390" s="93">
        <v>652592</v>
      </c>
      <c r="T390" s="19"/>
      <c r="U390" s="19"/>
      <c r="V390" s="115"/>
      <c r="W390" s="115"/>
      <c r="X390" s="276"/>
      <c r="Y390" t="s">
        <v>25</v>
      </c>
      <c r="Z390" t="s">
        <v>25</v>
      </c>
      <c r="AH390" s="147">
        <v>124</v>
      </c>
      <c r="AI390" s="147" t="s">
        <v>5283</v>
      </c>
      <c r="AJ390" s="186">
        <v>40000000</v>
      </c>
      <c r="AK390" s="147">
        <v>6</v>
      </c>
      <c r="AL390" s="147">
        <f t="shared" si="89"/>
        <v>212</v>
      </c>
      <c r="AM390" s="147">
        <f t="shared" si="90"/>
        <v>8480000000</v>
      </c>
      <c r="AN390" s="147"/>
    </row>
    <row r="391" spans="16:45">
      <c r="Q391" s="97" t="s">
        <v>5517</v>
      </c>
      <c r="R391" s="93">
        <v>554139</v>
      </c>
      <c r="T391" s="19"/>
      <c r="U391" s="19"/>
      <c r="V391" s="115"/>
      <c r="W391" s="115"/>
      <c r="X391" s="276"/>
      <c r="AH391" s="20">
        <v>125</v>
      </c>
      <c r="AI391" s="20" t="s">
        <v>5294</v>
      </c>
      <c r="AJ391" s="115">
        <v>200000</v>
      </c>
      <c r="AK391" s="20">
        <v>0</v>
      </c>
      <c r="AL391" s="20">
        <f t="shared" si="89"/>
        <v>206</v>
      </c>
      <c r="AM391" s="20">
        <f t="shared" si="90"/>
        <v>41200000</v>
      </c>
      <c r="AN391" s="20"/>
    </row>
    <row r="392" spans="16:45">
      <c r="Q392" s="97" t="s">
        <v>5518</v>
      </c>
      <c r="R392" s="93">
        <v>70373089</v>
      </c>
      <c r="T392" s="19"/>
      <c r="U392" s="19"/>
      <c r="V392" s="115"/>
      <c r="W392" s="115"/>
      <c r="X392" s="276"/>
      <c r="AH392" s="147">
        <v>126</v>
      </c>
      <c r="AI392" s="147" t="s">
        <v>5294</v>
      </c>
      <c r="AJ392" s="186">
        <v>200000</v>
      </c>
      <c r="AK392" s="147">
        <v>1</v>
      </c>
      <c r="AL392" s="147">
        <f t="shared" si="89"/>
        <v>206</v>
      </c>
      <c r="AM392" s="147">
        <f t="shared" si="90"/>
        <v>41200000</v>
      </c>
      <c r="AN392" s="147"/>
    </row>
    <row r="393" spans="16:45">
      <c r="Q393" s="97" t="s">
        <v>5519</v>
      </c>
      <c r="R393" s="93">
        <v>1219655</v>
      </c>
      <c r="T393" s="19"/>
      <c r="U393" s="19"/>
      <c r="V393" s="115"/>
      <c r="W393" s="115">
        <f t="shared" si="88"/>
        <v>0</v>
      </c>
      <c r="X393" s="276"/>
      <c r="AH393" s="20">
        <v>127</v>
      </c>
      <c r="AI393" s="20" t="s">
        <v>5298</v>
      </c>
      <c r="AJ393" s="115">
        <v>50000</v>
      </c>
      <c r="AK393" s="20">
        <v>4</v>
      </c>
      <c r="AL393" s="20">
        <f t="shared" si="89"/>
        <v>205</v>
      </c>
      <c r="AM393" s="20">
        <f t="shared" si="90"/>
        <v>10250000</v>
      </c>
      <c r="AN393" s="20"/>
      <c r="AR393" t="s">
        <v>25</v>
      </c>
    </row>
    <row r="394" spans="16:45">
      <c r="Q394" s="97" t="s">
        <v>5520</v>
      </c>
      <c r="R394" s="93">
        <v>15350146</v>
      </c>
      <c r="S394" t="s">
        <v>25</v>
      </c>
      <c r="T394" s="19"/>
      <c r="U394" s="19"/>
      <c r="V394" s="115"/>
      <c r="W394" s="115">
        <f t="shared" si="88"/>
        <v>0</v>
      </c>
      <c r="X394" s="276"/>
      <c r="AH394" s="20">
        <v>128</v>
      </c>
      <c r="AI394" s="20" t="s">
        <v>5301</v>
      </c>
      <c r="AJ394" s="115">
        <v>100000</v>
      </c>
      <c r="AK394" s="20">
        <v>9</v>
      </c>
      <c r="AL394" s="20">
        <f t="shared" ref="AL394:AL404" si="91">AK394+AL395</f>
        <v>201</v>
      </c>
      <c r="AM394" s="20">
        <f t="shared" ref="AM394:AM404" si="92">AJ394*AL394</f>
        <v>20100000</v>
      </c>
      <c r="AN394" s="20"/>
    </row>
    <row r="395" spans="16:45">
      <c r="Q395" s="97" t="s">
        <v>5522</v>
      </c>
      <c r="R395" s="93">
        <v>121018</v>
      </c>
      <c r="T395" s="97"/>
      <c r="U395" s="166"/>
      <c r="V395" s="111"/>
      <c r="W395" s="115">
        <f t="shared" si="88"/>
        <v>0</v>
      </c>
      <c r="X395" s="97"/>
      <c r="AH395" s="20">
        <v>129</v>
      </c>
      <c r="AI395" s="20" t="s">
        <v>5319</v>
      </c>
      <c r="AJ395" s="115">
        <v>-550000</v>
      </c>
      <c r="AK395" s="20">
        <v>5</v>
      </c>
      <c r="AL395" s="20">
        <f t="shared" si="91"/>
        <v>192</v>
      </c>
      <c r="AM395" s="20">
        <f t="shared" si="92"/>
        <v>-105600000</v>
      </c>
      <c r="AN395" s="20"/>
    </row>
    <row r="396" spans="16:45">
      <c r="Q396" s="97" t="s">
        <v>5526</v>
      </c>
      <c r="R396" s="93">
        <v>1024993</v>
      </c>
      <c r="T396" s="166"/>
      <c r="U396" s="166">
        <f>SUM(U170:U395)</f>
        <v>3758284</v>
      </c>
      <c r="V396" s="97"/>
      <c r="W396" s="97"/>
      <c r="X396" s="97"/>
      <c r="AH396" s="20">
        <v>130</v>
      </c>
      <c r="AI396" s="20" t="s">
        <v>5324</v>
      </c>
      <c r="AJ396" s="115">
        <v>-29686490</v>
      </c>
      <c r="AK396" s="20">
        <v>1</v>
      </c>
      <c r="AL396" s="20">
        <f t="shared" si="91"/>
        <v>187</v>
      </c>
      <c r="AM396" s="20">
        <f t="shared" si="92"/>
        <v>-5551373630</v>
      </c>
      <c r="AN396" s="20"/>
    </row>
    <row r="397" spans="16:45">
      <c r="Q397" s="97" t="s">
        <v>5542</v>
      </c>
      <c r="R397" s="93">
        <v>1948077</v>
      </c>
      <c r="T397" s="97"/>
      <c r="U397" s="97" t="s">
        <v>6</v>
      </c>
      <c r="V397" s="97"/>
      <c r="W397" s="97"/>
      <c r="X397" s="97"/>
      <c r="AH397" s="20">
        <v>131</v>
      </c>
      <c r="AI397" s="20" t="s">
        <v>5334</v>
      </c>
      <c r="AJ397" s="115">
        <v>-9000000</v>
      </c>
      <c r="AK397" s="20">
        <v>8</v>
      </c>
      <c r="AL397" s="20">
        <f t="shared" si="91"/>
        <v>186</v>
      </c>
      <c r="AM397" s="20">
        <f t="shared" si="92"/>
        <v>-1674000000</v>
      </c>
      <c r="AN397" s="20"/>
    </row>
    <row r="398" spans="16:45">
      <c r="Q398" s="97" t="s">
        <v>5543</v>
      </c>
      <c r="R398" s="93">
        <v>50000120</v>
      </c>
      <c r="T398" s="198" t="s">
        <v>4441</v>
      </c>
      <c r="AH398" s="20">
        <v>132</v>
      </c>
      <c r="AI398" s="20" t="s">
        <v>5379</v>
      </c>
      <c r="AJ398" s="115">
        <v>810000</v>
      </c>
      <c r="AK398" s="20">
        <v>2</v>
      </c>
      <c r="AL398" s="20">
        <f t="shared" si="91"/>
        <v>178</v>
      </c>
      <c r="AM398" s="20">
        <f t="shared" si="92"/>
        <v>144180000</v>
      </c>
      <c r="AN398" s="20"/>
    </row>
    <row r="399" spans="16:45">
      <c r="Q399" s="97" t="s">
        <v>5544</v>
      </c>
      <c r="R399" s="93">
        <v>20000055</v>
      </c>
      <c r="T399" s="197">
        <f>R186/U396</f>
        <v>2352.988655993001</v>
      </c>
      <c r="AH399" s="20">
        <v>133</v>
      </c>
      <c r="AI399" s="20" t="s">
        <v>5384</v>
      </c>
      <c r="AJ399" s="115">
        <v>-5000000</v>
      </c>
      <c r="AK399" s="20">
        <v>3</v>
      </c>
      <c r="AL399" s="20">
        <f t="shared" si="91"/>
        <v>176</v>
      </c>
      <c r="AM399" s="20">
        <f t="shared" si="92"/>
        <v>-880000000</v>
      </c>
      <c r="AN399" s="20"/>
    </row>
    <row r="400" spans="16:45">
      <c r="Q400" s="97" t="s">
        <v>5575</v>
      </c>
      <c r="R400" s="93">
        <v>5745697</v>
      </c>
      <c r="W400" s="112"/>
      <c r="AH400" s="20">
        <v>134</v>
      </c>
      <c r="AI400" s="20" t="s">
        <v>5392</v>
      </c>
      <c r="AJ400" s="115">
        <v>-26000000</v>
      </c>
      <c r="AK400" s="20">
        <v>0</v>
      </c>
      <c r="AL400" s="20">
        <f t="shared" si="91"/>
        <v>173</v>
      </c>
      <c r="AM400" s="20">
        <f t="shared" si="92"/>
        <v>-4498000000</v>
      </c>
      <c r="AN400" s="20"/>
    </row>
    <row r="401" spans="17:45">
      <c r="Q401" s="97" t="s">
        <v>5576</v>
      </c>
      <c r="R401" s="93">
        <v>908158</v>
      </c>
      <c r="U401" s="94" t="s">
        <v>267</v>
      </c>
      <c r="V401" t="s">
        <v>4442</v>
      </c>
      <c r="AD401" t="s">
        <v>25</v>
      </c>
      <c r="AH401" s="252">
        <v>135</v>
      </c>
      <c r="AI401" s="252" t="s">
        <v>5392</v>
      </c>
      <c r="AJ401" s="243">
        <v>-26000000</v>
      </c>
      <c r="AK401" s="252">
        <v>1</v>
      </c>
      <c r="AL401" s="252">
        <f t="shared" si="91"/>
        <v>173</v>
      </c>
      <c r="AM401" s="252">
        <f t="shared" si="92"/>
        <v>-4498000000</v>
      </c>
      <c r="AN401" s="252"/>
    </row>
    <row r="402" spans="17:45">
      <c r="Q402" s="97" t="s">
        <v>5577</v>
      </c>
      <c r="R402" s="93">
        <v>12642697</v>
      </c>
      <c r="T402" s="112"/>
      <c r="U402" s="93">
        <v>-16043411</v>
      </c>
      <c r="V402">
        <f>U402/T399</f>
        <v>-6818.3120896642868</v>
      </c>
      <c r="X402" t="s">
        <v>25</v>
      </c>
      <c r="AH402" s="20">
        <v>136</v>
      </c>
      <c r="AI402" s="20" t="s">
        <v>5397</v>
      </c>
      <c r="AJ402" s="115">
        <v>-81800000</v>
      </c>
      <c r="AK402" s="20">
        <v>0</v>
      </c>
      <c r="AL402" s="20">
        <f t="shared" si="91"/>
        <v>172</v>
      </c>
      <c r="AM402" s="20">
        <f t="shared" si="92"/>
        <v>-14069600000</v>
      </c>
      <c r="AN402" s="20"/>
      <c r="AS402" t="s">
        <v>25</v>
      </c>
    </row>
    <row r="403" spans="17:45">
      <c r="Q403" s="97" t="s">
        <v>5578</v>
      </c>
      <c r="R403" s="93">
        <v>12297317.81435</v>
      </c>
      <c r="T403" t="s">
        <v>25</v>
      </c>
      <c r="X403" t="s">
        <v>25</v>
      </c>
      <c r="AH403" s="252">
        <v>137</v>
      </c>
      <c r="AI403" s="252" t="s">
        <v>5397</v>
      </c>
      <c r="AJ403" s="243">
        <v>-110000000</v>
      </c>
      <c r="AK403" s="252">
        <v>1</v>
      </c>
      <c r="AL403" s="252">
        <f t="shared" si="91"/>
        <v>172</v>
      </c>
      <c r="AM403" s="252">
        <f t="shared" si="92"/>
        <v>-18920000000</v>
      </c>
      <c r="AN403" s="252"/>
    </row>
    <row r="404" spans="17:45">
      <c r="Q404" s="97" t="s">
        <v>5579</v>
      </c>
      <c r="R404" s="93">
        <v>8959643.8508579992</v>
      </c>
      <c r="T404" t="s">
        <v>25</v>
      </c>
      <c r="U404" s="94" t="s">
        <v>25</v>
      </c>
      <c r="V404" s="22"/>
      <c r="W404" s="219"/>
      <c r="X404" s="286"/>
      <c r="AH404" s="20">
        <v>138</v>
      </c>
      <c r="AI404" s="20" t="s">
        <v>5398</v>
      </c>
      <c r="AJ404" s="115">
        <v>-34000000</v>
      </c>
      <c r="AK404" s="20">
        <v>0</v>
      </c>
      <c r="AL404" s="20">
        <f t="shared" si="91"/>
        <v>171</v>
      </c>
      <c r="AM404" s="20">
        <f t="shared" si="92"/>
        <v>-5814000000</v>
      </c>
      <c r="AN404" s="20"/>
    </row>
    <row r="405" spans="17:45">
      <c r="Q405" s="97" t="s">
        <v>5580</v>
      </c>
      <c r="R405" s="93">
        <v>15154095.839328</v>
      </c>
      <c r="AH405" s="147">
        <v>139</v>
      </c>
      <c r="AI405" s="147" t="s">
        <v>5398</v>
      </c>
      <c r="AJ405" s="186">
        <v>-23900000</v>
      </c>
      <c r="AK405" s="147">
        <v>5</v>
      </c>
      <c r="AL405" s="147">
        <f t="shared" ref="AL405:AL410" si="93">AK405+AL406</f>
        <v>171</v>
      </c>
      <c r="AM405" s="147">
        <f t="shared" ref="AM405:AM410" si="94">AJ405*AL405</f>
        <v>-4086900000</v>
      </c>
      <c r="AN405" s="147"/>
    </row>
    <row r="406" spans="17:45">
      <c r="Q406" s="97" t="s">
        <v>5605</v>
      </c>
      <c r="R406" s="93">
        <v>50725508.571864001</v>
      </c>
      <c r="W406" s="112">
        <f>U402+3120000</f>
        <v>-12923411</v>
      </c>
      <c r="Z406" t="s">
        <v>25</v>
      </c>
      <c r="AH406" s="20">
        <v>140</v>
      </c>
      <c r="AI406" s="20" t="s">
        <v>5413</v>
      </c>
      <c r="AJ406" s="115">
        <v>1000000</v>
      </c>
      <c r="AK406" s="20">
        <v>0</v>
      </c>
      <c r="AL406" s="20">
        <f t="shared" si="93"/>
        <v>166</v>
      </c>
      <c r="AM406" s="20">
        <f t="shared" si="94"/>
        <v>166000000</v>
      </c>
      <c r="AN406" s="20"/>
    </row>
    <row r="407" spans="17:45" ht="60">
      <c r="Q407" s="97" t="s">
        <v>5607</v>
      </c>
      <c r="R407" s="93">
        <v>2281961.458596</v>
      </c>
      <c r="T407" s="22" t="s">
        <v>4426</v>
      </c>
      <c r="V407" s="219"/>
      <c r="AH407" s="147">
        <v>141</v>
      </c>
      <c r="AI407" s="147" t="s">
        <v>5413</v>
      </c>
      <c r="AJ407" s="186">
        <v>1000000</v>
      </c>
      <c r="AK407" s="147">
        <v>4</v>
      </c>
      <c r="AL407" s="147">
        <f t="shared" si="93"/>
        <v>166</v>
      </c>
      <c r="AM407" s="147">
        <f t="shared" si="94"/>
        <v>166000000</v>
      </c>
      <c r="AN407" s="147"/>
    </row>
    <row r="408" spans="17:45" ht="45">
      <c r="Q408" s="97" t="s">
        <v>5616</v>
      </c>
      <c r="R408" s="93">
        <v>10998285</v>
      </c>
      <c r="T408" s="22" t="s">
        <v>4427</v>
      </c>
      <c r="W408" s="286"/>
      <c r="AH408" s="20">
        <v>142</v>
      </c>
      <c r="AI408" s="20" t="s">
        <v>5419</v>
      </c>
      <c r="AJ408" s="115">
        <v>400000</v>
      </c>
      <c r="AK408" s="20">
        <v>0</v>
      </c>
      <c r="AL408" s="20">
        <f t="shared" si="93"/>
        <v>162</v>
      </c>
      <c r="AM408" s="20">
        <f t="shared" si="94"/>
        <v>64800000</v>
      </c>
      <c r="AN408" s="20"/>
    </row>
    <row r="409" spans="17:45">
      <c r="Q409" s="97" t="s">
        <v>5617</v>
      </c>
      <c r="R409" s="93">
        <v>983018.96187300002</v>
      </c>
      <c r="AH409" s="147">
        <v>143</v>
      </c>
      <c r="AI409" s="147" t="s">
        <v>5419</v>
      </c>
      <c r="AJ409" s="186">
        <v>400000</v>
      </c>
      <c r="AK409" s="147">
        <v>35</v>
      </c>
      <c r="AL409" s="147">
        <f t="shared" si="93"/>
        <v>162</v>
      </c>
      <c r="AM409" s="147">
        <f t="shared" si="94"/>
        <v>64800000</v>
      </c>
      <c r="AN409" s="147"/>
    </row>
    <row r="410" spans="17:45">
      <c r="Q410" s="97" t="s">
        <v>5621</v>
      </c>
      <c r="R410" s="93">
        <v>17049271.032000002</v>
      </c>
      <c r="Y410" t="s">
        <v>25</v>
      </c>
      <c r="AH410" s="20">
        <v>144</v>
      </c>
      <c r="AI410" s="20" t="s">
        <v>5464</v>
      </c>
      <c r="AJ410" s="115">
        <v>3000000</v>
      </c>
      <c r="AK410" s="20">
        <v>0</v>
      </c>
      <c r="AL410" s="20">
        <f t="shared" si="93"/>
        <v>127</v>
      </c>
      <c r="AM410" s="20">
        <f t="shared" si="94"/>
        <v>381000000</v>
      </c>
      <c r="AN410" s="20"/>
    </row>
    <row r="411" spans="17:45">
      <c r="Q411" s="97" t="s">
        <v>5624</v>
      </c>
      <c r="R411" s="93">
        <v>6829998</v>
      </c>
      <c r="T411" s="97" t="s">
        <v>4443</v>
      </c>
      <c r="U411" s="97" t="s">
        <v>4421</v>
      </c>
      <c r="V411" s="97" t="s">
        <v>938</v>
      </c>
      <c r="W411" s="72" t="s">
        <v>5659</v>
      </c>
      <c r="AH411" s="147">
        <v>145</v>
      </c>
      <c r="AI411" s="147" t="s">
        <v>5464</v>
      </c>
      <c r="AJ411" s="186">
        <v>2725000</v>
      </c>
      <c r="AK411" s="147">
        <v>19</v>
      </c>
      <c r="AL411" s="147">
        <f t="shared" ref="AL411:AL414" si="95">AK411+AL412</f>
        <v>127</v>
      </c>
      <c r="AM411" s="147">
        <f t="shared" ref="AM411:AM414" si="96">AJ411*AL411</f>
        <v>346075000</v>
      </c>
      <c r="AN411" s="147"/>
    </row>
    <row r="412" spans="17:45">
      <c r="Q412" s="97" t="s">
        <v>4214</v>
      </c>
      <c r="R412" s="93">
        <v>6982608.8207999999</v>
      </c>
      <c r="T412" s="93">
        <f>S238+R296+R429</f>
        <v>1230418833.6034479</v>
      </c>
      <c r="U412" s="93">
        <f>R186</f>
        <v>8843199618</v>
      </c>
      <c r="V412" s="93">
        <f>U412-T412</f>
        <v>7612780784.3965521</v>
      </c>
      <c r="AH412" s="147">
        <v>146</v>
      </c>
      <c r="AI412" s="147" t="s">
        <v>5345</v>
      </c>
      <c r="AJ412" s="186">
        <v>-8644090</v>
      </c>
      <c r="AK412" s="147">
        <v>0</v>
      </c>
      <c r="AL412" s="147">
        <f t="shared" si="95"/>
        <v>108</v>
      </c>
      <c r="AM412" s="147">
        <f t="shared" si="96"/>
        <v>-933561720</v>
      </c>
      <c r="AN412" s="147" t="s">
        <v>4753</v>
      </c>
    </row>
    <row r="413" spans="17:45">
      <c r="Q413" s="97" t="s">
        <v>5650</v>
      </c>
      <c r="R413" s="93">
        <v>7510131.0216000006</v>
      </c>
      <c r="W413" s="94" t="s">
        <v>25</v>
      </c>
      <c r="AH413" s="20">
        <v>147</v>
      </c>
      <c r="AI413" s="20" t="s">
        <v>5345</v>
      </c>
      <c r="AJ413" s="115">
        <v>-65461942</v>
      </c>
      <c r="AK413" s="20">
        <v>1</v>
      </c>
      <c r="AL413" s="20">
        <f t="shared" si="95"/>
        <v>108</v>
      </c>
      <c r="AM413" s="20">
        <f t="shared" si="96"/>
        <v>-7069889736</v>
      </c>
      <c r="AN413" s="20" t="s">
        <v>4753</v>
      </c>
      <c r="AR413" t="s">
        <v>25</v>
      </c>
    </row>
    <row r="414" spans="17:45">
      <c r="Q414" s="97" t="s">
        <v>5657</v>
      </c>
      <c r="R414" s="93">
        <v>7278025.5327000003</v>
      </c>
      <c r="AH414" s="20">
        <v>148</v>
      </c>
      <c r="AI414" s="20" t="s">
        <v>5497</v>
      </c>
      <c r="AJ414" s="115">
        <v>35000000</v>
      </c>
      <c r="AK414" s="20">
        <v>15</v>
      </c>
      <c r="AL414" s="20">
        <f t="shared" si="95"/>
        <v>107</v>
      </c>
      <c r="AM414" s="20">
        <f t="shared" si="96"/>
        <v>3745000000</v>
      </c>
      <c r="AN414" s="20"/>
    </row>
    <row r="415" spans="17:45">
      <c r="Q415" s="97" t="s">
        <v>5666</v>
      </c>
      <c r="R415" s="93">
        <v>195059.35799999998</v>
      </c>
      <c r="S415" t="s">
        <v>25</v>
      </c>
      <c r="T415" s="115"/>
      <c r="V415" s="112">
        <f>(444000000+2500000)*2/3</f>
        <v>297666666.66666669</v>
      </c>
      <c r="AH415" s="147">
        <v>149</v>
      </c>
      <c r="AI415" s="147" t="s">
        <v>5522</v>
      </c>
      <c r="AJ415" s="186">
        <v>1400000</v>
      </c>
      <c r="AK415" s="147">
        <v>0</v>
      </c>
      <c r="AL415" s="147">
        <f t="shared" ref="AL415:AL417" si="97">AK415+AL416</f>
        <v>92</v>
      </c>
      <c r="AM415" s="147">
        <f t="shared" ref="AM415:AM418" si="98">AJ415*AL415</f>
        <v>128800000</v>
      </c>
      <c r="AN415" s="147"/>
      <c r="AS415" t="s">
        <v>25</v>
      </c>
    </row>
    <row r="416" spans="17:45">
      <c r="Q416" s="97" t="s">
        <v>5671</v>
      </c>
      <c r="R416" s="93">
        <v>862577.83200000005</v>
      </c>
      <c r="Y416" t="s">
        <v>25</v>
      </c>
      <c r="AH416" s="20">
        <v>150</v>
      </c>
      <c r="AI416" s="20" t="s">
        <v>5522</v>
      </c>
      <c r="AJ416" s="115">
        <v>1600000</v>
      </c>
      <c r="AK416" s="20">
        <v>1</v>
      </c>
      <c r="AL416" s="20">
        <f t="shared" si="97"/>
        <v>92</v>
      </c>
      <c r="AM416" s="20">
        <f t="shared" si="98"/>
        <v>147200000</v>
      </c>
      <c r="AN416" s="20"/>
    </row>
    <row r="417" spans="17:45">
      <c r="Q417" s="97" t="s">
        <v>5674</v>
      </c>
      <c r="R417" s="93">
        <v>920308.446</v>
      </c>
      <c r="T417" s="112">
        <f>W322+W323+W325+W326+W328+W329</f>
        <v>-301699041.74755996</v>
      </c>
      <c r="AH417" s="147">
        <v>151</v>
      </c>
      <c r="AI417" s="147" t="s">
        <v>5525</v>
      </c>
      <c r="AJ417" s="186">
        <v>600000</v>
      </c>
      <c r="AK417" s="147">
        <v>0</v>
      </c>
      <c r="AL417" s="147">
        <f t="shared" si="97"/>
        <v>91</v>
      </c>
      <c r="AM417" s="147">
        <f t="shared" si="98"/>
        <v>54600000</v>
      </c>
      <c r="AN417" s="147" t="s">
        <v>5527</v>
      </c>
      <c r="AR417" t="s">
        <v>25</v>
      </c>
      <c r="AS417" t="s">
        <v>25</v>
      </c>
    </row>
    <row r="418" spans="17:45">
      <c r="Q418" s="97" t="s">
        <v>5676</v>
      </c>
      <c r="R418" s="93">
        <v>4635809.8416840006</v>
      </c>
      <c r="T418" t="s">
        <v>25</v>
      </c>
      <c r="AH418" s="20">
        <v>152</v>
      </c>
      <c r="AI418" s="20" t="s">
        <v>5525</v>
      </c>
      <c r="AJ418" s="115">
        <v>600000</v>
      </c>
      <c r="AK418" s="20">
        <v>9</v>
      </c>
      <c r="AL418" s="20">
        <f>AK418+AL419</f>
        <v>91</v>
      </c>
      <c r="AM418" s="20">
        <f t="shared" si="98"/>
        <v>54600000</v>
      </c>
      <c r="AN418" s="20" t="s">
        <v>5527</v>
      </c>
    </row>
    <row r="419" spans="17:45">
      <c r="Q419" s="97" t="s">
        <v>5680</v>
      </c>
      <c r="R419" s="93">
        <v>288892.40000000002</v>
      </c>
      <c r="T419" s="112">
        <f>V415+T417</f>
        <v>-4032375.0808932781</v>
      </c>
      <c r="AH419" s="20">
        <v>153</v>
      </c>
      <c r="AI419" s="20" t="s">
        <v>5544</v>
      </c>
      <c r="AJ419" s="115">
        <v>20000000</v>
      </c>
      <c r="AK419" s="20">
        <v>23</v>
      </c>
      <c r="AL419" s="20">
        <f t="shared" ref="AL419:AL420" si="99">AK419+AL420</f>
        <v>82</v>
      </c>
      <c r="AM419" s="20">
        <f t="shared" ref="AM419:AM421" si="100">AJ419*AL419</f>
        <v>1640000000</v>
      </c>
      <c r="AN419" s="20" t="s">
        <v>5564</v>
      </c>
    </row>
    <row r="420" spans="17:45">
      <c r="Q420" s="97" t="s">
        <v>5733</v>
      </c>
      <c r="R420" s="93">
        <v>58508002.009000003</v>
      </c>
      <c r="T420" t="s">
        <v>25</v>
      </c>
      <c r="AH420" s="20">
        <v>154</v>
      </c>
      <c r="AI420" s="20" t="s">
        <v>5592</v>
      </c>
      <c r="AJ420" s="115">
        <v>-46183500</v>
      </c>
      <c r="AK420" s="20">
        <v>0</v>
      </c>
      <c r="AL420" s="20">
        <f t="shared" si="99"/>
        <v>59</v>
      </c>
      <c r="AM420" s="20">
        <f t="shared" si="100"/>
        <v>-2724826500</v>
      </c>
      <c r="AN420" s="20" t="s">
        <v>4882</v>
      </c>
      <c r="AR420" t="s">
        <v>25</v>
      </c>
    </row>
    <row r="421" spans="17:45">
      <c r="Q421" s="97" t="s">
        <v>5734</v>
      </c>
      <c r="R421" s="93">
        <v>2245515.5410799999</v>
      </c>
      <c r="T421" t="s">
        <v>25</v>
      </c>
      <c r="AH421" s="147">
        <v>155</v>
      </c>
      <c r="AI421" s="147" t="s">
        <v>5592</v>
      </c>
      <c r="AJ421" s="186">
        <v>-1812800</v>
      </c>
      <c r="AK421" s="147">
        <v>2</v>
      </c>
      <c r="AL421" s="147">
        <f>AK421+AL422</f>
        <v>59</v>
      </c>
      <c r="AM421" s="147">
        <f t="shared" si="100"/>
        <v>-106955200</v>
      </c>
      <c r="AN421" s="147" t="s">
        <v>4882</v>
      </c>
    </row>
    <row r="422" spans="17:45">
      <c r="Q422" s="97" t="s">
        <v>5737</v>
      </c>
      <c r="R422" s="93">
        <v>18404699.3442</v>
      </c>
      <c r="AH422" s="20">
        <v>156</v>
      </c>
      <c r="AI422" s="20" t="s">
        <v>5596</v>
      </c>
      <c r="AJ422" s="115">
        <v>90000</v>
      </c>
      <c r="AK422" s="20">
        <v>0</v>
      </c>
      <c r="AL422" s="20">
        <f t="shared" ref="AL422:AL441" si="101">AK422+AL423</f>
        <v>57</v>
      </c>
      <c r="AM422" s="20">
        <f t="shared" ref="AM422:AM441" si="102">AJ422*AL422</f>
        <v>5130000</v>
      </c>
      <c r="AN422" s="20"/>
    </row>
    <row r="423" spans="17:45">
      <c r="Q423" s="97" t="s">
        <v>5737</v>
      </c>
      <c r="R423" s="93">
        <v>48684800</v>
      </c>
      <c r="AH423" s="147">
        <v>157</v>
      </c>
      <c r="AI423" s="147" t="s">
        <v>5596</v>
      </c>
      <c r="AJ423" s="186">
        <v>60000</v>
      </c>
      <c r="AK423" s="147">
        <v>5</v>
      </c>
      <c r="AL423" s="147">
        <f t="shared" si="101"/>
        <v>57</v>
      </c>
      <c r="AM423" s="147">
        <f t="shared" si="102"/>
        <v>3420000</v>
      </c>
      <c r="AN423" s="147"/>
    </row>
    <row r="424" spans="17:45">
      <c r="Q424" s="97" t="s">
        <v>5740</v>
      </c>
      <c r="R424" s="93">
        <v>2264658.5922190002</v>
      </c>
      <c r="T424" t="s">
        <v>25</v>
      </c>
      <c r="AH424" s="20">
        <v>158</v>
      </c>
      <c r="AI424" s="20" t="s">
        <v>5607</v>
      </c>
      <c r="AJ424" s="115">
        <v>50000000</v>
      </c>
      <c r="AK424" s="20">
        <v>29</v>
      </c>
      <c r="AL424" s="20">
        <f t="shared" si="101"/>
        <v>52</v>
      </c>
      <c r="AM424" s="20">
        <f t="shared" si="102"/>
        <v>2600000000</v>
      </c>
      <c r="AN424" s="20" t="s">
        <v>5609</v>
      </c>
    </row>
    <row r="425" spans="17:45">
      <c r="Q425" s="97" t="s">
        <v>5744</v>
      </c>
      <c r="R425" s="93">
        <v>22877413.789960001</v>
      </c>
      <c r="T425" t="s">
        <v>25</v>
      </c>
      <c r="AH425" s="20">
        <v>159</v>
      </c>
      <c r="AI425" s="20" t="s">
        <v>5680</v>
      </c>
      <c r="AJ425" s="115">
        <v>100000</v>
      </c>
      <c r="AK425" s="20">
        <v>1</v>
      </c>
      <c r="AL425" s="20">
        <f t="shared" si="101"/>
        <v>23</v>
      </c>
      <c r="AM425" s="20">
        <f t="shared" si="102"/>
        <v>2300000</v>
      </c>
      <c r="AN425" s="20"/>
    </row>
    <row r="426" spans="17:45">
      <c r="Q426" s="97" t="s">
        <v>5750</v>
      </c>
      <c r="R426" s="93">
        <v>2362539.4373280001</v>
      </c>
      <c r="U426" s="94" t="s">
        <v>25</v>
      </c>
      <c r="W426" s="94" t="s">
        <v>25</v>
      </c>
      <c r="AH426" s="147">
        <v>160</v>
      </c>
      <c r="AI426" s="147" t="s">
        <v>5665</v>
      </c>
      <c r="AJ426" s="186">
        <v>150000</v>
      </c>
      <c r="AK426" s="147">
        <v>0</v>
      </c>
      <c r="AL426" s="147">
        <f t="shared" si="101"/>
        <v>22</v>
      </c>
      <c r="AM426" s="147">
        <f t="shared" si="102"/>
        <v>3300000</v>
      </c>
      <c r="AN426" s="147"/>
    </row>
    <row r="427" spans="17:45">
      <c r="Q427" s="97" t="s">
        <v>5752</v>
      </c>
      <c r="R427" s="93">
        <v>16042676.656608</v>
      </c>
      <c r="T427" t="s">
        <v>25</v>
      </c>
      <c r="X427" t="s">
        <v>25</v>
      </c>
      <c r="AH427" s="20">
        <v>161</v>
      </c>
      <c r="AI427" s="20" t="s">
        <v>5665</v>
      </c>
      <c r="AJ427" s="115">
        <v>-683050</v>
      </c>
      <c r="AK427" s="20">
        <v>7</v>
      </c>
      <c r="AL427" s="20">
        <f t="shared" si="101"/>
        <v>22</v>
      </c>
      <c r="AM427" s="20">
        <f t="shared" si="102"/>
        <v>-15027100</v>
      </c>
      <c r="AN427" s="20" t="s">
        <v>5684</v>
      </c>
    </row>
    <row r="428" spans="17:45">
      <c r="Q428" s="97"/>
      <c r="R428" s="97" t="s">
        <v>25</v>
      </c>
      <c r="T428" t="s">
        <v>25</v>
      </c>
      <c r="V428" t="s">
        <v>25</v>
      </c>
      <c r="AH428" s="147">
        <v>162</v>
      </c>
      <c r="AI428" s="147" t="s">
        <v>5705</v>
      </c>
      <c r="AJ428" s="186">
        <v>200000</v>
      </c>
      <c r="AK428" s="147">
        <v>7</v>
      </c>
      <c r="AL428" s="147">
        <f t="shared" si="101"/>
        <v>15</v>
      </c>
      <c r="AM428" s="147">
        <f t="shared" si="102"/>
        <v>3000000</v>
      </c>
      <c r="AN428" s="147"/>
    </row>
    <row r="429" spans="17:45">
      <c r="Q429" s="97"/>
      <c r="R429" s="93">
        <f>SUM(R301:R428)</f>
        <v>1042182912.152048</v>
      </c>
      <c r="T429" t="s">
        <v>25</v>
      </c>
      <c r="AH429" s="147">
        <v>163</v>
      </c>
      <c r="AI429" s="147" t="s">
        <v>5715</v>
      </c>
      <c r="AJ429" s="186">
        <v>150000</v>
      </c>
      <c r="AK429" s="147">
        <v>5</v>
      </c>
      <c r="AL429" s="147">
        <f t="shared" si="101"/>
        <v>8</v>
      </c>
      <c r="AM429" s="147">
        <f t="shared" si="102"/>
        <v>1200000</v>
      </c>
      <c r="AN429" s="147"/>
    </row>
    <row r="430" spans="17:45">
      <c r="Q430" s="97"/>
      <c r="R430" s="97" t="s">
        <v>6</v>
      </c>
      <c r="T430" t="s">
        <v>25</v>
      </c>
      <c r="U430" s="94" t="s">
        <v>25</v>
      </c>
      <c r="V430" t="s">
        <v>25</v>
      </c>
      <c r="AH430" s="20">
        <v>164</v>
      </c>
      <c r="AI430" s="20" t="s">
        <v>5719</v>
      </c>
      <c r="AJ430" s="115">
        <v>320000</v>
      </c>
      <c r="AK430" s="20">
        <v>2</v>
      </c>
      <c r="AL430" s="20">
        <f t="shared" si="101"/>
        <v>3</v>
      </c>
      <c r="AM430" s="20">
        <f t="shared" si="102"/>
        <v>960000</v>
      </c>
      <c r="AN430" s="20"/>
    </row>
    <row r="431" spans="17:45">
      <c r="T431" t="s">
        <v>25</v>
      </c>
      <c r="V431" t="s">
        <v>25</v>
      </c>
      <c r="AH431" s="20">
        <v>165</v>
      </c>
      <c r="AI431" s="20" t="s">
        <v>5722</v>
      </c>
      <c r="AJ431" s="115">
        <v>200000</v>
      </c>
      <c r="AK431" s="20">
        <v>1</v>
      </c>
      <c r="AL431" s="20">
        <f t="shared" si="101"/>
        <v>1</v>
      </c>
      <c r="AM431" s="20">
        <f t="shared" si="102"/>
        <v>200000</v>
      </c>
      <c r="AN431" s="20"/>
    </row>
    <row r="432" spans="17:45">
      <c r="T432" t="s">
        <v>25</v>
      </c>
      <c r="U432" s="94" t="s">
        <v>25</v>
      </c>
      <c r="AH432" s="20"/>
      <c r="AI432" s="20"/>
      <c r="AJ432" s="115"/>
      <c r="AK432" s="20"/>
      <c r="AL432" s="20">
        <f t="shared" si="101"/>
        <v>0</v>
      </c>
      <c r="AM432" s="20">
        <f t="shared" si="102"/>
        <v>0</v>
      </c>
      <c r="AN432" s="20"/>
    </row>
    <row r="433" spans="17:40">
      <c r="Q433" t="s">
        <v>25</v>
      </c>
      <c r="T433" t="s">
        <v>25</v>
      </c>
      <c r="U433" s="94" t="s">
        <v>25</v>
      </c>
      <c r="V433" t="s">
        <v>25</v>
      </c>
      <c r="AH433" s="20"/>
      <c r="AI433" s="20"/>
      <c r="AJ433" s="115"/>
      <c r="AK433" s="20"/>
      <c r="AL433" s="20">
        <f t="shared" si="101"/>
        <v>0</v>
      </c>
      <c r="AM433" s="20">
        <f t="shared" si="102"/>
        <v>0</v>
      </c>
      <c r="AN433" s="20"/>
    </row>
    <row r="434" spans="17:40">
      <c r="T434" t="s">
        <v>25</v>
      </c>
      <c r="U434" s="94" t="s">
        <v>25</v>
      </c>
      <c r="AH434" s="20"/>
      <c r="AI434" s="20"/>
      <c r="AJ434" s="115"/>
      <c r="AK434" s="20"/>
      <c r="AL434" s="20">
        <f t="shared" si="101"/>
        <v>0</v>
      </c>
      <c r="AM434" s="20">
        <f t="shared" si="102"/>
        <v>0</v>
      </c>
      <c r="AN434" s="20"/>
    </row>
    <row r="435" spans="17:40">
      <c r="R435" t="s">
        <v>25</v>
      </c>
      <c r="T435" t="s">
        <v>25</v>
      </c>
      <c r="U435" s="94" t="s">
        <v>25</v>
      </c>
      <c r="AH435" s="20"/>
      <c r="AI435" s="20"/>
      <c r="AJ435" s="115"/>
      <c r="AK435" s="20"/>
      <c r="AL435" s="20">
        <f t="shared" si="101"/>
        <v>0</v>
      </c>
      <c r="AM435" s="20">
        <f t="shared" si="102"/>
        <v>0</v>
      </c>
      <c r="AN435" s="20"/>
    </row>
    <row r="436" spans="17:40">
      <c r="R436" t="s">
        <v>25</v>
      </c>
      <c r="T436" t="s">
        <v>25</v>
      </c>
      <c r="V436" t="s">
        <v>25</v>
      </c>
      <c r="AH436" s="20"/>
      <c r="AI436" s="20"/>
      <c r="AJ436" s="115"/>
      <c r="AK436" s="20"/>
      <c r="AL436" s="20">
        <f t="shared" si="101"/>
        <v>0</v>
      </c>
      <c r="AM436" s="20">
        <f t="shared" si="102"/>
        <v>0</v>
      </c>
      <c r="AN436" s="20"/>
    </row>
    <row r="437" spans="17:40">
      <c r="T437" t="s">
        <v>25</v>
      </c>
      <c r="U437" s="94" t="s">
        <v>25</v>
      </c>
      <c r="AH437" s="20"/>
      <c r="AI437" s="20"/>
      <c r="AJ437" s="115"/>
      <c r="AK437" s="20"/>
      <c r="AL437" s="20">
        <f t="shared" si="101"/>
        <v>0</v>
      </c>
      <c r="AM437" s="20">
        <f t="shared" si="102"/>
        <v>0</v>
      </c>
      <c r="AN437" s="20"/>
    </row>
    <row r="438" spans="17:40">
      <c r="R438" t="s">
        <v>25</v>
      </c>
      <c r="AH438" s="20"/>
      <c r="AI438" s="20"/>
      <c r="AJ438" s="115"/>
      <c r="AK438" s="20"/>
      <c r="AL438" s="20">
        <f t="shared" si="101"/>
        <v>0</v>
      </c>
      <c r="AM438" s="20">
        <f t="shared" si="102"/>
        <v>0</v>
      </c>
      <c r="AN438" s="20"/>
    </row>
    <row r="439" spans="17:40">
      <c r="T439" t="s">
        <v>25</v>
      </c>
      <c r="U439" s="94" t="s">
        <v>25</v>
      </c>
      <c r="AH439" s="20"/>
      <c r="AI439" s="20"/>
      <c r="AJ439" s="115"/>
      <c r="AK439" s="20"/>
      <c r="AL439" s="20">
        <f t="shared" si="101"/>
        <v>0</v>
      </c>
      <c r="AM439" s="20">
        <f t="shared" si="102"/>
        <v>0</v>
      </c>
      <c r="AN439" s="20"/>
    </row>
    <row r="440" spans="17:40">
      <c r="AH440" s="97"/>
      <c r="AI440" s="97"/>
      <c r="AJ440" s="115"/>
      <c r="AK440" s="97"/>
      <c r="AL440" s="20">
        <f t="shared" si="101"/>
        <v>0</v>
      </c>
      <c r="AM440" s="20">
        <f t="shared" si="102"/>
        <v>0</v>
      </c>
      <c r="AN440" s="20"/>
    </row>
    <row r="441" spans="17:40">
      <c r="AH441" s="97"/>
      <c r="AI441" s="97"/>
      <c r="AJ441" s="115"/>
      <c r="AK441" s="97"/>
      <c r="AL441" s="20">
        <f t="shared" si="101"/>
        <v>0</v>
      </c>
      <c r="AM441" s="20">
        <f t="shared" si="102"/>
        <v>0</v>
      </c>
      <c r="AN441" s="97"/>
    </row>
    <row r="442" spans="17:40">
      <c r="T442" t="s">
        <v>25</v>
      </c>
      <c r="AH442" s="97"/>
      <c r="AI442" s="97"/>
      <c r="AJ442" s="93">
        <f>SUM(AJ267:AJ441)</f>
        <v>160700355</v>
      </c>
      <c r="AK442" s="97"/>
      <c r="AL442" s="97"/>
      <c r="AM442" s="97">
        <f>SUM(AM267:AM441)</f>
        <v>181427691734</v>
      </c>
      <c r="AN442" s="93">
        <f>AM442*AN253/31</f>
        <v>97543720.58485736</v>
      </c>
    </row>
    <row r="443" spans="17:40">
      <c r="AJ443" t="s">
        <v>4043</v>
      </c>
      <c r="AM443" t="s">
        <v>284</v>
      </c>
      <c r="AN443" t="s">
        <v>928</v>
      </c>
    </row>
    <row r="445" spans="17:40">
      <c r="AI445" t="s">
        <v>4045</v>
      </c>
      <c r="AJ445" s="112">
        <f>AJ442+AN442</f>
        <v>258244075.58485734</v>
      </c>
    </row>
    <row r="446" spans="17:40">
      <c r="AI446" t="s">
        <v>4048</v>
      </c>
      <c r="AJ446" s="112">
        <f>SUM(N20:N30)</f>
        <v>3481048138</v>
      </c>
    </row>
    <row r="447" spans="17:40">
      <c r="AI447" t="s">
        <v>4120</v>
      </c>
      <c r="AJ447" s="112">
        <f>AJ446-AJ442</f>
        <v>3320347783</v>
      </c>
    </row>
    <row r="448" spans="17:40">
      <c r="AI448" t="s">
        <v>928</v>
      </c>
      <c r="AJ448" s="112">
        <f>AN442</f>
        <v>97543720.58485736</v>
      </c>
    </row>
    <row r="449" spans="35:40">
      <c r="AI449" t="s">
        <v>4049</v>
      </c>
      <c r="AJ449" s="112">
        <f>AJ447-AJ448</f>
        <v>3222804062.4151425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61:G1048576 G196:G217 G250:G256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2 P23 S36 S38 S121 S41 S127 S131 S48:S50 P27 S65 S139 S56"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9"/>
  <sheetViews>
    <sheetView tabSelected="1" topLeftCell="A87" zoomScale="85" zoomScaleNormal="85" workbookViewId="0">
      <selection activeCell="R124" sqref="R124"/>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5"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5"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09"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5711</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5716</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5740</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t="e">
        <f t="shared" si="16"/>
        <v>#DIV/0!</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C139</f>
        <v>13800</v>
      </c>
      <c r="D92" s="60">
        <v>1</v>
      </c>
      <c r="E92" s="287" t="s">
        <v>4363</v>
      </c>
      <c r="F92" s="288">
        <f>C138</f>
        <v>14413.4</v>
      </c>
      <c r="G92" s="287">
        <f>C92*D92*0.99114/(F92*1.0037158)</f>
        <v>0.94544635096969354</v>
      </c>
      <c r="H92" s="328">
        <f>C92/F92</f>
        <v>0.95744238000749304</v>
      </c>
      <c r="I92" s="329">
        <f>F92/C92</f>
        <v>1.0444492753623189</v>
      </c>
      <c r="J92" s="20"/>
      <c r="K92" s="20">
        <f>H92/H88</f>
        <v>1.0268705263658293</v>
      </c>
      <c r="L92" s="20">
        <f>(1/K92-1.0256)*100</f>
        <v>-5.1767394696706432</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14400</v>
      </c>
      <c r="Y95" s="115">
        <f>T95*X95</f>
        <v>12585600</v>
      </c>
    </row>
    <row r="96" spans="1:25">
      <c r="A96" s="289" t="s">
        <v>5617</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1730</v>
      </c>
      <c r="Y96" s="115">
        <f>T96*X96</f>
        <v>510350000</v>
      </c>
    </row>
    <row r="97" spans="1:27">
      <c r="A97" s="289" t="s">
        <v>5621</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5437</v>
      </c>
      <c r="S98" s="97" t="s">
        <v>5338</v>
      </c>
      <c r="T98" s="97">
        <v>0</v>
      </c>
      <c r="U98" s="115">
        <v>683292</v>
      </c>
      <c r="V98" s="115"/>
      <c r="W98" s="115"/>
      <c r="X98" s="97">
        <f>'برنامه 5 ساله'!P47</f>
        <v>1300</v>
      </c>
      <c r="Y98" s="115">
        <f>U98</f>
        <v>683292</v>
      </c>
    </row>
    <row r="99" spans="1:27">
      <c r="A99" s="289" t="s">
        <v>5677</v>
      </c>
      <c r="B99" s="289" t="s">
        <v>4221</v>
      </c>
      <c r="C99" s="291">
        <v>1868</v>
      </c>
      <c r="D99" s="289">
        <v>163949</v>
      </c>
      <c r="E99" s="60" t="s">
        <v>4359</v>
      </c>
      <c r="F99" s="49">
        <v>14855</v>
      </c>
      <c r="G99" s="323">
        <f t="shared" ref="G99:G102" si="30">C99*D99*0.99114/(F99*1.0037158)</f>
        <v>20358.099409520739</v>
      </c>
      <c r="H99" s="290">
        <f t="shared" ref="H99" si="31">C99/F99</f>
        <v>0.12574890609222483</v>
      </c>
      <c r="I99" s="306">
        <f t="shared" ref="I99" si="32">F99/C99</f>
        <v>7.9523554603854389</v>
      </c>
      <c r="J99" s="20"/>
      <c r="K99" s="20">
        <f t="shared" ref="K99" si="33">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c r="B100" s="289"/>
      <c r="C100" s="291"/>
      <c r="D100" s="289"/>
      <c r="E100" s="60"/>
      <c r="F100" s="49"/>
      <c r="G100" s="323" t="e">
        <f t="shared" ref="G100:G101" si="34">C100*D100*0.99114/(F100*1.0037158)</f>
        <v>#DIV/0!</v>
      </c>
      <c r="H100" s="290" t="e">
        <f t="shared" ref="H100:H101" si="35">C100/F100</f>
        <v>#DIV/0!</v>
      </c>
      <c r="I100" s="306" t="e">
        <f t="shared" ref="I100:I101" si="36">F100/C100</f>
        <v>#DIV/0!</v>
      </c>
      <c r="J100" s="20"/>
      <c r="K100" s="20" t="e">
        <f>H100/#REF!</f>
        <v>#DIV/0!</v>
      </c>
      <c r="L100">
        <v>1.0709279845666142</v>
      </c>
      <c r="M100" s="97"/>
      <c r="N100" s="97"/>
      <c r="R100" s="97"/>
      <c r="S100" s="97"/>
      <c r="T100" s="97"/>
      <c r="U100" s="115"/>
      <c r="V100" s="115"/>
      <c r="W100" s="97"/>
      <c r="X100" s="97"/>
      <c r="Y100" s="97"/>
    </row>
    <row r="101" spans="1:27">
      <c r="A101" s="289"/>
      <c r="B101" s="289"/>
      <c r="C101" s="291"/>
      <c r="D101" s="289" t="s">
        <v>25</v>
      </c>
      <c r="E101" s="60"/>
      <c r="F101" s="49"/>
      <c r="G101" s="323" t="e">
        <f t="shared" si="34"/>
        <v>#VALUE!</v>
      </c>
      <c r="H101" s="290" t="e">
        <f t="shared" si="35"/>
        <v>#DIV/0!</v>
      </c>
      <c r="I101" s="306" t="e">
        <f t="shared" si="36"/>
        <v>#DIV/0!</v>
      </c>
      <c r="J101" s="20"/>
      <c r="K101" s="20" t="e">
        <f t="shared" ref="K101" si="37">H101/H100</f>
        <v>#DIV/0!</v>
      </c>
      <c r="L101" s="97"/>
      <c r="M101" s="97"/>
      <c r="N101" s="97"/>
      <c r="R101" s="97"/>
      <c r="S101" s="97"/>
      <c r="T101" s="97"/>
      <c r="U101" s="115"/>
      <c r="V101" s="115"/>
      <c r="W101" s="97"/>
      <c r="X101" s="97"/>
      <c r="Y101" s="97"/>
    </row>
    <row r="102" spans="1:27">
      <c r="A102" s="289"/>
      <c r="B102" s="289"/>
      <c r="C102" s="291">
        <f>C137</f>
        <v>1686</v>
      </c>
      <c r="D102" s="289">
        <v>1</v>
      </c>
      <c r="E102" s="60" t="s">
        <v>4359</v>
      </c>
      <c r="F102" s="49">
        <f>C139</f>
        <v>13800</v>
      </c>
      <c r="G102" s="289">
        <f t="shared" si="30"/>
        <v>0.12064316629658819</v>
      </c>
      <c r="H102" s="290">
        <f>C102/F102</f>
        <v>0.12217391304347826</v>
      </c>
      <c r="I102" s="306">
        <f>F102/C102</f>
        <v>8.185053380782918</v>
      </c>
      <c r="J102" s="97"/>
      <c r="K102" s="97">
        <f>H102/H99</f>
        <v>0.97157038450796018</v>
      </c>
      <c r="L102" s="97">
        <f>(1/K102-1.0256)*100</f>
        <v>0.36615089399185674</v>
      </c>
      <c r="M102" s="97"/>
      <c r="N102" s="97"/>
      <c r="R102" s="97"/>
      <c r="S102" s="97"/>
      <c r="T102" s="97"/>
      <c r="U102" s="115">
        <v>159900000</v>
      </c>
      <c r="V102" s="115"/>
      <c r="W102" s="97"/>
      <c r="X102" s="97"/>
      <c r="Y102" s="93">
        <f>SUM(Y95:Y99)</f>
        <v>531299861</v>
      </c>
    </row>
    <row r="103" spans="1:27">
      <c r="A103" s="298"/>
      <c r="B103" s="298"/>
      <c r="C103" s="299"/>
      <c r="D103" s="298"/>
      <c r="E103" s="298"/>
      <c r="F103" s="299"/>
      <c r="G103" s="298"/>
      <c r="H103" s="300"/>
      <c r="I103" s="307"/>
      <c r="J103" s="298"/>
      <c r="K103" s="298"/>
      <c r="L103" s="298"/>
      <c r="M103" s="298"/>
      <c r="N103" s="97"/>
      <c r="R103" s="97"/>
      <c r="S103" s="97"/>
      <c r="T103" s="97"/>
      <c r="U103" s="115"/>
      <c r="V103" s="115"/>
      <c r="W103" s="97"/>
      <c r="X103" s="97"/>
      <c r="Y103" s="97"/>
    </row>
    <row r="104" spans="1:27" ht="18.75">
      <c r="A104" s="289" t="s">
        <v>5460</v>
      </c>
      <c r="B104" s="289" t="s">
        <v>4221</v>
      </c>
      <c r="C104" s="291">
        <v>591</v>
      </c>
      <c r="D104" s="289">
        <v>10061</v>
      </c>
      <c r="E104" s="287" t="s">
        <v>4363</v>
      </c>
      <c r="F104" s="288">
        <v>7941</v>
      </c>
      <c r="G104" s="296">
        <f t="shared" si="10"/>
        <v>738.05353120447069</v>
      </c>
      <c r="H104" s="295">
        <f t="shared" si="8"/>
        <v>7.4423876086135252E-2</v>
      </c>
      <c r="I104" s="306">
        <f t="shared" si="9"/>
        <v>13.436548223350254</v>
      </c>
      <c r="J104" s="97" t="s">
        <v>452</v>
      </c>
      <c r="K104" s="308">
        <v>1</v>
      </c>
      <c r="L104" s="97"/>
      <c r="M104" s="97" t="s">
        <v>25</v>
      </c>
      <c r="N104" s="97"/>
      <c r="P104" t="s">
        <v>25</v>
      </c>
      <c r="R104" s="97"/>
      <c r="S104" s="97"/>
      <c r="T104" s="97"/>
      <c r="U104" s="97"/>
      <c r="V104" s="97"/>
      <c r="W104" s="97"/>
      <c r="X104" s="97"/>
      <c r="Y104" s="97"/>
    </row>
    <row r="105" spans="1:27" ht="18.75">
      <c r="A105" s="289" t="s">
        <v>5461</v>
      </c>
      <c r="B105" s="289" t="s">
        <v>4221</v>
      </c>
      <c r="C105" s="291">
        <v>612</v>
      </c>
      <c r="D105" s="289">
        <v>27000</v>
      </c>
      <c r="E105" s="287" t="s">
        <v>4363</v>
      </c>
      <c r="F105" s="288">
        <v>7835</v>
      </c>
      <c r="G105" s="296">
        <f t="shared" si="10"/>
        <v>2078.7899765676852</v>
      </c>
      <c r="H105" s="295">
        <f t="shared" si="8"/>
        <v>7.8111040204211876E-2</v>
      </c>
      <c r="I105" s="306">
        <f t="shared" si="9"/>
        <v>12.802287581699346</v>
      </c>
      <c r="J105" s="97"/>
      <c r="K105" s="308">
        <f>H105/H104</f>
        <v>1.0495427584799433</v>
      </c>
      <c r="L105" s="97"/>
      <c r="M105" s="97"/>
      <c r="N105" s="97"/>
      <c r="R105" s="97"/>
      <c r="S105" s="97"/>
      <c r="T105" s="97"/>
      <c r="U105" s="97"/>
      <c r="V105" s="97"/>
      <c r="W105" s="97"/>
      <c r="X105" s="97"/>
      <c r="Y105" s="97"/>
    </row>
    <row r="106" spans="1:27" ht="18.75">
      <c r="A106" s="289" t="s">
        <v>5472</v>
      </c>
      <c r="B106" s="289" t="s">
        <v>4221</v>
      </c>
      <c r="C106" s="291">
        <v>657</v>
      </c>
      <c r="D106" s="289">
        <v>76080</v>
      </c>
      <c r="E106" s="287" t="s">
        <v>4363</v>
      </c>
      <c r="F106" s="288">
        <v>8202</v>
      </c>
      <c r="G106" s="296">
        <f>C106*D106*0.99025/(F106*1.0046399)</f>
        <v>6006.9018679031451</v>
      </c>
      <c r="H106" s="295">
        <f>C106/F106</f>
        <v>8.0102414045354786E-2</v>
      </c>
      <c r="I106" s="306">
        <f>F106/C106</f>
        <v>12.484018264840183</v>
      </c>
      <c r="J106" s="97" t="s">
        <v>452</v>
      </c>
      <c r="K106" s="308">
        <f t="shared" ref="K106:K116" si="38">H106/H105</f>
        <v>1.0254941405969848</v>
      </c>
      <c r="L106" s="97" t="s">
        <v>25</v>
      </c>
      <c r="M106" s="97"/>
      <c r="N106" s="97"/>
      <c r="P106" t="s">
        <v>25</v>
      </c>
    </row>
    <row r="107" spans="1:27" ht="18.75">
      <c r="A107" s="289" t="s">
        <v>4822</v>
      </c>
      <c r="B107" s="289" t="s">
        <v>4221</v>
      </c>
      <c r="C107" s="291">
        <v>626.4</v>
      </c>
      <c r="D107" s="289">
        <v>15063</v>
      </c>
      <c r="E107" s="287" t="s">
        <v>4363</v>
      </c>
      <c r="F107" s="288">
        <v>7808</v>
      </c>
      <c r="G107" s="296">
        <f>C107*D107*0.99025/(F107*1.0046399)</f>
        <v>1191.1263963477256</v>
      </c>
      <c r="H107" s="295">
        <f>C107/F107</f>
        <v>8.0225409836065575E-2</v>
      </c>
      <c r="I107" s="306">
        <f>F107/C107</f>
        <v>12.464878671775224</v>
      </c>
      <c r="J107" s="97" t="s">
        <v>744</v>
      </c>
      <c r="K107" s="308">
        <f t="shared" si="38"/>
        <v>1.001535481697732</v>
      </c>
      <c r="L107" s="97"/>
      <c r="M107" s="97"/>
      <c r="N107" s="97"/>
    </row>
    <row r="108" spans="1:27" ht="18.75">
      <c r="A108" s="289" t="s">
        <v>5464</v>
      </c>
      <c r="B108" s="289" t="s">
        <v>4221</v>
      </c>
      <c r="C108" s="291">
        <v>626.4</v>
      </c>
      <c r="D108" s="289">
        <v>128144</v>
      </c>
      <c r="E108" s="287" t="s">
        <v>4363</v>
      </c>
      <c r="F108" s="288">
        <v>7807</v>
      </c>
      <c r="G108" s="296">
        <f>C108*D108*0.99025/(F108*1.0046399)</f>
        <v>10134.452105643004</v>
      </c>
      <c r="H108" s="295">
        <f>C108/F108</f>
        <v>8.023568592288971E-2</v>
      </c>
      <c r="I108" s="306">
        <f>F108/C108</f>
        <v>12.463282247765006</v>
      </c>
      <c r="J108" s="97" t="s">
        <v>452</v>
      </c>
      <c r="K108" s="308">
        <f t="shared" si="38"/>
        <v>1.0001280901754834</v>
      </c>
      <c r="L108" s="97"/>
      <c r="M108" s="97"/>
      <c r="N108" s="97"/>
      <c r="O108" t="s">
        <v>25</v>
      </c>
      <c r="R108" s="97" t="s">
        <v>744</v>
      </c>
      <c r="S108" s="97"/>
      <c r="T108" s="97"/>
      <c r="U108" s="97"/>
      <c r="V108" s="97"/>
      <c r="W108" s="97" t="s">
        <v>1220</v>
      </c>
      <c r="X108" s="97" t="s">
        <v>926</v>
      </c>
      <c r="Y108" s="67" t="s">
        <v>5469</v>
      </c>
      <c r="Z108" t="s">
        <v>25</v>
      </c>
    </row>
    <row r="109" spans="1:27" ht="18.75">
      <c r="A109" s="289" t="s">
        <v>5472</v>
      </c>
      <c r="B109" s="289" t="s">
        <v>4221</v>
      </c>
      <c r="C109" s="291">
        <v>656.8</v>
      </c>
      <c r="D109" s="289">
        <v>72223</v>
      </c>
      <c r="E109" s="287" t="s">
        <v>4363</v>
      </c>
      <c r="F109" s="288">
        <v>8184</v>
      </c>
      <c r="G109" s="296">
        <f t="shared" si="10"/>
        <v>5713.1743300846874</v>
      </c>
      <c r="H109" s="295">
        <f>C109/F109</f>
        <v>8.0254154447702827E-2</v>
      </c>
      <c r="I109" s="306">
        <f>F109/C109</f>
        <v>12.460414129110841</v>
      </c>
      <c r="J109" s="97" t="s">
        <v>744</v>
      </c>
      <c r="K109" s="308">
        <f t="shared" si="38"/>
        <v>1.0002301784374457</v>
      </c>
      <c r="L109" s="97"/>
      <c r="M109" s="97" t="s">
        <v>25</v>
      </c>
      <c r="N109" s="97"/>
      <c r="R109" s="97"/>
      <c r="S109" s="97" t="s">
        <v>4363</v>
      </c>
      <c r="T109" s="97">
        <v>4279</v>
      </c>
      <c r="U109" s="115">
        <v>32796123</v>
      </c>
      <c r="V109" s="115">
        <f>U109/T109</f>
        <v>7664.436316896471</v>
      </c>
      <c r="W109" s="115">
        <f>V109*1.01</f>
        <v>7741.0806800654354</v>
      </c>
      <c r="X109" s="97">
        <f>X95</f>
        <v>14400</v>
      </c>
      <c r="Y109" s="97">
        <f>T109*X109</f>
        <v>61617600</v>
      </c>
    </row>
    <row r="110" spans="1:27" ht="18.75">
      <c r="A110" s="289" t="s">
        <v>5522</v>
      </c>
      <c r="B110" s="289" t="s">
        <v>4221</v>
      </c>
      <c r="C110" s="291">
        <v>864.7</v>
      </c>
      <c r="D110" s="289">
        <v>10000</v>
      </c>
      <c r="E110" s="287" t="s">
        <v>4363</v>
      </c>
      <c r="F110" s="288">
        <v>10794</v>
      </c>
      <c r="G110" s="296">
        <f t="shared" ref="G110" si="39">C110*D110*0.99025/(F110*1.0046399)</f>
        <v>789.6187890074915</v>
      </c>
      <c r="H110" s="297">
        <f t="shared" ref="H110" si="40">C110/F110</f>
        <v>8.0109319992588482E-2</v>
      </c>
      <c r="I110" s="306">
        <f t="shared" ref="I110" si="41">F110/C110</f>
        <v>12.482942060830345</v>
      </c>
      <c r="J110" s="97" t="s">
        <v>452</v>
      </c>
      <c r="K110" s="308">
        <f t="shared" si="38"/>
        <v>0.99819530270911117</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872.5</v>
      </c>
      <c r="D111" s="289">
        <v>50000</v>
      </c>
      <c r="E111" s="287" t="s">
        <v>4363</v>
      </c>
      <c r="F111" s="288">
        <v>10839</v>
      </c>
      <c r="G111" s="296">
        <f>C111*D111*0.99025/(F111*1.0046399)</f>
        <v>3967.1685488397402</v>
      </c>
      <c r="H111" s="297">
        <f>C111/F111</f>
        <v>8.0496355752375681E-2</v>
      </c>
      <c r="I111" s="306">
        <f>F111/C111</f>
        <v>12.422922636103152</v>
      </c>
      <c r="J111" s="97" t="s">
        <v>452</v>
      </c>
      <c r="K111" s="308">
        <f t="shared" si="38"/>
        <v>1.0048313449648931</v>
      </c>
      <c r="L111" s="97"/>
      <c r="M111" s="97"/>
      <c r="N111" s="97"/>
      <c r="R111" s="97"/>
      <c r="S111" s="97" t="s">
        <v>4221</v>
      </c>
      <c r="T111" s="97">
        <v>12936</v>
      </c>
      <c r="U111" s="115">
        <v>6322162</v>
      </c>
      <c r="V111" s="115">
        <f>U111/T111</f>
        <v>488.72619047619048</v>
      </c>
      <c r="W111" s="115">
        <f>V111*1.01</f>
        <v>493.61345238095237</v>
      </c>
      <c r="X111" s="97">
        <f>X96</f>
        <v>1730</v>
      </c>
      <c r="Y111" s="97">
        <f>T111*X111</f>
        <v>22379280</v>
      </c>
    </row>
    <row r="112" spans="1:27" ht="18.75">
      <c r="A112" s="289" t="s">
        <v>5476</v>
      </c>
      <c r="B112" s="289" t="s">
        <v>4221</v>
      </c>
      <c r="C112" s="291">
        <v>689.6</v>
      </c>
      <c r="D112" s="289">
        <v>78468</v>
      </c>
      <c r="E112" s="287" t="s">
        <v>4363</v>
      </c>
      <c r="F112" s="288">
        <v>8462</v>
      </c>
      <c r="G112" s="296">
        <f t="shared" ref="G112" si="42">C112*D112*0.99025/(F112*1.0046399)</f>
        <v>6303.0571343067613</v>
      </c>
      <c r="H112" s="297">
        <f t="shared" ref="H112" si="43">C112/F112</f>
        <v>8.1493736705270631E-2</v>
      </c>
      <c r="I112" s="306">
        <f t="shared" ref="I112" si="44">F112/C112</f>
        <v>12.270881670533642</v>
      </c>
      <c r="J112" s="97" t="s">
        <v>452</v>
      </c>
      <c r="K112" s="308">
        <f t="shared" si="38"/>
        <v>1.0123903864165369</v>
      </c>
      <c r="L112" s="97"/>
      <c r="M112" s="97"/>
      <c r="N112" s="97" t="s">
        <v>25</v>
      </c>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5522</v>
      </c>
      <c r="B113" s="289" t="s">
        <v>4221</v>
      </c>
      <c r="C113" s="291">
        <v>887.6</v>
      </c>
      <c r="D113" s="289">
        <v>100000</v>
      </c>
      <c r="E113" s="287" t="s">
        <v>4363</v>
      </c>
      <c r="F113" s="288">
        <v>10887</v>
      </c>
      <c r="G113" s="296">
        <f>C113*D113*0.99025/(F113*1.0046399)</f>
        <v>8036.0660793919105</v>
      </c>
      <c r="H113" s="297">
        <f>C113/F113</f>
        <v>8.1528428400845052E-2</v>
      </c>
      <c r="I113" s="306">
        <f>F113/C113</f>
        <v>12.265660207300586</v>
      </c>
      <c r="J113" s="97" t="s">
        <v>452</v>
      </c>
      <c r="K113" s="308">
        <f t="shared" si="38"/>
        <v>1.0004256976913439</v>
      </c>
      <c r="L113" s="97"/>
      <c r="M113" s="97" t="s">
        <v>25</v>
      </c>
      <c r="N113" s="97"/>
      <c r="R113" s="97" t="s">
        <v>5437</v>
      </c>
      <c r="S113" s="97" t="s">
        <v>4522</v>
      </c>
      <c r="T113" s="97">
        <v>0</v>
      </c>
      <c r="U113" s="115">
        <v>180438</v>
      </c>
      <c r="V113" s="115"/>
      <c r="W113" s="115"/>
      <c r="X113" s="97">
        <f>X99</f>
        <v>1500</v>
      </c>
      <c r="Y113" s="93">
        <f>U113</f>
        <v>180438</v>
      </c>
    </row>
    <row r="114" spans="1:25" ht="18.75">
      <c r="A114" s="289" t="s">
        <v>5522</v>
      </c>
      <c r="B114" s="289" t="s">
        <v>4221</v>
      </c>
      <c r="C114" s="291">
        <v>896.4</v>
      </c>
      <c r="D114" s="289">
        <v>70000</v>
      </c>
      <c r="E114" s="287" t="s">
        <v>4363</v>
      </c>
      <c r="F114" s="288">
        <v>10963</v>
      </c>
      <c r="G114" s="296">
        <f>C114*D114*0.99025/(F114*1.0046399)</f>
        <v>5641.6339272996938</v>
      </c>
      <c r="H114" s="297">
        <f>C114/F114</f>
        <v>8.1765939979932492E-2</v>
      </c>
      <c r="I114" s="306">
        <f>F114/C114</f>
        <v>12.230031236055332</v>
      </c>
      <c r="J114" s="97" t="s">
        <v>452</v>
      </c>
      <c r="K114" s="308">
        <f t="shared" si="38"/>
        <v>1.002913236324386</v>
      </c>
      <c r="L114" s="97"/>
      <c r="M114" s="97"/>
      <c r="N114" s="97"/>
      <c r="R114" s="97"/>
      <c r="S114" s="97"/>
      <c r="T114" s="97"/>
      <c r="U114" s="115"/>
      <c r="V114" s="115"/>
      <c r="W114" s="115"/>
      <c r="X114" s="97"/>
      <c r="Y114" s="97"/>
    </row>
    <row r="115" spans="1:25" ht="27" customHeight="1">
      <c r="A115" s="289" t="s">
        <v>5522</v>
      </c>
      <c r="B115" s="289" t="s">
        <v>4221</v>
      </c>
      <c r="C115" s="291">
        <v>899.9</v>
      </c>
      <c r="D115" s="289">
        <v>10000</v>
      </c>
      <c r="E115" s="287" t="s">
        <v>4363</v>
      </c>
      <c r="F115" s="288">
        <v>10975</v>
      </c>
      <c r="G115" s="296">
        <f>C115*D115*0.99025/(F115*1.0046399)</f>
        <v>808.20987311451961</v>
      </c>
      <c r="H115" s="297">
        <f>C115/F115</f>
        <v>8.1995444191343955E-2</v>
      </c>
      <c r="I115" s="306">
        <f>F115/C115</f>
        <v>12.195799533281477</v>
      </c>
      <c r="J115" s="97" t="s">
        <v>452</v>
      </c>
      <c r="K115" s="308">
        <f t="shared" si="38"/>
        <v>1.0028068436743685</v>
      </c>
      <c r="L115" s="320">
        <f>SUM(G104:G125)</f>
        <v>243358.09915405852</v>
      </c>
      <c r="M115" s="217" t="s">
        <v>5589</v>
      </c>
      <c r="N115" s="97"/>
      <c r="R115" s="97"/>
      <c r="S115" s="97"/>
      <c r="T115" s="97"/>
      <c r="U115" s="115">
        <v>141800000</v>
      </c>
      <c r="V115" s="115"/>
      <c r="W115" s="115"/>
      <c r="X115" s="97"/>
      <c r="Y115" s="93">
        <f>SUM(Y109:Y113)</f>
        <v>273570418</v>
      </c>
    </row>
    <row r="116" spans="1:25" ht="18.75">
      <c r="A116" s="289" t="s">
        <v>5522</v>
      </c>
      <c r="B116" s="289" t="s">
        <v>4221</v>
      </c>
      <c r="C116" s="291">
        <v>903</v>
      </c>
      <c r="D116" s="289">
        <v>5000</v>
      </c>
      <c r="E116" s="287" t="s">
        <v>4363</v>
      </c>
      <c r="F116" s="288">
        <v>11012</v>
      </c>
      <c r="G116" s="296">
        <f>C116*D116*0.99025/(F116*1.0046399)</f>
        <v>404.13455007133837</v>
      </c>
      <c r="H116" s="297">
        <f>C116/F116</f>
        <v>8.2001452960406826E-2</v>
      </c>
      <c r="I116" s="306">
        <f>F116/C116</f>
        <v>12.194905869324474</v>
      </c>
      <c r="J116" s="97" t="s">
        <v>452</v>
      </c>
      <c r="K116" s="308">
        <f t="shared" si="38"/>
        <v>1.0000732817429325</v>
      </c>
      <c r="L116" s="60">
        <f>SUM(G94:G99)</f>
        <v>129353.39018621478</v>
      </c>
      <c r="M116" s="60" t="s">
        <v>5590</v>
      </c>
      <c r="N116" s="97"/>
    </row>
    <row r="117" spans="1:25" ht="19.5">
      <c r="A117" s="289" t="s">
        <v>5522</v>
      </c>
      <c r="B117" s="289" t="s">
        <v>4221</v>
      </c>
      <c r="C117" s="291">
        <v>906.8</v>
      </c>
      <c r="D117" s="289">
        <v>3956</v>
      </c>
      <c r="E117" s="287" t="s">
        <v>4363</v>
      </c>
      <c r="F117" s="288">
        <v>10989</v>
      </c>
      <c r="G117" s="296">
        <f t="shared" ref="G117:G119" si="45">C117*D117*0.99025/(F117*1.0046399)</f>
        <v>321.76888796380018</v>
      </c>
      <c r="H117" s="302">
        <f t="shared" ref="H117:H119" si="46">C117/F117</f>
        <v>8.2518882518882508E-2</v>
      </c>
      <c r="I117" s="306">
        <f t="shared" ref="I117:I119" si="47">F117/C117</f>
        <v>12.118438464931629</v>
      </c>
      <c r="J117" s="97" t="s">
        <v>452</v>
      </c>
      <c r="K117" s="308">
        <f>H117/H116</f>
        <v>1.006310004759617</v>
      </c>
      <c r="L117" s="23">
        <v>0</v>
      </c>
      <c r="M117" s="23" t="s">
        <v>5591</v>
      </c>
      <c r="N117" s="97"/>
    </row>
    <row r="118" spans="1:25" ht="19.5">
      <c r="A118" s="289" t="s">
        <v>5601</v>
      </c>
      <c r="B118" s="289" t="s">
        <v>4221</v>
      </c>
      <c r="C118" s="291">
        <v>1496</v>
      </c>
      <c r="D118" s="289">
        <v>400000</v>
      </c>
      <c r="E118" s="287" t="s">
        <v>4363</v>
      </c>
      <c r="F118" s="288">
        <v>17598.400000000001</v>
      </c>
      <c r="G118" s="296">
        <f t="shared" si="45"/>
        <v>33516.049930930109</v>
      </c>
      <c r="H118" s="302">
        <f t="shared" si="46"/>
        <v>8.5007727975270467E-2</v>
      </c>
      <c r="I118" s="306">
        <f t="shared" si="47"/>
        <v>11.763636363636365</v>
      </c>
      <c r="J118" s="97" t="s">
        <v>452</v>
      </c>
      <c r="K118" s="308">
        <f t="shared" ref="K118:K125" si="48">H118/H117</f>
        <v>1.0301609205119622</v>
      </c>
      <c r="L118" s="97"/>
      <c r="M118" s="97"/>
      <c r="N118" s="97"/>
      <c r="Q118" t="s">
        <v>25</v>
      </c>
      <c r="R118" t="s">
        <v>25</v>
      </c>
      <c r="W118" t="s">
        <v>5470</v>
      </c>
      <c r="X118" s="112">
        <f>Y102+Y115-U102-U115</f>
        <v>503170279</v>
      </c>
    </row>
    <row r="119" spans="1:25" ht="19.5">
      <c r="A119" s="289" t="s">
        <v>5601</v>
      </c>
      <c r="B119" s="289" t="s">
        <v>4221</v>
      </c>
      <c r="C119" s="291">
        <v>1496</v>
      </c>
      <c r="D119" s="289">
        <v>60000</v>
      </c>
      <c r="E119" s="287" t="s">
        <v>5600</v>
      </c>
      <c r="F119" s="288">
        <v>17502.3</v>
      </c>
      <c r="G119" s="296">
        <f t="shared" si="45"/>
        <v>5055.0115108112705</v>
      </c>
      <c r="H119" s="302">
        <f t="shared" si="46"/>
        <v>8.5474480496848984E-2</v>
      </c>
      <c r="I119" s="306">
        <f t="shared" si="47"/>
        <v>11.699398395721925</v>
      </c>
      <c r="J119" s="97" t="s">
        <v>452</v>
      </c>
      <c r="K119" s="308">
        <f t="shared" si="48"/>
        <v>1.00549070693566</v>
      </c>
      <c r="L119" s="97"/>
      <c r="M119" s="97"/>
      <c r="N119" s="97"/>
      <c r="R119" t="s">
        <v>25</v>
      </c>
    </row>
    <row r="120" spans="1:25" ht="19.5">
      <c r="A120" s="289" t="s">
        <v>5605</v>
      </c>
      <c r="B120" s="289" t="s">
        <v>4221</v>
      </c>
      <c r="C120" s="291">
        <v>1569</v>
      </c>
      <c r="D120" s="289">
        <v>200000</v>
      </c>
      <c r="E120" s="287" t="s">
        <v>4363</v>
      </c>
      <c r="F120" s="288">
        <v>18007.900000000001</v>
      </c>
      <c r="G120" s="296">
        <f t="shared" ref="G120:G121" si="49">C120*D120*0.99025/(F120*1.0046399)</f>
        <v>17176.089622804029</v>
      </c>
      <c r="H120" s="302">
        <f>C120/F120</f>
        <v>8.7128426968163961E-2</v>
      </c>
      <c r="I120" s="306">
        <f t="shared" ref="I120:I122" si="50">F120/C120</f>
        <v>11.477310388782666</v>
      </c>
      <c r="J120" s="97" t="s">
        <v>452</v>
      </c>
      <c r="K120" s="308">
        <f t="shared" si="48"/>
        <v>1.0193501786931123</v>
      </c>
      <c r="L120" s="97"/>
      <c r="M120" s="97"/>
      <c r="N120" s="97"/>
      <c r="R120" t="s">
        <v>25</v>
      </c>
    </row>
    <row r="121" spans="1:25" ht="19.5">
      <c r="A121" s="289" t="s">
        <v>5627</v>
      </c>
      <c r="B121" s="289" t="s">
        <v>4221</v>
      </c>
      <c r="C121" s="291">
        <v>1805.9</v>
      </c>
      <c r="D121" s="289">
        <v>49356</v>
      </c>
      <c r="E121" s="287" t="s">
        <v>4363</v>
      </c>
      <c r="F121" s="288">
        <v>19287.3</v>
      </c>
      <c r="G121" s="296">
        <f t="shared" si="49"/>
        <v>4555.0866881669281</v>
      </c>
      <c r="H121" s="302">
        <f t="shared" ref="H121:H122" si="51">C121/F121</f>
        <v>9.3631560664271321E-2</v>
      </c>
      <c r="I121" s="306">
        <f t="shared" si="50"/>
        <v>10.680159477268951</v>
      </c>
      <c r="J121" s="97" t="s">
        <v>452</v>
      </c>
      <c r="K121" s="308">
        <f t="shared" si="48"/>
        <v>1.0746384839299756</v>
      </c>
      <c r="L121" s="97"/>
      <c r="M121" s="97"/>
      <c r="N121" s="97"/>
      <c r="R121" t="s">
        <v>25</v>
      </c>
    </row>
    <row r="122" spans="1:25" ht="19.5">
      <c r="A122" s="289" t="s">
        <v>5676</v>
      </c>
      <c r="B122" s="289" t="s">
        <v>4221</v>
      </c>
      <c r="C122" s="291">
        <v>1799</v>
      </c>
      <c r="D122" s="289">
        <v>972991</v>
      </c>
      <c r="E122" s="287" t="s">
        <v>4363</v>
      </c>
      <c r="F122" s="288">
        <v>18150.38</v>
      </c>
      <c r="G122" s="322">
        <f>C122*D122*0.99114/(F122*1.0037158)</f>
        <v>95231.035667644304</v>
      </c>
      <c r="H122" s="302">
        <f t="shared" si="51"/>
        <v>9.911638213635196E-2</v>
      </c>
      <c r="I122" s="306">
        <f t="shared" si="50"/>
        <v>10.089149527515287</v>
      </c>
      <c r="J122" s="97"/>
      <c r="K122" s="308">
        <f t="shared" si="48"/>
        <v>1.0585787680261702</v>
      </c>
      <c r="L122" s="97"/>
      <c r="M122" s="97"/>
      <c r="N122" s="97"/>
      <c r="R122" t="s">
        <v>25</v>
      </c>
      <c r="S122" t="s">
        <v>25</v>
      </c>
    </row>
    <row r="123" spans="1:25" ht="19.5">
      <c r="A123" s="289" t="s">
        <v>5677</v>
      </c>
      <c r="B123" s="289" t="s">
        <v>4221</v>
      </c>
      <c r="C123" s="291">
        <v>1868</v>
      </c>
      <c r="D123" s="289">
        <v>116742</v>
      </c>
      <c r="E123" s="287" t="s">
        <v>4363</v>
      </c>
      <c r="F123" s="288">
        <v>17760</v>
      </c>
      <c r="G123" s="322">
        <f t="shared" ref="G123:G134" si="52">C123*D123*0.99114/(F123*1.0037158)</f>
        <v>12125.098703723192</v>
      </c>
      <c r="H123" s="302">
        <f t="shared" ref="H123:H125" si="53">C123/F123</f>
        <v>0.10518018018018017</v>
      </c>
      <c r="I123" s="306">
        <f t="shared" ref="I123:I125" si="54">F123/C123</f>
        <v>9.5074946466809429</v>
      </c>
      <c r="J123" s="97"/>
      <c r="K123" s="308">
        <f t="shared" si="48"/>
        <v>1.0611785651688375</v>
      </c>
      <c r="L123" s="97"/>
      <c r="M123" s="97"/>
      <c r="N123" s="97"/>
      <c r="R123" t="s">
        <v>25</v>
      </c>
      <c r="S123" t="s">
        <v>25</v>
      </c>
    </row>
    <row r="124" spans="1:25" ht="19.5">
      <c r="A124" s="289" t="s">
        <v>5680</v>
      </c>
      <c r="B124" s="289" t="s">
        <v>4221</v>
      </c>
      <c r="C124" s="291">
        <v>1911</v>
      </c>
      <c r="D124" s="289">
        <v>63500</v>
      </c>
      <c r="E124" s="287" t="s">
        <v>4363</v>
      </c>
      <c r="F124" s="288">
        <v>17698.400000000001</v>
      </c>
      <c r="G124" s="322">
        <f t="shared" si="52"/>
        <v>6770.5609012338327</v>
      </c>
      <c r="H124" s="302">
        <f t="shared" si="53"/>
        <v>0.10797586222483388</v>
      </c>
      <c r="I124" s="306">
        <f t="shared" si="54"/>
        <v>9.2613291470434334</v>
      </c>
      <c r="J124" s="97" t="s">
        <v>25</v>
      </c>
      <c r="K124" s="308">
        <f t="shared" si="48"/>
        <v>1.0265799320733671</v>
      </c>
      <c r="L124" s="97"/>
      <c r="M124" s="97"/>
      <c r="N124" s="97"/>
    </row>
    <row r="125" spans="1:25" ht="19.5">
      <c r="A125" s="289" t="s">
        <v>5665</v>
      </c>
      <c r="B125" s="289" t="s">
        <v>4221</v>
      </c>
      <c r="C125" s="291">
        <v>1943.72</v>
      </c>
      <c r="D125" s="289">
        <v>152164</v>
      </c>
      <c r="E125" s="287" t="s">
        <v>4363</v>
      </c>
      <c r="F125" s="288">
        <v>17389.599999999999</v>
      </c>
      <c r="G125" s="322">
        <f t="shared" si="52"/>
        <v>16795.010130998886</v>
      </c>
      <c r="H125" s="302">
        <f t="shared" si="53"/>
        <v>0.1117748539356857</v>
      </c>
      <c r="I125" s="306">
        <f t="shared" si="54"/>
        <v>8.9465560883254778</v>
      </c>
      <c r="J125" s="97"/>
      <c r="K125" s="308">
        <f t="shared" si="48"/>
        <v>1.0351837126610883</v>
      </c>
      <c r="L125" s="97"/>
      <c r="M125" s="97"/>
      <c r="N125" s="97"/>
    </row>
    <row r="126" spans="1:25" ht="19.5">
      <c r="A126" s="289" t="s">
        <v>5663</v>
      </c>
      <c r="B126" s="289" t="s">
        <v>4221</v>
      </c>
      <c r="C126" s="291">
        <v>1995</v>
      </c>
      <c r="D126" s="289">
        <v>100000</v>
      </c>
      <c r="E126" s="287" t="s">
        <v>4363</v>
      </c>
      <c r="F126" s="288">
        <v>17849</v>
      </c>
      <c r="G126" s="322">
        <f t="shared" ref="G126" si="55">C126*D126*0.99114/(F126*1.0037158)</f>
        <v>11037.056185487527</v>
      </c>
      <c r="H126" s="302">
        <f t="shared" ref="H126" si="56">C126/F126</f>
        <v>0.11177096756120791</v>
      </c>
      <c r="I126" s="306">
        <f t="shared" ref="I126" si="57">F126/C126</f>
        <v>8.9468671679198</v>
      </c>
      <c r="J126" s="97"/>
      <c r="K126" s="308">
        <f t="shared" ref="K126" si="58">H126/H125</f>
        <v>0.9999652303327542</v>
      </c>
      <c r="L126" s="97"/>
      <c r="M126" s="97"/>
      <c r="N126" s="97"/>
      <c r="S126" t="s">
        <v>25</v>
      </c>
    </row>
    <row r="127" spans="1:25" ht="19.5">
      <c r="A127" s="289" t="s">
        <v>5694</v>
      </c>
      <c r="B127" s="289" t="s">
        <v>4221</v>
      </c>
      <c r="C127" s="291">
        <v>2094</v>
      </c>
      <c r="D127" s="289">
        <v>20000</v>
      </c>
      <c r="E127" s="287" t="s">
        <v>4363</v>
      </c>
      <c r="F127" s="288">
        <v>18282.599999999999</v>
      </c>
      <c r="G127" s="322">
        <f t="shared" ref="G127:G128" si="59">C127*D127*0.99114/(F127*1.0037158)</f>
        <v>2262.0018634197863</v>
      </c>
      <c r="H127" s="302">
        <f t="shared" ref="H127:H128" si="60">C127/F127</f>
        <v>0.11453513176462868</v>
      </c>
      <c r="I127" s="306">
        <f t="shared" ref="I127:I128" si="61">F127/C127</f>
        <v>8.7309455587392542</v>
      </c>
      <c r="J127" s="97"/>
      <c r="K127" s="308">
        <f t="shared" ref="K127:K128" si="62">H127/H126</f>
        <v>1.0247306099583244</v>
      </c>
      <c r="L127" s="97"/>
      <c r="M127" s="97"/>
      <c r="N127" s="97"/>
    </row>
    <row r="128" spans="1:25" ht="19.5">
      <c r="A128" s="289" t="s">
        <v>5696</v>
      </c>
      <c r="B128" s="289" t="s">
        <v>4221</v>
      </c>
      <c r="C128" s="291">
        <v>2189</v>
      </c>
      <c r="D128" s="289">
        <v>19674</v>
      </c>
      <c r="E128" s="287" t="s">
        <v>4363</v>
      </c>
      <c r="F128" s="288">
        <v>18976.3</v>
      </c>
      <c r="G128" s="322">
        <f t="shared" si="59"/>
        <v>2241.0478728035109</v>
      </c>
      <c r="H128" s="302">
        <f t="shared" si="60"/>
        <v>0.11535441577125151</v>
      </c>
      <c r="I128" s="306">
        <f t="shared" si="61"/>
        <v>8.6689355870260396</v>
      </c>
      <c r="J128" s="97"/>
      <c r="K128" s="308">
        <f t="shared" si="62"/>
        <v>1.0071531240589697</v>
      </c>
      <c r="L128" s="97"/>
      <c r="M128" s="97"/>
      <c r="N128" s="97"/>
    </row>
    <row r="129" spans="1:20" ht="19.5">
      <c r="A129" s="289" t="s">
        <v>5698</v>
      </c>
      <c r="B129" s="289" t="s">
        <v>4221</v>
      </c>
      <c r="C129" s="291">
        <v>2294</v>
      </c>
      <c r="D129" s="289">
        <v>1</v>
      </c>
      <c r="E129" s="287" t="s">
        <v>4363</v>
      </c>
      <c r="F129" s="288">
        <v>18635.400000000001</v>
      </c>
      <c r="G129" s="322">
        <f t="shared" ref="G129" si="63">C129*D129*0.99114/(F129*1.0037158)</f>
        <v>0.12155671005939116</v>
      </c>
      <c r="H129" s="302">
        <f t="shared" ref="H129" si="64">C129/F129</f>
        <v>0.1230990480483381</v>
      </c>
      <c r="I129" s="306">
        <f t="shared" ref="I129" si="65">F129/C129</f>
        <v>8.1235396687009604</v>
      </c>
      <c r="J129" s="97"/>
      <c r="K129" s="308">
        <f t="shared" ref="K129" si="66">H129/H128</f>
        <v>1.0671377183552664</v>
      </c>
      <c r="L129" s="97"/>
      <c r="M129" s="97"/>
      <c r="N129" s="97"/>
      <c r="S129" t="s">
        <v>25</v>
      </c>
      <c r="T129" t="s">
        <v>25</v>
      </c>
    </row>
    <row r="130" spans="1:20" ht="19.5">
      <c r="A130" s="289"/>
      <c r="B130" s="289"/>
      <c r="C130" s="291"/>
      <c r="D130" s="289"/>
      <c r="E130" s="287"/>
      <c r="F130" s="288"/>
      <c r="G130" s="322" t="e">
        <f t="shared" ref="G130:G132" si="67">C130*D130*0.99114/(F130*1.0037158)</f>
        <v>#DIV/0!</v>
      </c>
      <c r="H130" s="302" t="e">
        <f t="shared" ref="H130:H132" si="68">C130/F130</f>
        <v>#DIV/0!</v>
      </c>
      <c r="I130" s="306" t="e">
        <f t="shared" ref="I130:I132" si="69">F130/C130</f>
        <v>#DIV/0!</v>
      </c>
      <c r="J130" s="97"/>
      <c r="K130" s="308" t="e">
        <f>H130/#REF!</f>
        <v>#DIV/0!</v>
      </c>
      <c r="L130" s="97"/>
      <c r="M130" s="97"/>
      <c r="N130" s="97"/>
      <c r="R130" t="s">
        <v>25</v>
      </c>
    </row>
    <row r="131" spans="1:20" ht="19.5">
      <c r="A131" s="289"/>
      <c r="B131" s="289"/>
      <c r="C131" s="291"/>
      <c r="D131" s="289"/>
      <c r="E131" s="287"/>
      <c r="F131" s="288"/>
      <c r="G131" s="322" t="e">
        <f t="shared" si="67"/>
        <v>#DIV/0!</v>
      </c>
      <c r="H131" s="302" t="e">
        <f t="shared" si="68"/>
        <v>#DIV/0!</v>
      </c>
      <c r="I131" s="306" t="e">
        <f t="shared" si="69"/>
        <v>#DIV/0!</v>
      </c>
      <c r="J131" s="97"/>
      <c r="K131" s="308" t="e">
        <f t="shared" ref="K131:K132" si="70">H131/H130</f>
        <v>#DIV/0!</v>
      </c>
      <c r="L131" s="97"/>
      <c r="M131" s="97"/>
      <c r="N131" s="97"/>
    </row>
    <row r="132" spans="1:20" ht="19.5">
      <c r="A132" s="289"/>
      <c r="B132" s="289"/>
      <c r="C132" s="291"/>
      <c r="D132" s="289"/>
      <c r="E132" s="287"/>
      <c r="F132" s="288"/>
      <c r="G132" s="322" t="e">
        <f t="shared" si="67"/>
        <v>#DIV/0!</v>
      </c>
      <c r="H132" s="302" t="e">
        <f t="shared" si="68"/>
        <v>#DIV/0!</v>
      </c>
      <c r="I132" s="306" t="e">
        <f t="shared" si="69"/>
        <v>#DIV/0!</v>
      </c>
      <c r="J132" s="97"/>
      <c r="K132" s="308" t="e">
        <f t="shared" si="70"/>
        <v>#DIV/0!</v>
      </c>
      <c r="L132" s="97" t="s">
        <v>25</v>
      </c>
      <c r="M132" s="97"/>
      <c r="N132" s="97"/>
      <c r="S132" t="s">
        <v>25</v>
      </c>
    </row>
    <row r="133" spans="1:20">
      <c r="A133" s="301"/>
      <c r="B133" s="301"/>
      <c r="C133" s="301"/>
      <c r="D133" s="301"/>
      <c r="E133" s="301"/>
      <c r="F133" s="301"/>
      <c r="G133" s="301"/>
      <c r="H133" s="301"/>
      <c r="I133" s="301"/>
      <c r="J133" s="313"/>
      <c r="K133" s="313"/>
      <c r="L133" s="314" t="s">
        <v>5513</v>
      </c>
      <c r="M133" s="298"/>
      <c r="N133" s="97">
        <f>1/M134</f>
        <v>11.99845392567488</v>
      </c>
    </row>
    <row r="134" spans="1:20" ht="18.75">
      <c r="A134" s="289" t="s">
        <v>5519</v>
      </c>
      <c r="B134" s="289" t="s">
        <v>4221</v>
      </c>
      <c r="C134" s="316">
        <f>C137</f>
        <v>1686</v>
      </c>
      <c r="D134" s="289">
        <v>1</v>
      </c>
      <c r="E134" s="287" t="s">
        <v>4363</v>
      </c>
      <c r="F134" s="315">
        <f>C138</f>
        <v>14413.4</v>
      </c>
      <c r="G134" s="289">
        <f t="shared" si="52"/>
        <v>0.11550888027064518</v>
      </c>
      <c r="H134" s="290">
        <f>C134/F134</f>
        <v>0.11697448207917632</v>
      </c>
      <c r="I134" s="290">
        <f>F134/C134</f>
        <v>8.5488730723606174</v>
      </c>
      <c r="J134" s="97"/>
      <c r="K134" s="309">
        <f>H134/H128</f>
        <v>1.0140442504701113</v>
      </c>
      <c r="L134" s="310">
        <f>(1/K134-1.0256)*100</f>
        <v>-3.944974123525713</v>
      </c>
      <c r="M134" s="97">
        <f>H117*1.01</f>
        <v>8.3344071344071333E-2</v>
      </c>
      <c r="N134" s="97">
        <f t="shared" ref="N134:N148" si="71">1/M135</f>
        <v>11.879657352153346</v>
      </c>
      <c r="R134" t="s">
        <v>25</v>
      </c>
    </row>
    <row r="135" spans="1:20">
      <c r="A135" s="289"/>
      <c r="B135" s="94"/>
      <c r="C135" s="94"/>
      <c r="D135" s="94"/>
      <c r="E135" s="94"/>
      <c r="F135" s="94"/>
      <c r="G135" s="94"/>
      <c r="H135" s="94"/>
      <c r="I135" s="94"/>
      <c r="J135" s="94"/>
      <c r="K135" s="94"/>
      <c r="L135" s="94"/>
      <c r="M135" s="97">
        <f>M134*1.01</f>
        <v>8.4177512057512047E-2</v>
      </c>
      <c r="N135" s="97">
        <f t="shared" si="71"/>
        <v>11.762036982330047</v>
      </c>
    </row>
    <row r="136" spans="1:20">
      <c r="A136" s="85"/>
      <c r="B136" s="94"/>
      <c r="C136" s="94"/>
      <c r="D136" s="94" t="s">
        <v>25</v>
      </c>
      <c r="E136" s="94"/>
      <c r="F136" s="94"/>
      <c r="G136" s="94"/>
      <c r="H136" s="94"/>
      <c r="I136" s="94"/>
      <c r="J136" s="94"/>
      <c r="K136" s="94"/>
      <c r="L136" s="94"/>
      <c r="M136" s="97">
        <f t="shared" ref="M136:M149" si="72">M135*1.01</f>
        <v>8.5019287178087169E-2</v>
      </c>
      <c r="N136" s="97">
        <f t="shared" si="71"/>
        <v>11.645581170623808</v>
      </c>
      <c r="R136" t="s">
        <v>25</v>
      </c>
      <c r="T136" t="s">
        <v>25</v>
      </c>
    </row>
    <row r="137" spans="1:20" ht="21">
      <c r="B137" t="s">
        <v>4221</v>
      </c>
      <c r="C137" s="312">
        <v>1686</v>
      </c>
      <c r="D137" t="s">
        <v>25</v>
      </c>
      <c r="F137">
        <v>13877.4</v>
      </c>
      <c r="G137">
        <f>F137/0.99114</f>
        <v>14001.452872449905</v>
      </c>
      <c r="I137">
        <v>3886</v>
      </c>
      <c r="J137">
        <v>3850</v>
      </c>
      <c r="M137" s="97">
        <f t="shared" si="72"/>
        <v>8.5869480049868038E-2</v>
      </c>
      <c r="N137" s="97">
        <f t="shared" si="71"/>
        <v>11.530278386756247</v>
      </c>
    </row>
    <row r="138" spans="1:20" ht="21">
      <c r="B138" t="s">
        <v>4363</v>
      </c>
      <c r="C138" s="311">
        <v>14413.4</v>
      </c>
      <c r="F138">
        <v>16128</v>
      </c>
      <c r="G138" s="94">
        <f t="shared" ref="G138:G139" si="73">F138/1.0037158</f>
        <v>16068.293435253287</v>
      </c>
      <c r="I138" s="94">
        <f>I137*J138/J137</f>
        <v>3878.9345454545455</v>
      </c>
      <c r="J138">
        <v>3843</v>
      </c>
      <c r="M138" s="97">
        <f t="shared" si="72"/>
        <v>8.6728174850366713E-2</v>
      </c>
      <c r="N138" s="97">
        <f t="shared" si="71"/>
        <v>11.416117214610145</v>
      </c>
      <c r="R138" t="s">
        <v>25</v>
      </c>
      <c r="S138" t="s">
        <v>25</v>
      </c>
    </row>
    <row r="139" spans="1:20">
      <c r="B139" t="s">
        <v>4359</v>
      </c>
      <c r="C139" s="319">
        <v>13800</v>
      </c>
      <c r="F139">
        <v>48690</v>
      </c>
      <c r="G139" s="94">
        <f t="shared" si="73"/>
        <v>48509.747480312661</v>
      </c>
      <c r="H139" s="94"/>
      <c r="I139">
        <f>I137-I138</f>
        <v>7.0654545454544859</v>
      </c>
      <c r="J139">
        <f>J137-J138</f>
        <v>7</v>
      </c>
      <c r="K139" t="s">
        <v>25</v>
      </c>
      <c r="L139" t="s">
        <v>25</v>
      </c>
      <c r="M139" s="97">
        <f t="shared" si="72"/>
        <v>8.7595456598870386E-2</v>
      </c>
      <c r="N139" s="97">
        <f t="shared" si="71"/>
        <v>11.303086351099154</v>
      </c>
    </row>
    <row r="140" spans="1:20">
      <c r="B140" t="s">
        <v>4490</v>
      </c>
      <c r="C140" s="325">
        <v>4098</v>
      </c>
      <c r="F140" s="94"/>
      <c r="G140" s="94"/>
      <c r="H140" s="94"/>
      <c r="J140" t="s">
        <v>25</v>
      </c>
      <c r="M140" s="97">
        <f t="shared" si="72"/>
        <v>8.8471411164859085E-2</v>
      </c>
      <c r="N140" s="97">
        <f t="shared" si="71"/>
        <v>11.191174605048667</v>
      </c>
    </row>
    <row r="141" spans="1:20">
      <c r="B141" t="s">
        <v>5709</v>
      </c>
      <c r="C141" s="326">
        <v>3900</v>
      </c>
      <c r="D141" s="113"/>
      <c r="E141" s="113"/>
      <c r="F141" s="94"/>
      <c r="G141" s="94"/>
      <c r="H141" s="94"/>
      <c r="M141" s="97">
        <f t="shared" si="72"/>
        <v>8.9356125276507672E-2</v>
      </c>
      <c r="N141" s="97">
        <f t="shared" si="71"/>
        <v>11.080370896087789</v>
      </c>
    </row>
    <row r="142" spans="1:20">
      <c r="C142" s="94"/>
      <c r="D142" s="94"/>
      <c r="E142" s="94"/>
      <c r="F142" s="94"/>
      <c r="G142" s="94"/>
      <c r="H142" s="94"/>
      <c r="I142" s="94"/>
      <c r="M142" s="97">
        <f t="shared" si="72"/>
        <v>9.0249686529272746E-2</v>
      </c>
      <c r="N142" s="97">
        <f t="shared" si="71"/>
        <v>10.970664253552266</v>
      </c>
    </row>
    <row r="143" spans="1:20">
      <c r="A143" s="289" t="s">
        <v>5696</v>
      </c>
      <c r="B143" s="289" t="s">
        <v>4221</v>
      </c>
      <c r="C143" s="289">
        <v>2189</v>
      </c>
      <c r="D143" s="289">
        <v>40346</v>
      </c>
      <c r="E143" s="61" t="s">
        <v>4490</v>
      </c>
      <c r="F143" s="61">
        <v>5060.8999999999996</v>
      </c>
      <c r="G143" s="61">
        <f t="shared" ref="G143" si="74">C143*D143*0.99114/(F143*1.0037158)</f>
        <v>17232.27960157987</v>
      </c>
      <c r="H143" s="61">
        <f t="shared" ref="H143" si="75">C143/F143</f>
        <v>0.43253176312513586</v>
      </c>
      <c r="I143" s="61">
        <f t="shared" ref="I143" si="76">F143/C143</f>
        <v>2.3119689355870259</v>
      </c>
      <c r="J143" s="61"/>
      <c r="K143" s="61">
        <v>1</v>
      </c>
      <c r="L143" s="61"/>
      <c r="M143" s="97">
        <f t="shared" si="72"/>
        <v>9.1152183394565475E-2</v>
      </c>
      <c r="N143" s="97">
        <f t="shared" si="71"/>
        <v>10.862043815398284</v>
      </c>
    </row>
    <row r="144" spans="1:20">
      <c r="A144" s="289"/>
      <c r="B144" s="289"/>
      <c r="C144" s="289"/>
      <c r="D144" s="289"/>
      <c r="E144" s="61"/>
      <c r="F144" s="61"/>
      <c r="G144" s="61" t="e">
        <f t="shared" ref="G144:G147" si="77">C144*D144*0.99114/(F144*1.0037158)</f>
        <v>#DIV/0!</v>
      </c>
      <c r="H144" s="61" t="e">
        <f t="shared" ref="H144:H147" si="78">C144/F144</f>
        <v>#DIV/0!</v>
      </c>
      <c r="I144" s="61" t="e">
        <f t="shared" ref="I144:I147" si="79">F144/C144</f>
        <v>#DIV/0!</v>
      </c>
      <c r="J144" s="61"/>
      <c r="K144" s="61" t="e">
        <f>H144/#REF!</f>
        <v>#DIV/0!</v>
      </c>
      <c r="L144" s="61"/>
      <c r="M144" s="97">
        <f t="shared" si="72"/>
        <v>9.2063705228511136E-2</v>
      </c>
      <c r="N144" s="97">
        <f t="shared" si="71"/>
        <v>10.754498827127014</v>
      </c>
    </row>
    <row r="145" spans="1:14">
      <c r="A145" s="289"/>
      <c r="B145" s="289"/>
      <c r="C145" s="289"/>
      <c r="D145" s="289"/>
      <c r="E145" s="61"/>
      <c r="F145" s="61"/>
      <c r="G145" s="61" t="e">
        <f t="shared" si="77"/>
        <v>#DIV/0!</v>
      </c>
      <c r="H145" s="61" t="e">
        <f t="shared" si="78"/>
        <v>#DIV/0!</v>
      </c>
      <c r="I145" s="61" t="e">
        <f t="shared" si="79"/>
        <v>#DIV/0!</v>
      </c>
      <c r="J145" s="61"/>
      <c r="K145" s="61" t="e">
        <f t="shared" ref="K145:K146" si="80">H145/H144</f>
        <v>#DIV/0!</v>
      </c>
      <c r="L145" s="61"/>
      <c r="M145" s="97">
        <f t="shared" si="72"/>
        <v>9.2984342280796245E-2</v>
      </c>
      <c r="N145" s="97">
        <f t="shared" si="71"/>
        <v>10.648018640719815</v>
      </c>
    </row>
    <row r="146" spans="1:14">
      <c r="A146" s="289"/>
      <c r="B146" s="289"/>
      <c r="C146" s="289"/>
      <c r="D146" s="289"/>
      <c r="E146" s="61"/>
      <c r="F146" s="61"/>
      <c r="G146" s="61" t="e">
        <f t="shared" si="77"/>
        <v>#DIV/0!</v>
      </c>
      <c r="H146" s="61" t="e">
        <f t="shared" si="78"/>
        <v>#DIV/0!</v>
      </c>
      <c r="I146" s="61" t="e">
        <f t="shared" si="79"/>
        <v>#DIV/0!</v>
      </c>
      <c r="J146" s="61"/>
      <c r="K146" s="61" t="e">
        <f t="shared" si="80"/>
        <v>#DIV/0!</v>
      </c>
      <c r="L146" s="61"/>
      <c r="M146" s="97">
        <f t="shared" si="72"/>
        <v>9.3914185703604214E-2</v>
      </c>
      <c r="N146" s="97">
        <f t="shared" si="71"/>
        <v>10.542592713583975</v>
      </c>
    </row>
    <row r="147" spans="1:14">
      <c r="A147" s="289"/>
      <c r="B147" s="289" t="s">
        <v>4221</v>
      </c>
      <c r="C147" s="316">
        <f>C137</f>
        <v>1686</v>
      </c>
      <c r="D147" s="289">
        <v>1</v>
      </c>
      <c r="E147" s="61" t="s">
        <v>4490</v>
      </c>
      <c r="F147" s="61">
        <f>C140</f>
        <v>4098</v>
      </c>
      <c r="G147" s="61">
        <f t="shared" si="77"/>
        <v>0.40626542091091189</v>
      </c>
      <c r="H147" s="61">
        <f t="shared" si="78"/>
        <v>0.41142020497803805</v>
      </c>
      <c r="I147" s="61">
        <f t="shared" si="79"/>
        <v>2.4306049822064058</v>
      </c>
      <c r="J147" s="61"/>
      <c r="K147" s="61">
        <f>H147/H143</f>
        <v>0.95119073338207072</v>
      </c>
      <c r="L147" s="61">
        <f>(1/K147-1.0256)*100</f>
        <v>2.5713858414476043</v>
      </c>
      <c r="M147" s="97">
        <f t="shared" si="72"/>
        <v>9.4853327560640258E-2</v>
      </c>
      <c r="N147" s="97">
        <f t="shared" si="71"/>
        <v>10.438210607508886</v>
      </c>
    </row>
    <row r="148" spans="1:14">
      <c r="B148" s="94"/>
      <c r="C148" s="94"/>
      <c r="D148" s="94"/>
      <c r="E148" s="94"/>
      <c r="F148" s="120"/>
      <c r="G148" s="120"/>
      <c r="H148" s="94"/>
      <c r="I148" s="94"/>
      <c r="J148" s="94"/>
      <c r="M148" s="97">
        <f t="shared" si="72"/>
        <v>9.5801860836246658E-2</v>
      </c>
      <c r="N148" s="97">
        <f t="shared" si="71"/>
        <v>10.334861987632561</v>
      </c>
    </row>
    <row r="149" spans="1:14">
      <c r="B149" s="94"/>
      <c r="C149" s="94"/>
      <c r="D149" s="94"/>
      <c r="E149" s="94"/>
      <c r="H149" s="94"/>
      <c r="I149" s="94"/>
      <c r="M149" s="97">
        <f t="shared" si="72"/>
        <v>9.675987944460912E-2</v>
      </c>
    </row>
    <row r="150" spans="1:14">
      <c r="B150" s="94"/>
      <c r="C150" s="94"/>
      <c r="D150" s="94"/>
      <c r="E150" s="94"/>
      <c r="F150" s="94"/>
      <c r="G150" s="94"/>
      <c r="H150" s="94"/>
      <c r="I150" s="94"/>
      <c r="J150" s="94"/>
    </row>
    <row r="151" spans="1:14">
      <c r="A151" s="289" t="s">
        <v>5708</v>
      </c>
      <c r="B151" s="289" t="s">
        <v>4221</v>
      </c>
      <c r="C151" s="289">
        <v>2478</v>
      </c>
      <c r="D151" s="289">
        <v>1</v>
      </c>
      <c r="E151" s="144" t="s">
        <v>5709</v>
      </c>
      <c r="F151" s="144">
        <v>5105.8999999999996</v>
      </c>
      <c r="G151" s="144">
        <f t="shared" ref="G151:G157" si="81">C151*D151*0.99114/(F151*1.0037158)</f>
        <v>0.47924019933312434</v>
      </c>
      <c r="H151" s="144">
        <f t="shared" ref="H151:H157" si="82">C151/F151</f>
        <v>0.48532090326876753</v>
      </c>
      <c r="I151" s="144">
        <f t="shared" ref="I151:I157" si="83">F151/C151</f>
        <v>2.0604923325262305</v>
      </c>
      <c r="J151" s="144"/>
      <c r="K151" s="144">
        <v>1</v>
      </c>
      <c r="L151" s="144"/>
    </row>
    <row r="152" spans="1:14">
      <c r="A152" s="289"/>
      <c r="B152" s="289"/>
      <c r="C152" s="289"/>
      <c r="D152" s="289"/>
      <c r="E152" s="144"/>
      <c r="F152" s="144"/>
      <c r="G152" s="144"/>
      <c r="H152" s="144"/>
      <c r="I152" s="144"/>
      <c r="J152" s="144"/>
      <c r="K152" s="144"/>
      <c r="L152" s="144"/>
      <c r="M152" t="s">
        <v>25</v>
      </c>
    </row>
    <row r="153" spans="1:14">
      <c r="A153" s="289"/>
      <c r="B153" s="289"/>
      <c r="C153" s="289"/>
      <c r="D153" s="289"/>
      <c r="E153" s="144"/>
      <c r="F153" s="144"/>
      <c r="G153" s="144"/>
      <c r="H153" s="144"/>
      <c r="I153" s="144"/>
      <c r="J153" s="144"/>
      <c r="K153" s="144"/>
      <c r="L153" s="144"/>
    </row>
    <row r="154" spans="1:14">
      <c r="A154" s="289"/>
      <c r="B154" s="289"/>
      <c r="C154" s="289"/>
      <c r="D154" s="289"/>
      <c r="E154" s="144"/>
      <c r="F154" s="144"/>
      <c r="G154" s="144"/>
      <c r="H154" s="144"/>
      <c r="I154" s="144"/>
      <c r="J154" s="144"/>
      <c r="K154" s="144"/>
      <c r="L154" s="144"/>
    </row>
    <row r="155" spans="1:14">
      <c r="A155" s="289"/>
      <c r="B155" s="289"/>
      <c r="C155" s="289"/>
      <c r="D155" s="289"/>
      <c r="E155" s="144"/>
      <c r="F155" s="144"/>
      <c r="G155" s="144" t="e">
        <f t="shared" si="81"/>
        <v>#DIV/0!</v>
      </c>
      <c r="H155" s="144" t="e">
        <f t="shared" si="82"/>
        <v>#DIV/0!</v>
      </c>
      <c r="I155" s="144" t="e">
        <f t="shared" si="83"/>
        <v>#DIV/0!</v>
      </c>
      <c r="J155" s="144"/>
      <c r="K155" s="144" t="e">
        <f t="shared" ref="K155:K156" si="84">H155/H154</f>
        <v>#DIV/0!</v>
      </c>
      <c r="L155" s="144"/>
    </row>
    <row r="156" spans="1:14">
      <c r="A156" s="289"/>
      <c r="B156" s="289"/>
      <c r="C156" s="289"/>
      <c r="D156" s="289"/>
      <c r="E156" s="144"/>
      <c r="F156" s="144"/>
      <c r="G156" s="144" t="e">
        <f t="shared" si="81"/>
        <v>#DIV/0!</v>
      </c>
      <c r="H156" s="144" t="e">
        <f t="shared" si="82"/>
        <v>#DIV/0!</v>
      </c>
      <c r="I156" s="144" t="e">
        <f t="shared" si="83"/>
        <v>#DIV/0!</v>
      </c>
      <c r="J156" s="144"/>
      <c r="K156" s="144" t="e">
        <f t="shared" si="84"/>
        <v>#DIV/0!</v>
      </c>
      <c r="L156" s="144"/>
      <c r="M156" t="s">
        <v>25</v>
      </c>
    </row>
    <row r="157" spans="1:14">
      <c r="A157" s="289"/>
      <c r="B157" s="289" t="s">
        <v>4221</v>
      </c>
      <c r="C157" s="316">
        <f>C137</f>
        <v>1686</v>
      </c>
      <c r="D157" s="289">
        <v>1</v>
      </c>
      <c r="E157" s="144" t="s">
        <v>5709</v>
      </c>
      <c r="F157" s="144">
        <f>C141</f>
        <v>3900</v>
      </c>
      <c r="G157" s="144">
        <f t="shared" si="81"/>
        <v>0.42689120381869666</v>
      </c>
      <c r="H157" s="144">
        <f t="shared" si="82"/>
        <v>0.43230769230769228</v>
      </c>
      <c r="I157" s="144">
        <f t="shared" si="83"/>
        <v>2.3131672597864767</v>
      </c>
      <c r="J157" s="144"/>
      <c r="K157" s="144">
        <f>H157/H151</f>
        <v>0.8907666852921089</v>
      </c>
      <c r="L157" s="144">
        <f>(1/K157-1.0256)*100</f>
        <v>9.7028423931312844</v>
      </c>
    </row>
    <row r="158" spans="1:14">
      <c r="B158" s="94"/>
      <c r="C158" s="94"/>
      <c r="D158" s="94"/>
      <c r="E158" s="94"/>
      <c r="F158" s="94"/>
      <c r="I158" s="94"/>
      <c r="J158" s="94"/>
    </row>
    <row r="159" spans="1:14">
      <c r="B159" s="94"/>
      <c r="C159" s="94"/>
      <c r="D159" s="94"/>
      <c r="E159" s="94"/>
      <c r="F159" s="94"/>
      <c r="G159" s="94"/>
      <c r="I159" s="94"/>
      <c r="J159" s="94"/>
    </row>
    <row r="160" spans="1:14">
      <c r="B160" s="94"/>
      <c r="C160" s="94"/>
      <c r="D160" s="94"/>
      <c r="E160" s="94"/>
      <c r="F160" s="94"/>
      <c r="I160" s="94"/>
      <c r="J160" s="94"/>
    </row>
    <row r="161" spans="1:10">
      <c r="B161" s="94"/>
      <c r="C161" s="94"/>
      <c r="D161" s="94"/>
      <c r="E161" s="94"/>
      <c r="F161" s="94"/>
      <c r="I161" s="94"/>
      <c r="J161" s="94"/>
    </row>
    <row r="164" spans="1:10">
      <c r="I164" s="112"/>
    </row>
    <row r="165" spans="1:10">
      <c r="G165" s="94"/>
      <c r="H165" s="94"/>
    </row>
    <row r="166" spans="1:10">
      <c r="G166" s="94" t="s">
        <v>5628</v>
      </c>
      <c r="H166" s="94"/>
    </row>
    <row r="167" spans="1:10">
      <c r="G167" s="94" t="s">
        <v>5629</v>
      </c>
      <c r="H167" s="94"/>
    </row>
    <row r="168" spans="1:10">
      <c r="A168" s="94"/>
      <c r="B168" s="94"/>
      <c r="C168" s="94"/>
      <c r="D168" s="94"/>
      <c r="E168" s="94"/>
      <c r="F168" s="94"/>
      <c r="G168" s="94" t="s">
        <v>5630</v>
      </c>
      <c r="H168" s="94"/>
      <c r="I168" s="94"/>
      <c r="J168" s="94"/>
    </row>
    <row r="169" spans="1:10">
      <c r="A169" s="94"/>
      <c r="B169" s="94"/>
      <c r="C169" s="94"/>
      <c r="D169" s="94"/>
      <c r="E169" s="94"/>
      <c r="F169" s="94"/>
      <c r="G169" s="94" t="s">
        <v>5631</v>
      </c>
      <c r="H169" s="94"/>
      <c r="I169" s="94"/>
      <c r="J169" s="94"/>
    </row>
    <row r="170" spans="1:10">
      <c r="A170" s="94"/>
      <c r="B170" s="94"/>
      <c r="C170" s="94"/>
      <c r="D170" s="94"/>
      <c r="E170" s="94"/>
      <c r="F170" s="94"/>
      <c r="G170" s="94" t="s">
        <v>5632</v>
      </c>
      <c r="H170" s="94"/>
      <c r="I170" s="94"/>
      <c r="J170" s="94"/>
    </row>
    <row r="171" spans="1:10">
      <c r="A171" s="94"/>
      <c r="B171" s="94"/>
      <c r="C171" s="94"/>
      <c r="D171" s="94"/>
      <c r="E171" s="94"/>
      <c r="F171" s="94"/>
      <c r="G171" s="94" t="s">
        <v>5633</v>
      </c>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H185" t="s">
        <v>25</v>
      </c>
    </row>
    <row r="186" spans="1:10">
      <c r="H186" t="s">
        <v>25</v>
      </c>
    </row>
    <row r="189" spans="1:10">
      <c r="I189" t="s">
        <v>25</v>
      </c>
    </row>
  </sheetData>
  <pageMargins left="0.7" right="0.7" top="0.75" bottom="0.75" header="0.3" footer="0.3"/>
  <pageSetup orientation="portrait" horizontalDpi="1200" verticalDpi="1200" r:id="rId1"/>
  <ignoredErrors>
    <ignoredError sqref="G12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G381" zoomScale="85" zoomScaleNormal="85" workbookViewId="0">
      <selection activeCell="Q414" sqref="Q41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5680</v>
      </c>
      <c r="L389" s="82">
        <v>6126666000</v>
      </c>
      <c r="M389" s="82">
        <v>3341157354</v>
      </c>
      <c r="N389" s="111">
        <f t="shared" si="44"/>
        <v>9467823354</v>
      </c>
      <c r="O389" s="111">
        <f t="shared" si="49"/>
        <v>26757796</v>
      </c>
      <c r="P389" s="111">
        <f t="shared" si="50"/>
        <v>-44095692</v>
      </c>
      <c r="Q389" s="225">
        <v>0</v>
      </c>
    </row>
    <row r="390" spans="9:21">
      <c r="I390" s="271" t="s">
        <v>5687</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5698</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5705</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5715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5716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5722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5724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5726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5734</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5736</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5737</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5740</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5750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5752</v>
      </c>
      <c r="L413" s="82">
        <v>5220153702</v>
      </c>
      <c r="M413" s="82">
        <v>3087043354</v>
      </c>
      <c r="N413" s="111">
        <f t="shared" si="44"/>
        <v>8307197056</v>
      </c>
      <c r="O413" s="111">
        <f t="shared" si="49"/>
        <v>8897483</v>
      </c>
      <c r="P413" s="111">
        <f t="shared" si="50"/>
        <v>13917099</v>
      </c>
      <c r="Q413" s="225">
        <v>0</v>
      </c>
    </row>
    <row r="414" spans="9:17">
      <c r="I414" s="210"/>
      <c r="J414" s="111">
        <f t="shared" si="37"/>
        <v>-5220153702</v>
      </c>
      <c r="K414" s="210"/>
      <c r="L414" s="82"/>
      <c r="M414" s="82"/>
      <c r="N414" s="111">
        <f t="shared" si="44"/>
        <v>0</v>
      </c>
      <c r="O414" s="111">
        <f t="shared" si="49"/>
        <v>-3087043354</v>
      </c>
      <c r="P414" s="111">
        <f t="shared" si="50"/>
        <v>-8307197056</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5718</v>
      </c>
      <c r="X29" s="41">
        <v>9332154549</v>
      </c>
      <c r="Y29" s="41">
        <v>120</v>
      </c>
      <c r="Z29" s="41" t="s">
        <v>5668</v>
      </c>
      <c r="AA29" s="94" t="s">
        <v>5716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2020-09-06T10:56:53Z</dcterms:modified>
</cp:coreProperties>
</file>