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S137" i="18" l="1"/>
  <c r="S136" i="18"/>
  <c r="S139" i="18"/>
  <c r="W511" i="18"/>
  <c r="O60" i="18"/>
  <c r="O57" i="18"/>
  <c r="I31" i="63"/>
  <c r="J31" i="63" s="1"/>
  <c r="K31" i="63" s="1"/>
  <c r="N31" i="63"/>
  <c r="O31" i="63"/>
  <c r="I32" i="63"/>
  <c r="J32" i="63" s="1"/>
  <c r="K32" i="63" s="1"/>
  <c r="N32" i="63"/>
  <c r="O32" i="63"/>
  <c r="I33" i="63"/>
  <c r="J33" i="63"/>
  <c r="K33" i="63" s="1"/>
  <c r="N33" i="63"/>
  <c r="O33" i="63"/>
  <c r="G33" i="63"/>
  <c r="H33" i="63"/>
  <c r="G32" i="63"/>
  <c r="H32" i="63"/>
  <c r="J23" i="60" l="1"/>
  <c r="J13" i="60"/>
  <c r="W510" i="18" l="1"/>
  <c r="R179" i="18"/>
  <c r="W509" i="18" l="1"/>
  <c r="S138" i="18" l="1"/>
  <c r="G31" i="63"/>
  <c r="H31" i="63"/>
  <c r="I29" i="63"/>
  <c r="I30" i="63"/>
  <c r="G30" i="63"/>
  <c r="H30" i="63"/>
  <c r="O30" i="63"/>
  <c r="J30" i="63" l="1"/>
  <c r="K30" i="63"/>
  <c r="S75" i="18"/>
  <c r="O29" i="63"/>
  <c r="G29" i="63"/>
  <c r="H29" i="63"/>
  <c r="J29" i="63" l="1"/>
  <c r="K29" i="63" s="1"/>
  <c r="N30" i="63"/>
  <c r="W508"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W507" i="18" l="1"/>
  <c r="L51" i="18"/>
  <c r="J64" i="18"/>
  <c r="O38" i="63" l="1"/>
  <c r="P38" i="63"/>
  <c r="I10" i="63" l="1"/>
  <c r="G10" i="63"/>
  <c r="H10" i="63"/>
  <c r="J10" i="63" l="1"/>
  <c r="K10" i="63" s="1"/>
  <c r="L16" i="18" l="1"/>
  <c r="L49" i="18"/>
  <c r="D176" i="58"/>
  <c r="H9" i="60" l="1"/>
  <c r="I37" i="63" l="1"/>
  <c r="H37" i="63"/>
  <c r="G37" i="63"/>
  <c r="I36" i="63"/>
  <c r="H36" i="63"/>
  <c r="J37" i="63" l="1"/>
  <c r="K37" i="63" s="1"/>
  <c r="J36" i="63"/>
  <c r="K36" i="63" s="1"/>
  <c r="S102" i="18"/>
  <c r="S103" i="18" s="1"/>
  <c r="G7" i="63"/>
  <c r="H7" i="63"/>
  <c r="I7" i="63"/>
  <c r="G8" i="63"/>
  <c r="H8" i="63"/>
  <c r="I8" i="63"/>
  <c r="G9" i="63"/>
  <c r="H9" i="63"/>
  <c r="N10" i="63" s="1"/>
  <c r="I9" i="63"/>
  <c r="J8" i="63" l="1"/>
  <c r="K8" i="63" s="1"/>
  <c r="J7" i="63"/>
  <c r="K7" i="63" s="1"/>
  <c r="J9" i="63"/>
  <c r="K9" i="63" s="1"/>
  <c r="N9" i="63"/>
  <c r="N8" i="63"/>
  <c r="I28" i="63" l="1"/>
  <c r="O28" i="63"/>
  <c r="I34" i="63"/>
  <c r="I27" i="63" l="1"/>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AL274" i="18" l="1"/>
  <c r="AL273" i="18" s="1"/>
  <c r="AL272" i="18" s="1"/>
  <c r="AL271" i="18" s="1"/>
  <c r="AL270" i="18" s="1"/>
  <c r="AL269" i="18" s="1"/>
  <c r="AL268" i="18" s="1"/>
  <c r="AL267" i="18" s="1"/>
  <c r="AL266" i="18" s="1"/>
  <c r="AL265" i="18" s="1"/>
  <c r="AL264" i="18" s="1"/>
  <c r="AL263" i="18" s="1"/>
  <c r="I35" i="63" l="1"/>
  <c r="H35" i="63"/>
  <c r="G36" i="63"/>
  <c r="J35" i="63" l="1"/>
  <c r="I68" i="63" l="1"/>
  <c r="H68" i="63"/>
  <c r="G68" i="63"/>
  <c r="G69" i="63"/>
  <c r="H69" i="63"/>
  <c r="I69" i="63"/>
  <c r="N69" i="63"/>
  <c r="G70" i="63"/>
  <c r="H70" i="63"/>
  <c r="I70" i="63"/>
  <c r="N70" i="63"/>
  <c r="S17" i="63"/>
  <c r="U17" i="63" s="1"/>
  <c r="S18" i="63"/>
  <c r="U18" i="63" s="1"/>
  <c r="S19" i="63"/>
  <c r="S20" i="63"/>
  <c r="T20" i="63"/>
  <c r="U20" i="63"/>
  <c r="J68" i="63" l="1"/>
  <c r="K68" i="63" s="1"/>
  <c r="J70" i="63"/>
  <c r="K70" i="63" s="1"/>
  <c r="J69" i="63"/>
  <c r="K69" i="63" s="1"/>
  <c r="M56" i="63" l="1"/>
  <c r="M52" i="63"/>
  <c r="M53" i="63"/>
  <c r="H303" i="18" l="1"/>
  <c r="H65" i="63" l="1"/>
  <c r="L2" i="60" l="1"/>
  <c r="W503" i="18" l="1"/>
  <c r="W498" i="18"/>
  <c r="W499" i="18"/>
  <c r="W500" i="18"/>
  <c r="W501" i="18"/>
  <c r="W502" i="18"/>
  <c r="W504" i="18"/>
  <c r="W505" i="18"/>
  <c r="W506" i="18"/>
  <c r="W514" i="18"/>
  <c r="W515" i="18"/>
  <c r="W516" i="18"/>
  <c r="P25" i="63"/>
  <c r="O25" i="63"/>
  <c r="O26" i="63"/>
  <c r="O27" i="63"/>
  <c r="W497" i="18" l="1"/>
  <c r="H18" i="60" l="1"/>
  <c r="H19" i="60"/>
  <c r="H17" i="60"/>
  <c r="H16" i="60" l="1"/>
  <c r="M55" i="63"/>
  <c r="M54" i="63"/>
  <c r="F29" i="60"/>
  <c r="G6" i="60" l="1"/>
  <c r="H3" i="60" l="1"/>
  <c r="H4" i="60"/>
  <c r="H2" i="60"/>
  <c r="H64" i="63" l="1"/>
  <c r="W496" i="18" l="1"/>
  <c r="H63" i="63"/>
  <c r="N68" i="63"/>
  <c r="K113" i="18" l="1"/>
  <c r="M51" i="63" l="1"/>
  <c r="N52" i="18"/>
  <c r="I38" i="63"/>
  <c r="G38" i="63"/>
  <c r="H38" i="63"/>
  <c r="J38" i="63" l="1"/>
  <c r="K38" i="63" s="1"/>
  <c r="W495" i="18"/>
  <c r="W494" i="18"/>
  <c r="W493"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4" i="63"/>
  <c r="M45" i="63"/>
  <c r="M46" i="63"/>
  <c r="M47" i="63"/>
  <c r="M48" i="63"/>
  <c r="M49" i="63"/>
  <c r="M50" i="63"/>
  <c r="M43" i="63"/>
  <c r="H62" i="63"/>
  <c r="I29" i="68" l="1"/>
  <c r="I41" i="68" s="1"/>
  <c r="W492" i="18"/>
  <c r="H61"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50" i="63"/>
  <c r="W491" i="18"/>
  <c r="W490" i="18" l="1"/>
  <c r="U517" i="18"/>
  <c r="N45" i="18"/>
  <c r="N21" i="18"/>
  <c r="N29" i="18"/>
  <c r="G28" i="63" l="1"/>
  <c r="H28" i="63"/>
  <c r="N29" i="63" s="1"/>
  <c r="G27" i="63"/>
  <c r="H27" i="63"/>
  <c r="N28" i="63" l="1"/>
  <c r="J28" i="63"/>
  <c r="K28" i="63" s="1"/>
  <c r="J27" i="63"/>
  <c r="K27" i="63" s="1"/>
  <c r="W489" i="18"/>
  <c r="I26" i="63"/>
  <c r="G26" i="63"/>
  <c r="H26" i="63"/>
  <c r="N27" i="63" s="1"/>
  <c r="J26" i="63" l="1"/>
  <c r="K26" i="63" s="1"/>
  <c r="W488" i="18" l="1"/>
  <c r="N25" i="63"/>
  <c r="I25" i="63"/>
  <c r="H25" i="63"/>
  <c r="N26" i="63" s="1"/>
  <c r="G25" i="63"/>
  <c r="J25" i="63" l="1"/>
  <c r="K25" i="63" s="1"/>
  <c r="H50" i="63" l="1"/>
  <c r="G50" i="63"/>
  <c r="I49" i="63"/>
  <c r="G49" i="63"/>
  <c r="H49" i="63"/>
  <c r="J50" i="63" l="1"/>
  <c r="K50" i="63" s="1"/>
  <c r="J49" i="63"/>
  <c r="K49" i="63" s="1"/>
  <c r="Q12" i="63" l="1"/>
  <c r="G23" i="63" l="1"/>
  <c r="H23" i="63"/>
  <c r="N24" i="63" l="1"/>
  <c r="J23" i="63"/>
  <c r="K23" i="63" s="1"/>
  <c r="I22" i="63"/>
  <c r="G22" i="63"/>
  <c r="H22" i="63"/>
  <c r="N23" i="63" s="1"/>
  <c r="J22" i="63" l="1"/>
  <c r="K22" i="63" s="1"/>
  <c r="W487" i="18"/>
  <c r="W486"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W485" i="18" l="1"/>
  <c r="W484"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3" i="18"/>
  <c r="W482"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1"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0" i="18"/>
  <c r="S156" i="60" l="1"/>
  <c r="R155" i="60"/>
  <c r="W479" i="18"/>
  <c r="W478" i="18"/>
  <c r="W477" i="18"/>
  <c r="R154" i="60" l="1"/>
  <c r="S155" i="60"/>
  <c r="W476" i="18"/>
  <c r="S154" i="60" l="1"/>
  <c r="R153" i="60"/>
  <c r="I45" i="63"/>
  <c r="I46" i="63"/>
  <c r="I47" i="63"/>
  <c r="I48" i="63"/>
  <c r="I44" i="63"/>
  <c r="H34"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34" i="63" l="1"/>
  <c r="K34" i="63" s="1"/>
  <c r="N35" i="63"/>
  <c r="S153" i="60"/>
  <c r="R152" i="60"/>
  <c r="G17" i="67"/>
  <c r="H17" i="67" s="1"/>
  <c r="R151" i="60" l="1"/>
  <c r="S152" i="60"/>
  <c r="W475" i="18"/>
  <c r="R150" i="60" l="1"/>
  <c r="S151" i="60"/>
  <c r="W474" i="18"/>
  <c r="W473" i="18"/>
  <c r="N31" i="18"/>
  <c r="P7" i="60"/>
  <c r="P9" i="60"/>
  <c r="P10" i="60"/>
  <c r="P11" i="60"/>
  <c r="P12" i="60"/>
  <c r="P13" i="60"/>
  <c r="P14" i="60"/>
  <c r="S150" i="60" l="1"/>
  <c r="R149" i="60"/>
  <c r="E152" i="60"/>
  <c r="E154" i="60"/>
  <c r="E155" i="60"/>
  <c r="E156" i="60"/>
  <c r="E153" i="60"/>
  <c r="S149" i="60" l="1"/>
  <c r="R148" i="60"/>
  <c r="W472"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38" i="18"/>
  <c r="R143" i="60" l="1"/>
  <c r="S144" i="60"/>
  <c r="W471" i="18"/>
  <c r="S143" i="60" l="1"/>
  <c r="R142" i="60"/>
  <c r="W470" i="18"/>
  <c r="P24" i="18"/>
  <c r="N24" i="18" s="1"/>
  <c r="M110" i="18" s="1"/>
  <c r="N49" i="18"/>
  <c r="S142" i="60" l="1"/>
  <c r="R141" i="60"/>
  <c r="F135" i="60"/>
  <c r="D135" i="60"/>
  <c r="D141" i="60" s="1"/>
  <c r="R140" i="60" l="1"/>
  <c r="S141" i="60"/>
  <c r="I136" i="60"/>
  <c r="R139" i="60" l="1"/>
  <c r="S140" i="60"/>
  <c r="F136" i="60"/>
  <c r="I137" i="60" s="1"/>
  <c r="F137" i="60" s="1"/>
  <c r="I138" i="60" s="1"/>
  <c r="W468" i="18"/>
  <c r="R138" i="60" l="1"/>
  <c r="S139" i="60"/>
  <c r="F138" i="60"/>
  <c r="F141" i="60" s="1"/>
  <c r="R137" i="60" l="1"/>
  <c r="S138" i="60"/>
  <c r="V159" i="18"/>
  <c r="AJ489" i="18"/>
  <c r="R136" i="60" l="1"/>
  <c r="S137" i="60"/>
  <c r="W467" i="18"/>
  <c r="W466" i="18"/>
  <c r="W465" i="18"/>
  <c r="W469" i="18"/>
  <c r="W464" i="18"/>
  <c r="W463" i="18"/>
  <c r="P26" i="18"/>
  <c r="N26" i="18" s="1"/>
  <c r="N50" i="18"/>
  <c r="W383" i="18"/>
  <c r="R135" i="60" l="1"/>
  <c r="S136" i="60"/>
  <c r="S116" i="18"/>
  <c r="R134" i="60" l="1"/>
  <c r="S135" i="60"/>
  <c r="D2" i="60"/>
  <c r="O8" i="60"/>
  <c r="F2" i="60"/>
  <c r="R133" i="60" l="1"/>
  <c r="S134" i="60"/>
  <c r="W462" i="18"/>
  <c r="S133" i="60" l="1"/>
  <c r="R132" i="60"/>
  <c r="W461" i="18"/>
  <c r="W460" i="18"/>
  <c r="AL244" i="18"/>
  <c r="AL243" i="18" s="1"/>
  <c r="AL242" i="18" s="1"/>
  <c r="R131" i="60" l="1"/>
  <c r="S132" i="60"/>
  <c r="W459" i="18"/>
  <c r="R130" i="60" l="1"/>
  <c r="S131" i="60"/>
  <c r="W458" i="18"/>
  <c r="G21" i="63"/>
  <c r="H21" i="63"/>
  <c r="N22" i="63" s="1"/>
  <c r="U2" i="63"/>
  <c r="R129" i="60" l="1"/>
  <c r="S130" i="60"/>
  <c r="J21" i="63"/>
  <c r="K21" i="63" s="1"/>
  <c r="G44" i="63"/>
  <c r="H44" i="63"/>
  <c r="J44" i="63" s="1"/>
  <c r="K44" i="63" s="1"/>
  <c r="S129" i="60" l="1"/>
  <c r="R128" i="60"/>
  <c r="R306" i="18"/>
  <c r="S128" i="60" l="1"/>
  <c r="R127" i="60"/>
  <c r="W455" i="18"/>
  <c r="W456" i="18"/>
  <c r="W457" i="18"/>
  <c r="R126" i="60" l="1"/>
  <c r="S127" i="60"/>
  <c r="P23" i="18"/>
  <c r="R125" i="60" l="1"/>
  <c r="S126" i="60"/>
  <c r="W454" i="18"/>
  <c r="R124" i="60" l="1"/>
  <c r="S125" i="60"/>
  <c r="G20" i="63"/>
  <c r="H20" i="63"/>
  <c r="R123" i="60" l="1"/>
  <c r="S124" i="60"/>
  <c r="J20" i="63"/>
  <c r="K20" i="63" s="1"/>
  <c r="N21" i="63"/>
  <c r="W453" i="18"/>
  <c r="S123" i="60" l="1"/>
  <c r="R122" i="60"/>
  <c r="W452"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5" i="63"/>
  <c r="G34" i="63"/>
  <c r="W451" i="18"/>
  <c r="R115" i="60" l="1"/>
  <c r="S116" i="60"/>
  <c r="K35" i="63"/>
  <c r="N17" i="63"/>
  <c r="G14" i="63"/>
  <c r="H14" i="63"/>
  <c r="G15" i="63"/>
  <c r="H15" i="63"/>
  <c r="W450" i="18"/>
  <c r="G12" i="63"/>
  <c r="H12" i="63"/>
  <c r="G13" i="63"/>
  <c r="H13" i="63"/>
  <c r="S115" i="60" l="1"/>
  <c r="R114" i="60"/>
  <c r="N14" i="63"/>
  <c r="J14" i="63"/>
  <c r="K14" i="63" s="1"/>
  <c r="N15" i="63"/>
  <c r="J15" i="63"/>
  <c r="K15" i="63" s="1"/>
  <c r="N16" i="63"/>
  <c r="N13" i="63"/>
  <c r="J13" i="63"/>
  <c r="K13" i="63" s="1"/>
  <c r="J12" i="63"/>
  <c r="K12" i="63" s="1"/>
  <c r="W449" i="18"/>
  <c r="S114" i="60" l="1"/>
  <c r="R113" i="60"/>
  <c r="V160" i="18"/>
  <c r="W448" i="18"/>
  <c r="G11" i="63"/>
  <c r="T156" i="18" l="1"/>
  <c r="R112" i="60"/>
  <c r="S113" i="60"/>
  <c r="T154" i="18"/>
  <c r="P33" i="18"/>
  <c r="G4" i="67" s="1"/>
  <c r="W447" i="18"/>
  <c r="R111" i="60" l="1"/>
  <c r="S112" i="60"/>
  <c r="H4" i="67"/>
  <c r="H10" i="67" s="1"/>
  <c r="G19" i="67"/>
  <c r="H19" i="67" s="1"/>
  <c r="H23" i="67" s="1"/>
  <c r="W446" i="18"/>
  <c r="S111" i="60" l="1"/>
  <c r="R110" i="60"/>
  <c r="E26" i="67"/>
  <c r="H1" i="63"/>
  <c r="S110" i="60" l="1"/>
  <c r="R109" i="60"/>
  <c r="J1" i="63"/>
  <c r="K1" i="63" s="1"/>
  <c r="P165" i="60"/>
  <c r="R108" i="60" l="1"/>
  <c r="S109" i="60"/>
  <c r="W443" i="18"/>
  <c r="R107" i="60" l="1"/>
  <c r="S108" i="60"/>
  <c r="W442" i="18"/>
  <c r="R106" i="60" l="1"/>
  <c r="S107" i="60"/>
  <c r="H11" i="63"/>
  <c r="J11" i="63" s="1"/>
  <c r="K11" i="63" s="1"/>
  <c r="S106" i="60" l="1"/>
  <c r="R105" i="60"/>
  <c r="N12" i="63"/>
  <c r="F46" i="60"/>
  <c r="G46" i="60" s="1"/>
  <c r="R104" i="60" l="1"/>
  <c r="S105" i="60"/>
  <c r="G46" i="63"/>
  <c r="H46" i="63"/>
  <c r="J46" i="63" s="1"/>
  <c r="K46" i="63" s="1"/>
  <c r="G47" i="63"/>
  <c r="H47" i="63"/>
  <c r="J47" i="63" s="1"/>
  <c r="G48" i="63"/>
  <c r="H48" i="63"/>
  <c r="G45" i="63"/>
  <c r="H45" i="63"/>
  <c r="J45" i="63" s="1"/>
  <c r="K45" i="63" s="1"/>
  <c r="W441" i="18"/>
  <c r="R103" i="60" l="1"/>
  <c r="S104" i="60"/>
  <c r="J48" i="63"/>
  <c r="K48" i="63" s="1"/>
  <c r="K47" i="63"/>
  <c r="R102" i="60" l="1"/>
  <c r="S103" i="60"/>
  <c r="W440" i="18"/>
  <c r="G5" i="63"/>
  <c r="H5" i="63"/>
  <c r="G6" i="63"/>
  <c r="H6" i="63"/>
  <c r="G2" i="63"/>
  <c r="H2" i="63"/>
  <c r="G3" i="63"/>
  <c r="H3" i="63"/>
  <c r="J6" i="63" l="1"/>
  <c r="K6" i="63" s="1"/>
  <c r="N7" i="63"/>
  <c r="J2" i="63"/>
  <c r="K2" i="63" s="1"/>
  <c r="R101" i="60"/>
  <c r="S102" i="60"/>
  <c r="J3" i="63"/>
  <c r="K3" i="63" s="1"/>
  <c r="J5" i="63"/>
  <c r="K5" i="63" s="1"/>
  <c r="N6" i="63"/>
  <c r="N3" i="63"/>
  <c r="W439" i="18"/>
  <c r="S101" i="60" l="1"/>
  <c r="R100" i="60"/>
  <c r="W438" i="18"/>
  <c r="S100" i="60" l="1"/>
  <c r="R99" i="60"/>
  <c r="R98" i="60" l="1"/>
  <c r="S99" i="60"/>
  <c r="O473" i="52"/>
  <c r="J473" i="52"/>
  <c r="R97" i="60" l="1"/>
  <c r="S98" i="60"/>
  <c r="W433" i="18"/>
  <c r="W434" i="18"/>
  <c r="W435" i="18"/>
  <c r="W436" i="18"/>
  <c r="W437" i="18"/>
  <c r="W444" i="18"/>
  <c r="W445" i="18"/>
  <c r="AL488" i="18"/>
  <c r="AL487" i="18" s="1"/>
  <c r="O472" i="52"/>
  <c r="J472" i="52"/>
  <c r="S97" i="60" l="1"/>
  <c r="R96" i="60"/>
  <c r="AM487" i="18"/>
  <c r="AL486" i="18"/>
  <c r="AM488" i="18"/>
  <c r="R95" i="60" l="1"/>
  <c r="S96" i="60"/>
  <c r="AL485" i="18"/>
  <c r="AM486" i="18"/>
  <c r="AL471" i="18"/>
  <c r="R548" i="18"/>
  <c r="W432" i="18"/>
  <c r="W431" i="18"/>
  <c r="W430" i="18"/>
  <c r="W429" i="18"/>
  <c r="W428" i="18"/>
  <c r="J468" i="52"/>
  <c r="O468" i="52"/>
  <c r="S95" i="60" l="1"/>
  <c r="R94" i="60"/>
  <c r="AM485" i="18"/>
  <c r="AL484" i="18"/>
  <c r="AL483" i="18" s="1"/>
  <c r="AL470" i="18"/>
  <c r="AM471" i="18"/>
  <c r="G4" i="63"/>
  <c r="H4" i="63"/>
  <c r="N20" i="63" s="1"/>
  <c r="AL482" i="18" l="1"/>
  <c r="AM483" i="18"/>
  <c r="S94" i="60"/>
  <c r="R93" i="60"/>
  <c r="J4" i="63"/>
  <c r="K4" i="63" s="1"/>
  <c r="N5" i="63"/>
  <c r="AM484" i="18"/>
  <c r="AM470" i="18"/>
  <c r="AL469" i="18"/>
  <c r="AL481" i="18" l="1"/>
  <c r="AM482" i="18"/>
  <c r="S93" i="60"/>
  <c r="R92" i="60"/>
  <c r="AL468" i="18"/>
  <c r="AM469" i="18"/>
  <c r="AM481" i="18" l="1"/>
  <c r="AL480" i="18"/>
  <c r="S92" i="60"/>
  <c r="R91" i="60"/>
  <c r="AM468" i="18"/>
  <c r="AL467" i="18"/>
  <c r="O465" i="52"/>
  <c r="AM480" i="18" l="1"/>
  <c r="AL479" i="18"/>
  <c r="R90" i="60"/>
  <c r="S91" i="60"/>
  <c r="AL466" i="18"/>
  <c r="AM467" i="18"/>
  <c r="AL478" i="18" l="1"/>
  <c r="AM479" i="18"/>
  <c r="S90" i="60"/>
  <c r="R89" i="60"/>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77" i="18" l="1"/>
  <c r="AM478" i="18"/>
  <c r="S89" i="60"/>
  <c r="R88" i="60"/>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77" i="18" l="1"/>
  <c r="AL476" i="18"/>
  <c r="R87" i="60"/>
  <c r="S88" i="60"/>
  <c r="AM464" i="18"/>
  <c r="AL463" i="18"/>
  <c r="W422" i="18"/>
  <c r="W423" i="18"/>
  <c r="W424" i="18"/>
  <c r="W425" i="18"/>
  <c r="W426" i="18"/>
  <c r="W427" i="18"/>
  <c r="AM476" i="18" l="1"/>
  <c r="AL475" i="18"/>
  <c r="R86" i="60"/>
  <c r="S87" i="60"/>
  <c r="AL462" i="18"/>
  <c r="AM462" i="18" s="1"/>
  <c r="AM463" i="18"/>
  <c r="O454" i="52"/>
  <c r="J454" i="52"/>
  <c r="AL474" i="18" l="1"/>
  <c r="AM475" i="18"/>
  <c r="S86" i="60"/>
  <c r="R85" i="60"/>
  <c r="W421" i="18"/>
  <c r="AL473" i="18" l="1"/>
  <c r="AM474" i="18"/>
  <c r="S85" i="60"/>
  <c r="R84" i="60"/>
  <c r="AM473" i="18" l="1"/>
  <c r="AL472" i="18"/>
  <c r="AM472" i="18" s="1"/>
  <c r="R83" i="60"/>
  <c r="S84" i="60"/>
  <c r="W420" i="18"/>
  <c r="W419" i="18"/>
  <c r="S83" i="60" l="1"/>
  <c r="R82" i="60"/>
  <c r="W418" i="18"/>
  <c r="W417" i="18"/>
  <c r="S82" i="60" l="1"/>
  <c r="R81" i="60"/>
  <c r="W416" i="18"/>
  <c r="S81" i="60" l="1"/>
  <c r="R80" i="60"/>
  <c r="W415" i="18"/>
  <c r="R79" i="60" l="1"/>
  <c r="S80" i="60"/>
  <c r="W414" i="18"/>
  <c r="R78" i="60" l="1"/>
  <c r="S79" i="60"/>
  <c r="W413" i="18"/>
  <c r="S78" i="60" l="1"/>
  <c r="R77" i="60"/>
  <c r="W412" i="18"/>
  <c r="S77" i="60" l="1"/>
  <c r="R76" i="60"/>
  <c r="W411"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0"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09" i="18"/>
  <c r="R73" i="60" l="1"/>
  <c r="S74" i="60"/>
  <c r="W408" i="18"/>
  <c r="R72" i="60" l="1"/>
  <c r="S73" i="60"/>
  <c r="W407" i="18"/>
  <c r="R71" i="60" l="1"/>
  <c r="S72" i="60"/>
  <c r="W406" i="18"/>
  <c r="S71" i="60" l="1"/>
  <c r="R70" i="60"/>
  <c r="W405" i="18"/>
  <c r="R69" i="60" l="1"/>
  <c r="S70" i="60"/>
  <c r="G1" i="63"/>
  <c r="R68" i="60" l="1"/>
  <c r="S69" i="60"/>
  <c r="N2" i="63"/>
  <c r="W404" i="18"/>
  <c r="S68" i="60" l="1"/>
  <c r="R67" i="60"/>
  <c r="W403" i="18"/>
  <c r="S67" i="60" l="1"/>
  <c r="R66" i="60"/>
  <c r="W402" i="18"/>
  <c r="R65" i="60" l="1"/>
  <c r="S66" i="60"/>
  <c r="W401" i="18"/>
  <c r="R64" i="60" l="1"/>
  <c r="S65" i="60"/>
  <c r="W400" i="18"/>
  <c r="S64" i="60" l="1"/>
  <c r="R63" i="60"/>
  <c r="W399" i="18"/>
  <c r="S63" i="60" l="1"/>
  <c r="R62" i="60"/>
  <c r="W398" i="18"/>
  <c r="S62" i="60" l="1"/>
  <c r="R61" i="60"/>
  <c r="W394" i="18"/>
  <c r="W397" i="18"/>
  <c r="S61" i="60" l="1"/>
  <c r="R60" i="60"/>
  <c r="W396" i="18"/>
  <c r="R59" i="60" l="1"/>
  <c r="S60" i="60"/>
  <c r="W395" i="18"/>
  <c r="S59" i="60" l="1"/>
  <c r="R58" i="60"/>
  <c r="W393" i="18"/>
  <c r="S58" i="60" l="1"/>
  <c r="R57" i="60"/>
  <c r="W392" i="18"/>
  <c r="R56" i="60" l="1"/>
  <c r="S57" i="60"/>
  <c r="W390" i="18"/>
  <c r="W389" i="18"/>
  <c r="W388" i="18"/>
  <c r="W385" i="18"/>
  <c r="W386" i="18"/>
  <c r="W387" i="18"/>
  <c r="W384" i="18"/>
  <c r="W391" i="18"/>
  <c r="R55" i="60" l="1"/>
  <c r="S56" i="60"/>
  <c r="W382" i="18"/>
  <c r="R54" i="60" l="1"/>
  <c r="S55" i="60"/>
  <c r="W381" i="18"/>
  <c r="S54" i="60" l="1"/>
  <c r="R53" i="60"/>
  <c r="W380" i="18"/>
  <c r="R52" i="60" l="1"/>
  <c r="S53" i="60"/>
  <c r="W379" i="18"/>
  <c r="S52" i="60" l="1"/>
  <c r="R51" i="60"/>
  <c r="W378" i="18"/>
  <c r="S51" i="60" l="1"/>
  <c r="R50" i="60"/>
  <c r="W377" i="18"/>
  <c r="W376"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5"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4" i="18"/>
  <c r="R46" i="60" l="1"/>
  <c r="S47" i="60"/>
  <c r="W373" i="18"/>
  <c r="S46" i="60" l="1"/>
  <c r="R45" i="60"/>
  <c r="W372" i="18"/>
  <c r="R44" i="60" l="1"/>
  <c r="S45" i="60"/>
  <c r="W371" i="18"/>
  <c r="R43" i="60" l="1"/>
  <c r="S44" i="60"/>
  <c r="W370" i="18"/>
  <c r="W369" i="18"/>
  <c r="W368" i="18"/>
  <c r="W367" i="18"/>
  <c r="S43" i="60" l="1"/>
  <c r="R42" i="60"/>
  <c r="W366" i="18"/>
  <c r="S42" i="60" l="1"/>
  <c r="R41" i="60"/>
  <c r="W365" i="18"/>
  <c r="R40" i="60" l="1"/>
  <c r="S41" i="60"/>
  <c r="Q13" i="63"/>
  <c r="S40" i="60" l="1"/>
  <c r="R39" i="60"/>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4" i="18"/>
  <c r="R32" i="60" l="1"/>
  <c r="S32" i="60" s="1"/>
  <c r="S33" i="60"/>
  <c r="AL241" i="18"/>
  <c r="AM242" i="18"/>
  <c r="S165" i="60" l="1"/>
  <c r="AL240" i="18"/>
  <c r="AM241" i="18"/>
  <c r="W363" i="18"/>
  <c r="AL239" i="18" l="1"/>
  <c r="AM240" i="18"/>
  <c r="W362"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1" i="18"/>
  <c r="W360" i="18"/>
  <c r="W359" i="18"/>
  <c r="W358" i="18"/>
  <c r="W357"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2" i="18"/>
  <c r="W353" i="18"/>
  <c r="W354" i="18"/>
  <c r="W355" i="18"/>
  <c r="W356" i="18"/>
  <c r="AL230" i="18" l="1"/>
  <c r="AM231" i="18"/>
  <c r="W351" i="18"/>
  <c r="AL229" i="18" l="1"/>
  <c r="AM230" i="18"/>
  <c r="W350" i="18"/>
  <c r="AL228" i="18" l="1"/>
  <c r="AM229" i="18"/>
  <c r="W349"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8" i="18"/>
  <c r="P374" i="52" l="1"/>
  <c r="AL227" i="18"/>
  <c r="AM228" i="18"/>
  <c r="P375" i="52"/>
  <c r="P376" i="52"/>
  <c r="P368" i="52"/>
  <c r="P373" i="52"/>
  <c r="P372" i="52"/>
  <c r="P371" i="52"/>
  <c r="P370" i="52"/>
  <c r="P369" i="52"/>
  <c r="W347" i="18"/>
  <c r="AL226" i="18" l="1"/>
  <c r="AM227" i="18"/>
  <c r="AL225" i="18" l="1"/>
  <c r="AM226" i="18"/>
  <c r="AL224" i="18" l="1"/>
  <c r="AM225" i="18"/>
  <c r="AL223" i="18" l="1"/>
  <c r="AM224" i="18"/>
  <c r="W346" i="18"/>
  <c r="AL222" i="18" l="1"/>
  <c r="AM223" i="18"/>
  <c r="O362" i="52"/>
  <c r="J362" i="52"/>
  <c r="AL221" i="18" l="1"/>
  <c r="AM222" i="18"/>
  <c r="AL220" i="18" l="1"/>
  <c r="AM221" i="18"/>
  <c r="AL461" i="18"/>
  <c r="AL219" i="18" l="1"/>
  <c r="AM220" i="18"/>
  <c r="AL460" i="18"/>
  <c r="AM461" i="18"/>
  <c r="M155" i="18"/>
  <c r="L155" i="18"/>
  <c r="AL218" i="18" l="1"/>
  <c r="AM219" i="18"/>
  <c r="AM460" i="18"/>
  <c r="AL459" i="18"/>
  <c r="M359" i="52"/>
  <c r="M360" i="52" s="1"/>
  <c r="W345" i="18"/>
  <c r="AL217" i="18" l="1"/>
  <c r="AM218" i="18"/>
  <c r="AL458" i="18"/>
  <c r="AM459" i="18"/>
  <c r="W344" i="18"/>
  <c r="AL216" i="18" l="1"/>
  <c r="AM217" i="18"/>
  <c r="AM458" i="18"/>
  <c r="AL457" i="18"/>
  <c r="W343" i="18"/>
  <c r="AL215" i="18" l="1"/>
  <c r="AM216" i="18"/>
  <c r="AL456" i="18"/>
  <c r="AM457" i="18"/>
  <c r="M154" i="18"/>
  <c r="L154" i="18"/>
  <c r="W342" i="18"/>
  <c r="AL214" i="18" l="1"/>
  <c r="AM214" i="18" s="1"/>
  <c r="AM215" i="18"/>
  <c r="AM456" i="18"/>
  <c r="AL455" i="18"/>
  <c r="W341" i="18"/>
  <c r="AL454" i="18" l="1"/>
  <c r="AM455" i="18"/>
  <c r="W340" i="18"/>
  <c r="AM454" i="18" l="1"/>
  <c r="AL453" i="18"/>
  <c r="AL452" i="18" l="1"/>
  <c r="AM453" i="18"/>
  <c r="M153" i="18"/>
  <c r="L153" i="18"/>
  <c r="AM452" i="18" l="1"/>
  <c r="AL451" i="18"/>
  <c r="M152" i="18"/>
  <c r="L152" i="18"/>
  <c r="AL450" i="18" l="1"/>
  <c r="AM451" i="18"/>
  <c r="L149" i="18"/>
  <c r="M149" i="18"/>
  <c r="L150" i="18"/>
  <c r="M150" i="18"/>
  <c r="L151" i="18"/>
  <c r="M151" i="18"/>
  <c r="L158" i="18"/>
  <c r="M158" i="18"/>
  <c r="AM450" i="18" l="1"/>
  <c r="AL449" i="18"/>
  <c r="O348" i="52"/>
  <c r="W339" i="18"/>
  <c r="AL448" i="18" l="1"/>
  <c r="AM449" i="18"/>
  <c r="G108" i="18"/>
  <c r="G107" i="18"/>
  <c r="W338" i="18"/>
  <c r="J347" i="52"/>
  <c r="AM448" i="18" l="1"/>
  <c r="AL447" i="18"/>
  <c r="L148" i="18"/>
  <c r="M148" i="18"/>
  <c r="M147" i="18"/>
  <c r="L147" i="18"/>
  <c r="W337" i="18"/>
  <c r="AM447" i="18" l="1"/>
  <c r="AL446" i="18"/>
  <c r="W336" i="18"/>
  <c r="AM446" i="18" l="1"/>
  <c r="AL445" i="18"/>
  <c r="AL444" i="18" l="1"/>
  <c r="AM445" i="18"/>
  <c r="AL443" i="18" l="1"/>
  <c r="AM444" i="18"/>
  <c r="W335" i="18" l="1"/>
  <c r="W334" i="18" l="1"/>
  <c r="W333" i="18" l="1"/>
  <c r="W332" i="18" l="1"/>
  <c r="N348" i="52"/>
  <c r="W331"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W312" i="18" l="1"/>
  <c r="W330"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W328" i="18"/>
  <c r="O305" i="52"/>
  <c r="J305" i="52"/>
  <c r="D416" i="15" l="1"/>
  <c r="F417" i="15"/>
  <c r="D415" i="15" l="1"/>
  <c r="F416" i="15"/>
  <c r="W327" i="18"/>
  <c r="O302" i="52"/>
  <c r="F415" i="15" l="1"/>
  <c r="D414" i="15"/>
  <c r="D413" i="15" l="1"/>
  <c r="F414" i="15"/>
  <c r="D412" i="15" l="1"/>
  <c r="F413" i="15"/>
  <c r="W326" i="18"/>
  <c r="O301" i="52"/>
  <c r="F412" i="15" l="1"/>
  <c r="D411" i="15"/>
  <c r="D410" i="15" l="1"/>
  <c r="F411" i="15"/>
  <c r="W325" i="18"/>
  <c r="W324" i="18"/>
  <c r="J300" i="52"/>
  <c r="F410" i="15" l="1"/>
  <c r="D409" i="15"/>
  <c r="W323" i="18"/>
  <c r="O299" i="52"/>
  <c r="W322" i="18"/>
  <c r="W321" i="18"/>
  <c r="D408" i="15" l="1"/>
  <c r="F409" i="15"/>
  <c r="W320" i="18"/>
  <c r="W319" i="18"/>
  <c r="W318" i="18"/>
  <c r="N30" i="18"/>
  <c r="O298" i="52"/>
  <c r="D407" i="15" l="1"/>
  <c r="F408" i="15"/>
  <c r="J298" i="52"/>
  <c r="F407" i="15" l="1"/>
  <c r="D406" i="15"/>
  <c r="O297" i="52"/>
  <c r="W317" i="18"/>
  <c r="W316" i="18"/>
  <c r="W315" i="18"/>
  <c r="D405" i="15" l="1"/>
  <c r="F406" i="15"/>
  <c r="W314" i="18"/>
  <c r="J296" i="52"/>
  <c r="D404" i="15" l="1"/>
  <c r="F405" i="15"/>
  <c r="J295" i="52"/>
  <c r="F404" i="15" l="1"/>
  <c r="D403" i="15"/>
  <c r="W313"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6" i="18"/>
  <c r="W30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3" i="18"/>
  <c r="W302" i="18"/>
  <c r="W301" i="18"/>
  <c r="D364" i="15" l="1"/>
  <c r="F365" i="15"/>
  <c r="O223" i="52"/>
  <c r="W300" i="18"/>
  <c r="F364" i="15" l="1"/>
  <c r="D363" i="15"/>
  <c r="J222" i="52"/>
  <c r="W299" i="18"/>
  <c r="D362" i="15" l="1"/>
  <c r="F363" i="15"/>
  <c r="W298" i="18"/>
  <c r="W297" i="18"/>
  <c r="D361" i="15" l="1"/>
  <c r="F362" i="15"/>
  <c r="O220" i="52"/>
  <c r="F361" i="15" l="1"/>
  <c r="D360" i="15"/>
  <c r="W296" i="18"/>
  <c r="W295"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3" i="18"/>
  <c r="F348" i="15" l="1"/>
  <c r="D347" i="15"/>
  <c r="O210" i="52"/>
  <c r="D346" i="15" l="1"/>
  <c r="F347" i="15"/>
  <c r="J210" i="52"/>
  <c r="D345" i="15" l="1"/>
  <c r="F346" i="15"/>
  <c r="J209" i="52"/>
  <c r="O208" i="52"/>
  <c r="J208" i="52"/>
  <c r="D344" i="15" l="1"/>
  <c r="F345" i="15"/>
  <c r="W292" i="18"/>
  <c r="F344" i="15" l="1"/>
  <c r="D343" i="15"/>
  <c r="O207" i="52"/>
  <c r="J207" i="52"/>
  <c r="W291" i="18"/>
  <c r="D342" i="15" l="1"/>
  <c r="F343" i="15"/>
  <c r="W290" i="18"/>
  <c r="D341" i="15" l="1"/>
  <c r="F342" i="15"/>
  <c r="W289" i="18"/>
  <c r="D340" i="15" l="1"/>
  <c r="F341" i="15"/>
  <c r="O204" i="52"/>
  <c r="F340" i="15" l="1"/>
  <c r="D339" i="15"/>
  <c r="J203" i="52"/>
  <c r="W28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7" i="18"/>
  <c r="W286" i="18"/>
  <c r="W285" i="18"/>
  <c r="J202" i="52"/>
  <c r="D336" i="15" l="1"/>
  <c r="F337" i="15"/>
  <c r="W284" i="18"/>
  <c r="J201" i="52"/>
  <c r="W283" i="18"/>
  <c r="F336" i="15" l="1"/>
  <c r="D335" i="15"/>
  <c r="J200" i="52"/>
  <c r="D334" i="15" l="1"/>
  <c r="F335" i="15"/>
  <c r="W282"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AL213" i="18" l="1"/>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1" i="18"/>
  <c r="S151" i="18" s="1"/>
  <c r="AL208" i="18" l="1"/>
  <c r="AM209" i="18"/>
  <c r="F322" i="15"/>
  <c r="D321" i="15"/>
  <c r="W275" i="18"/>
  <c r="AM208" i="18" l="1"/>
  <c r="AL207" i="18"/>
  <c r="F321" i="15"/>
  <c r="D320" i="15"/>
  <c r="W274" i="18"/>
  <c r="O190" i="52"/>
  <c r="J190" i="52"/>
  <c r="AL206" i="18" l="1"/>
  <c r="AM207" i="18"/>
  <c r="F320" i="15"/>
  <c r="D319" i="15"/>
  <c r="W273" i="18"/>
  <c r="AM206" i="18" l="1"/>
  <c r="AL205" i="18"/>
  <c r="F319" i="15"/>
  <c r="D318" i="15"/>
  <c r="N54" i="18"/>
  <c r="N51" i="18"/>
  <c r="M107" i="18" s="1"/>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7" i="18"/>
  <c r="M108" i="18" s="1"/>
  <c r="W268" i="18"/>
  <c r="O177" i="52"/>
  <c r="J177" i="52"/>
  <c r="G137" i="18" l="1"/>
  <c r="G138"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O167" i="52"/>
  <c r="W265" i="18"/>
  <c r="O166" i="52" l="1"/>
  <c r="W264" i="18"/>
  <c r="W263" i="18" l="1"/>
  <c r="O165" i="52"/>
  <c r="J165" i="52"/>
  <c r="C6" i="60" l="1"/>
  <c r="P6" i="60" s="1"/>
  <c r="D3" i="60"/>
  <c r="D4" i="60"/>
  <c r="AL442" i="18" l="1"/>
  <c r="AM443" i="18"/>
  <c r="O162" i="52"/>
  <c r="J162" i="52"/>
  <c r="W262"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1" i="18"/>
  <c r="AL438" i="18" l="1"/>
  <c r="AM439" i="18"/>
  <c r="W260" i="18"/>
  <c r="AM438" i="18" l="1"/>
  <c r="AL437" i="18"/>
  <c r="AL190" i="18"/>
  <c r="AL436" i="18" l="1"/>
  <c r="AM437" i="18"/>
  <c r="AL189" i="18"/>
  <c r="AM190" i="18"/>
  <c r="N159" i="52"/>
  <c r="P160" i="52" s="1"/>
  <c r="W257"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6" i="18"/>
  <c r="W255" i="18"/>
  <c r="O150" i="52"/>
  <c r="AL431" i="18" l="1"/>
  <c r="AM432" i="18"/>
  <c r="AM185" i="18"/>
  <c r="AL184" i="18"/>
  <c r="AL430" i="18" l="1"/>
  <c r="AM431"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3" i="18"/>
  <c r="AM428" i="18" l="1"/>
  <c r="AL427" i="18"/>
  <c r="AM181" i="18"/>
  <c r="AL180" i="18"/>
  <c r="W252" i="18"/>
  <c r="AL426" i="18" l="1"/>
  <c r="AM427" i="18"/>
  <c r="AM180" i="18"/>
  <c r="AL179" i="18"/>
  <c r="O142" i="52"/>
  <c r="J142" i="52"/>
  <c r="W251" i="18"/>
  <c r="AL425" i="18" l="1"/>
  <c r="AM426" i="18"/>
  <c r="AM179" i="18"/>
  <c r="AL178" i="18"/>
  <c r="AM178" i="18" s="1"/>
  <c r="O140" i="52"/>
  <c r="J140" i="52"/>
  <c r="W250" i="18"/>
  <c r="AM425" i="18" l="1"/>
  <c r="AL424" i="18"/>
  <c r="W249" i="18"/>
  <c r="W248" i="18"/>
  <c r="O139" i="52"/>
  <c r="J139" i="52"/>
  <c r="AM424" i="18" l="1"/>
  <c r="AL423" i="18"/>
  <c r="W247" i="18"/>
  <c r="AM423" i="18" l="1"/>
  <c r="AL422" i="18"/>
  <c r="AM422" i="18" l="1"/>
  <c r="AL421" i="18"/>
  <c r="M41" i="52"/>
  <c r="AM421" i="18" l="1"/>
  <c r="AL420" i="18"/>
  <c r="O135" i="52"/>
  <c r="J135" i="52"/>
  <c r="AM420" i="18" l="1"/>
  <c r="AL419" i="18"/>
  <c r="AL418" i="18" l="1"/>
  <c r="AM419" i="18"/>
  <c r="W246" i="18"/>
  <c r="AL417" i="18" l="1"/>
  <c r="AM418" i="18"/>
  <c r="O132" i="52"/>
  <c r="W245" i="18"/>
  <c r="AM417" i="18" l="1"/>
  <c r="AL416" i="18"/>
  <c r="O131" i="52"/>
  <c r="L3" i="60"/>
  <c r="L4" i="60"/>
  <c r="Q8" i="60"/>
  <c r="AL415" i="18" l="1"/>
  <c r="AM416" i="18"/>
  <c r="O130" i="52"/>
  <c r="O129" i="52"/>
  <c r="W244" i="18"/>
  <c r="W243" i="18"/>
  <c r="AL414" i="18" l="1"/>
  <c r="AM415" i="18"/>
  <c r="N129" i="52"/>
  <c r="AL413" i="18" l="1"/>
  <c r="AM414" i="18"/>
  <c r="O127" i="52"/>
  <c r="AL412" i="18" l="1"/>
  <c r="AM413" i="18"/>
  <c r="J126" i="52"/>
  <c r="O126" i="52"/>
  <c r="W242" i="18"/>
  <c r="AM412" i="18" l="1"/>
  <c r="AL411" i="18"/>
  <c r="O125" i="52"/>
  <c r="J125" i="52"/>
  <c r="AM411" i="18" l="1"/>
  <c r="AL410" i="18"/>
  <c r="W241"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39" i="18"/>
  <c r="AM407" i="18" l="1"/>
  <c r="AL406" i="18"/>
  <c r="AM406" i="18" l="1"/>
  <c r="AL405" i="18"/>
  <c r="O121" i="52"/>
  <c r="J121" i="52"/>
  <c r="W238" i="18"/>
  <c r="AL404" i="18" l="1"/>
  <c r="AM405" i="18"/>
  <c r="W237" i="18"/>
  <c r="J120" i="52"/>
  <c r="AM404" i="18" l="1"/>
  <c r="AL403" i="18"/>
  <c r="AL402" i="18" l="1"/>
  <c r="AM403" i="18"/>
  <c r="O117" i="52"/>
  <c r="AM402" i="18" l="1"/>
  <c r="AL401" i="18"/>
  <c r="O116" i="52"/>
  <c r="N116" i="52"/>
  <c r="AM401" i="18" l="1"/>
  <c r="AL400" i="18"/>
  <c r="W236"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5" i="18"/>
  <c r="J108" i="52"/>
  <c r="AM392" i="18" l="1"/>
  <c r="AL391" i="18"/>
  <c r="D303" i="15"/>
  <c r="F303" i="15" s="1"/>
  <c r="W234" i="18"/>
  <c r="W233" i="18"/>
  <c r="AM391" i="18" l="1"/>
  <c r="AL390" i="18"/>
  <c r="D302" i="15"/>
  <c r="F302" i="15" s="1"/>
  <c r="O106" i="52"/>
  <c r="J106" i="52"/>
  <c r="AL389" i="18" l="1"/>
  <c r="AM390" i="18"/>
  <c r="D301" i="15"/>
  <c r="F301" i="15" s="1"/>
  <c r="J104" i="52"/>
  <c r="E276" i="15"/>
  <c r="E277" i="15"/>
  <c r="E278" i="15"/>
  <c r="E279" i="15"/>
  <c r="E280" i="15"/>
  <c r="AL388" i="18" l="1"/>
  <c r="AM389" i="18"/>
  <c r="D300" i="15"/>
  <c r="F300" i="15" s="1"/>
  <c r="W232" i="18"/>
  <c r="AL387" i="18" l="1"/>
  <c r="AM388" i="18"/>
  <c r="D299" i="15"/>
  <c r="F299" i="15" s="1"/>
  <c r="E6" i="60"/>
  <c r="P3" i="60"/>
  <c r="F3" i="60"/>
  <c r="F4" i="60"/>
  <c r="F5" i="60"/>
  <c r="M6" i="60" l="1"/>
  <c r="F6" i="60"/>
  <c r="J12" i="60"/>
  <c r="J7" i="60"/>
  <c r="J14" i="60"/>
  <c r="J8" i="60"/>
  <c r="J9" i="60"/>
  <c r="J10" i="60"/>
  <c r="J11"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1" i="18"/>
  <c r="H23" i="60" l="1"/>
  <c r="F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0"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3" i="18"/>
  <c r="W229" i="18"/>
  <c r="W228" i="18"/>
  <c r="W227" i="18"/>
  <c r="M48" i="52"/>
  <c r="M47" i="52"/>
  <c r="N38" i="52"/>
  <c r="N37" i="52"/>
  <c r="M49" i="52"/>
  <c r="N50" i="52" s="1"/>
  <c r="AL375" i="18" l="1"/>
  <c r="AM376" i="18"/>
  <c r="D287" i="15"/>
  <c r="F287" i="15" s="1"/>
  <c r="N49" i="52"/>
  <c r="W226" i="18"/>
  <c r="AM375" i="18" l="1"/>
  <c r="AL374" i="18"/>
  <c r="D286" i="15"/>
  <c r="F286" i="15" s="1"/>
  <c r="AL373" i="18" l="1"/>
  <c r="AM374" i="18"/>
  <c r="D285" i="15"/>
  <c r="F285" i="15" s="1"/>
  <c r="W225"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371" i="18" l="1"/>
  <c r="AL370" i="18"/>
  <c r="D282" i="15"/>
  <c r="F282" i="15" s="1"/>
  <c r="G32" i="57"/>
  <c r="H32" i="57"/>
  <c r="D32" i="57"/>
  <c r="I32" i="57" s="1"/>
  <c r="D345" i="20"/>
  <c r="W223" i="18"/>
  <c r="W222"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1" i="18"/>
  <c r="D343" i="20"/>
  <c r="AL366" i="18" l="1"/>
  <c r="AM367" i="18"/>
  <c r="D278" i="15"/>
  <c r="F278" i="15" s="1"/>
  <c r="W220" i="18"/>
  <c r="D342" i="20"/>
  <c r="J83" i="52"/>
  <c r="O83" i="52"/>
  <c r="W219" i="18"/>
  <c r="W218" i="18"/>
  <c r="F44" i="14"/>
  <c r="F45" i="14"/>
  <c r="F46" i="14"/>
  <c r="F47" i="14"/>
  <c r="F48" i="14"/>
  <c r="F49" i="14"/>
  <c r="F50" i="14"/>
  <c r="D341" i="20"/>
  <c r="AL365" i="18" l="1"/>
  <c r="AM366" i="18"/>
  <c r="D277" i="15"/>
  <c r="F277" i="15" s="1"/>
  <c r="AM365" i="18" l="1"/>
  <c r="AL364" i="18"/>
  <c r="D276" i="15"/>
  <c r="F276" i="15" s="1"/>
  <c r="W217" i="18"/>
  <c r="AL363" i="18" l="1"/>
  <c r="AM364" i="18"/>
  <c r="D340" i="20"/>
  <c r="W216" i="18"/>
  <c r="H337" i="20"/>
  <c r="H338" i="20"/>
  <c r="H339" i="20"/>
  <c r="H340" i="20"/>
  <c r="H341" i="20"/>
  <c r="H368" i="20"/>
  <c r="H369" i="20"/>
  <c r="D339" i="20"/>
  <c r="AL362" i="18" l="1"/>
  <c r="AM363" i="18"/>
  <c r="B371" i="20"/>
  <c r="D332" i="20"/>
  <c r="D333" i="20"/>
  <c r="D334" i="20"/>
  <c r="D335" i="20"/>
  <c r="D336" i="20"/>
  <c r="D337" i="20"/>
  <c r="D338" i="20"/>
  <c r="D369" i="20"/>
  <c r="AL361" i="18" l="1"/>
  <c r="AM362" i="18"/>
  <c r="W215" i="18"/>
  <c r="D80" i="57"/>
  <c r="AL360" i="18" l="1"/>
  <c r="AM361" i="18"/>
  <c r="G46" i="10"/>
  <c r="AL359" i="18" l="1"/>
  <c r="AM360" i="18"/>
  <c r="D331" i="20"/>
  <c r="AL358" i="18" l="1"/>
  <c r="AM359" i="18"/>
  <c r="D330" i="20"/>
  <c r="AL357" i="18" l="1"/>
  <c r="AM358" i="18"/>
  <c r="W214" i="18"/>
  <c r="W213"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2" i="18"/>
  <c r="W211" i="18"/>
  <c r="AL345" i="18" l="1"/>
  <c r="AM346"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0" i="18"/>
  <c r="W209" i="18"/>
  <c r="N36" i="52"/>
  <c r="N35" i="52"/>
  <c r="Q42" i="52"/>
  <c r="AL343" i="18" l="1"/>
  <c r="AM344" i="18"/>
  <c r="W208" i="18"/>
  <c r="W207"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6" i="18"/>
  <c r="W205" i="18"/>
  <c r="N32" i="52"/>
  <c r="N31" i="52"/>
  <c r="AL338" i="18" l="1"/>
  <c r="AM338" i="18" s="1"/>
  <c r="AM339" i="18"/>
  <c r="W204" i="18"/>
  <c r="W203" i="18"/>
  <c r="N30" i="52"/>
  <c r="N29" i="52"/>
  <c r="W202" i="18" l="1"/>
  <c r="W201" i="18"/>
  <c r="N28" i="52"/>
  <c r="N27" i="52"/>
  <c r="AL337" i="18" l="1"/>
  <c r="D313" i="20"/>
  <c r="AL336" i="18" l="1"/>
  <c r="AM337" i="18"/>
  <c r="L114" i="18"/>
  <c r="L110" i="18" l="1"/>
  <c r="N110" i="18" s="1"/>
  <c r="L111" i="18"/>
  <c r="N111" i="18" s="1"/>
  <c r="L109" i="18"/>
  <c r="N109" i="18" s="1"/>
  <c r="M114" i="18"/>
  <c r="AM336" i="18"/>
  <c r="AL335" i="18"/>
  <c r="L106" i="18"/>
  <c r="W200" i="18"/>
  <c r="W199" i="18"/>
  <c r="N24" i="52"/>
  <c r="N26" i="52"/>
  <c r="N25" i="52"/>
  <c r="AL334" i="18" l="1"/>
  <c r="AM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198" i="18"/>
  <c r="W197" i="18"/>
  <c r="N23" i="52"/>
  <c r="N22" i="52"/>
  <c r="I368" i="20" l="1"/>
  <c r="G367" i="20"/>
  <c r="J368" i="20"/>
  <c r="K368" i="20"/>
  <c r="AL332" i="18"/>
  <c r="AM333" i="18"/>
  <c r="W196" i="18"/>
  <c r="W195"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4" i="18"/>
  <c r="W193" i="18"/>
  <c r="AL176" i="18" l="1"/>
  <c r="AM177" i="18"/>
  <c r="K362" i="20"/>
  <c r="G361" i="20"/>
  <c r="I362" i="20"/>
  <c r="J362" i="20"/>
  <c r="AL326" i="18"/>
  <c r="AM327" i="18"/>
  <c r="AL175" i="18" l="1"/>
  <c r="AM176" i="18"/>
  <c r="I361" i="20"/>
  <c r="G360" i="20"/>
  <c r="J361" i="20"/>
  <c r="K361" i="20"/>
  <c r="AL325" i="18"/>
  <c r="AM326" i="18"/>
  <c r="G106" i="18"/>
  <c r="F106"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2" i="18"/>
  <c r="W191" i="18"/>
  <c r="N17" i="52"/>
  <c r="N16" i="52"/>
  <c r="AL170" i="18" l="1"/>
  <c r="AM171" i="18"/>
  <c r="I356" i="20"/>
  <c r="G355" i="20"/>
  <c r="J356" i="20"/>
  <c r="K356" i="20"/>
  <c r="L107"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53" i="18"/>
  <c r="R170" i="18" l="1"/>
  <c r="AM120" i="18"/>
  <c r="AL119" i="18"/>
  <c r="AM119" i="18" l="1"/>
  <c r="AL118" i="18"/>
  <c r="S84" i="18"/>
  <c r="S85" i="18" s="1"/>
  <c r="R175" i="18"/>
  <c r="R173" i="18"/>
  <c r="D57" i="51"/>
  <c r="S86" i="18" l="1"/>
  <c r="S87" i="18" s="1"/>
  <c r="S88" i="18" s="1"/>
  <c r="AL117" i="18"/>
  <c r="AM118" i="18"/>
  <c r="AM117" i="18" l="1"/>
  <c r="AL116" i="18"/>
  <c r="S89" i="18"/>
  <c r="S90" i="18" s="1"/>
  <c r="N33" i="18"/>
  <c r="R172"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6"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7"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M106" i="18" s="1"/>
  <c r="N106" i="18" s="1"/>
  <c r="R171" i="18" l="1"/>
  <c r="I137" i="18"/>
  <c r="I138" i="18" s="1"/>
  <c r="Q79" i="18"/>
  <c r="AJ493" i="18"/>
  <c r="AJ494"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9" i="18"/>
  <c r="AN489" i="18" s="1"/>
  <c r="AJ4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5" i="18"/>
  <c r="AJ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14" i="18" l="1"/>
  <c r="R185" i="18"/>
  <c r="AJ281" i="18"/>
  <c r="AJ282" i="18" s="1"/>
  <c r="G305" i="20"/>
  <c r="I306" i="20"/>
  <c r="K306" i="20"/>
  <c r="J306" i="20"/>
  <c r="AL74" i="18"/>
  <c r="AM75" i="18"/>
  <c r="T520" i="18" l="1"/>
  <c r="V523" i="18" s="1"/>
  <c r="U533" i="18"/>
  <c r="V533" i="18" s="1"/>
  <c r="G304" i="20"/>
  <c r="I305" i="20"/>
  <c r="K305" i="20"/>
  <c r="J305" i="20"/>
  <c r="AL73" i="18"/>
  <c r="AM74" i="18"/>
  <c r="R111" i="18"/>
  <c r="V139" i="18" s="1"/>
  <c r="W139" i="18" l="1"/>
  <c r="X139" i="18"/>
  <c r="V75" i="18"/>
  <c r="W75" i="18" s="1"/>
  <c r="V138" i="18"/>
  <c r="V103" i="18"/>
  <c r="V102" i="18"/>
  <c r="W102" i="18" s="1"/>
  <c r="V144" i="18"/>
  <c r="V145" i="18"/>
  <c r="V137" i="18"/>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5" i="18"/>
  <c r="W157"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75" i="18" l="1"/>
  <c r="W138" i="18"/>
  <c r="X138" i="18"/>
  <c r="W103" i="18"/>
  <c r="X103" i="18"/>
  <c r="X102" i="18"/>
  <c r="W144" i="18"/>
  <c r="X144" i="18"/>
  <c r="W145" i="18"/>
  <c r="X145" i="18"/>
  <c r="X137" i="18"/>
  <c r="W137"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1"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6" i="18"/>
  <c r="G139" i="18" s="1"/>
  <c r="G302" i="20"/>
  <c r="K303" i="20"/>
  <c r="I303" i="20"/>
  <c r="J303" i="20"/>
  <c r="X26" i="18"/>
  <c r="W89" i="18"/>
  <c r="X89" i="18"/>
  <c r="W25" i="18"/>
  <c r="X25" i="18"/>
  <c r="X24" i="18"/>
  <c r="W88" i="18"/>
  <c r="X88" i="18"/>
  <c r="W23" i="18"/>
  <c r="W87" i="18"/>
  <c r="X87" i="18"/>
  <c r="W86" i="18"/>
  <c r="X86" i="18"/>
  <c r="W154" i="18"/>
  <c r="X85" i="18"/>
  <c r="W85" i="18"/>
  <c r="W22" i="18"/>
  <c r="X22" i="18"/>
  <c r="W20" i="18"/>
  <c r="X20" i="18"/>
  <c r="W115" i="18"/>
  <c r="X115" i="18"/>
  <c r="W21" i="18"/>
  <c r="X21" i="18"/>
  <c r="AL71" i="18"/>
  <c r="AM72" i="18"/>
  <c r="W160" i="18" l="1"/>
  <c r="X154" i="18" s="1"/>
  <c r="W162" i="18"/>
  <c r="W163" i="18" s="1"/>
  <c r="L28" i="18" s="1"/>
  <c r="N61" i="18"/>
  <c r="I139" i="18"/>
  <c r="I140" i="18"/>
  <c r="G140" i="18"/>
  <c r="G301" i="20"/>
  <c r="I302" i="20"/>
  <c r="K302" i="20"/>
  <c r="J302" i="20"/>
  <c r="AL70" i="18"/>
  <c r="AM71" i="18"/>
  <c r="X157" i="18" l="1"/>
  <c r="X155" i="18"/>
  <c r="X156"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W136" i="18" l="1"/>
  <c r="X136" i="18"/>
</calcChain>
</file>

<file path=xl/sharedStrings.xml><?xml version="1.0" encoding="utf-8"?>
<sst xmlns="http://schemas.openxmlformats.org/spreadsheetml/2006/main" count="16811" uniqueCount="7029">
  <si>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</si>
  <si>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</si>
  <si>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</si>
  <si>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</si>
  <si>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</si>
  <si>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</si>
  <si>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</si>
  <si>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</si>
  <si>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</si>
  <si>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</si>
  <si>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</si>
  <si>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</si>
  <si>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</si>
  <si>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</si>
  <si>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</si>
  <si>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</si>
  <si>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</si>
  <si>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</si>
  <si>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</si>
  <si>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</si>
  <si>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</si>
  <si>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</si>
  <si>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</si>
  <si>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</si>
  <si>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</si>
  <si>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</si>
  <si>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</si>
  <si>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</si>
  <si>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</si>
  <si>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</si>
  <si>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</si>
  <si>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</si>
  <si>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</si>
  <si>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</si>
  <si>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</si>
  <si>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</si>
  <si>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</si>
  <si>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</si>
  <si>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</si>
  <si>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</si>
  <si>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</si>
  <si>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</si>
  <si>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</si>
  <si>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</si>
  <si>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</si>
  <si>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</si>
  <si>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</si>
  <si>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</si>
  <si>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</si>
  <si>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</si>
  <si>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</si>
  <si>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</si>
  <si>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</si>
  <si>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</si>
  <si>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</si>
  <si>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</si>
  <si>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</si>
  <si>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</si>
  <si>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</si>
  <si>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</si>
  <si>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</si>
  <si>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</si>
  <si>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</si>
  <si>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</si>
  <si>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</si>
  <si>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</si>
  <si>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</si>
  <si>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</si>
  <si>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</si>
  <si>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</si>
  <si>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</si>
  <si>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</si>
  <si>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</si>
  <si>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</si>
  <si>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</si>
  <si>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</si>
  <si>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</si>
  <si>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</si>
  <si>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</si>
  <si>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</si>
  <si>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</si>
  <si>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</si>
  <si>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</si>
  <si>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</si>
  <si>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</si>
  <si>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</si>
  <si>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</si>
  <si>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</si>
  <si>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</si>
  <si>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</si>
  <si>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</si>
  <si>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</si>
  <si>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</si>
  <si>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</si>
  <si>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</si>
  <si>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</si>
  <si>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</si>
  <si>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</si>
  <si>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</si>
  <si>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</si>
  <si>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</si>
  <si>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</si>
  <si>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</si>
  <si>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</si>
  <si>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</si>
  <si>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</si>
  <si>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</si>
  <si>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</si>
  <si>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</si>
  <si>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</si>
  <si>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</si>
  <si>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</si>
  <si>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</si>
  <si>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</si>
  <si>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</si>
  <si>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</si>
  <si>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</si>
  <si>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</si>
  <si>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</si>
  <si>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</si>
  <si>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</si>
  <si>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</si>
  <si>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</si>
  <si>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</si>
  <si>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</si>
  <si>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</si>
  <si>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</si>
  <si>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</si>
  <si>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</si>
  <si>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</si>
  <si>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</si>
  <si>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</si>
  <si>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</si>
  <si>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</si>
  <si>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</si>
  <si>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</si>
  <si>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</si>
  <si>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</si>
  <si>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</si>
  <si>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</si>
  <si>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</si>
  <si>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</si>
  <si>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</si>
  <si>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</si>
  <si>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</si>
  <si>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</si>
  <si>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</si>
  <si>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</si>
  <si>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</si>
  <si>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</si>
  <si>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</si>
  <si>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</si>
  <si>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</si>
  <si>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</si>
  <si>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</si>
  <si>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</si>
  <si>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</si>
  <si>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</si>
  <si>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</si>
  <si>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</si>
  <si>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</si>
  <si>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</si>
  <si>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</si>
  <si>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</si>
  <si>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</si>
  <si>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</si>
  <si>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</si>
  <si>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</si>
  <si>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</si>
  <si>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</si>
  <si>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</si>
  <si>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</si>
  <si>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</si>
  <si>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</si>
  <si>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</si>
  <si>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</si>
  <si>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</si>
  <si>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</si>
  <si>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</si>
  <si>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</si>
  <si>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</si>
  <si>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</si>
  <si>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</si>
  <si>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</si>
  <si>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</si>
  <si>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</si>
  <si>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</si>
  <si>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</si>
  <si>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</si>
  <si>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</si>
  <si>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</si>
  <si>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</si>
  <si>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</si>
  <si>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</si>
  <si>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</si>
  <si>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</si>
  <si>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</si>
  <si>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</si>
  <si>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</si>
  <si>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</si>
  <si>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</si>
  <si>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</si>
  <si>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</si>
  <si>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</si>
  <si>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</si>
  <si>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</si>
  <si>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</si>
  <si>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</si>
  <si>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</si>
  <si>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</si>
  <si>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</si>
  <si>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</si>
  <si>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</si>
  <si>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</si>
  <si>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</si>
  <si>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</si>
  <si>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</si>
  <si>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</si>
  <si>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</si>
  <si>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</si>
  <si>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</si>
  <si>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</si>
  <si>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</si>
  <si>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</si>
  <si>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</si>
  <si>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</si>
  <si>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</si>
  <si>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</si>
  <si>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</si>
  <si>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</si>
  <si>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</si>
  <si>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</si>
  <si>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</si>
  <si>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</si>
  <si>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</si>
  <si>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</si>
  <si>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</si>
  <si>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</si>
  <si>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</si>
  <si>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</si>
  <si>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</si>
  <si>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</si>
  <si>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</si>
  <si>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</si>
  <si>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</si>
  <si>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</si>
  <si>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</si>
  <si>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</si>
  <si>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</si>
  <si>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</si>
  <si>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</si>
  <si>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</si>
  <si>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</si>
  <si>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</si>
  <si>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</si>
  <si>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</si>
  <si>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</si>
  <si>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</si>
  <si>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</si>
  <si>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</si>
  <si>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</si>
  <si>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</si>
  <si>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</si>
  <si>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</si>
  <si>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</si>
  <si>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</si>
  <si>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</si>
  <si>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</si>
  <si>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</si>
  <si>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</si>
  <si>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</si>
  <si>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</si>
  <si>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</si>
  <si>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</si>
  <si>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</si>
  <si>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</si>
  <si>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</si>
  <si>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</si>
  <si>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</si>
  <si>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</si>
  <si>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</si>
  <si>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</si>
  <si>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</si>
  <si>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</si>
  <si>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</si>
  <si>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</si>
  <si>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</si>
  <si>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</si>
  <si>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</si>
  <si>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</si>
  <si>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</si>
  <si>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</si>
  <si>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</si>
  <si>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</si>
  <si>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</si>
  <si>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</si>
  <si>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</si>
  <si>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</si>
  <si>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</si>
  <si>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</si>
  <si>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</si>
  <si>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</si>
  <si>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</si>
  <si>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</si>
  <si>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</si>
  <si>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</si>
  <si>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</si>
  <si>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</si>
  <si>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</si>
  <si>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</si>
  <si>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</si>
  <si>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</si>
  <si>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</si>
  <si>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</si>
  <si>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</si>
  <si>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</si>
  <si>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</si>
  <si>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</si>
  <si>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</si>
  <si>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</si>
  <si>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</si>
  <si>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</si>
  <si>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</si>
  <si>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</si>
  <si>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</si>
  <si>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</si>
  <si>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</si>
  <si>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</si>
  <si>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</si>
  <si>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</si>
  <si>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</si>
  <si>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</si>
  <si>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</si>
  <si>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</si>
  <si>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</si>
  <si>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</si>
  <si>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</si>
  <si>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</si>
  <si>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</si>
  <si>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</si>
  <si>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</si>
  <si>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</si>
  <si>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</si>
  <si>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</si>
  <si>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</si>
  <si>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</si>
  <si>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</si>
  <si>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</si>
  <si>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</si>
  <si>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</si>
  <si>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</si>
  <si>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</si>
  <si>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</si>
  <si>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</si>
  <si>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</si>
  <si>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</si>
  <si>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</si>
  <si>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</si>
  <si>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</si>
  <si>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</si>
  <si>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</si>
  <si>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</si>
  <si>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</si>
  <si>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</si>
  <si>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</si>
  <si>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</si>
  <si>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</si>
  <si>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</si>
  <si>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</si>
  <si>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</si>
  <si>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</si>
  <si>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</si>
  <si>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</si>
  <si>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</si>
  <si>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</si>
  <si>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</si>
  <si>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</si>
  <si>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</si>
  <si>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</si>
  <si>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</si>
  <si>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</si>
  <si>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</si>
  <si>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</si>
  <si>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</si>
  <si>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</si>
  <si>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</si>
  <si>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</si>
  <si>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</si>
  <si>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</si>
  <si>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</si>
  <si>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</si>
  <si>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</si>
  <si>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</si>
  <si>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</si>
  <si>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</si>
  <si>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</si>
  <si>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</si>
  <si>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</si>
  <si>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</si>
  <si>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</si>
  <si>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</si>
  <si>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</si>
  <si>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</si>
  <si>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</si>
  <si>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</si>
  <si>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</si>
  <si>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</si>
  <si>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</si>
  <si>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</si>
  <si>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</si>
  <si>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</si>
  <si>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</si>
  <si>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</si>
  <si>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</si>
  <si>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</si>
  <si>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</si>
  <si>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</si>
  <si>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</si>
  <si>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</si>
  <si>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</si>
  <si>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</si>
  <si>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</si>
  <si>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</si>
  <si>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</si>
  <si>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</si>
  <si>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</si>
  <si>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</si>
  <si>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</si>
  <si>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</si>
  <si>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</si>
  <si>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</si>
  <si>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</si>
  <si>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</si>
  <si>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</si>
  <si>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</si>
  <si>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</si>
  <si>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</si>
  <si>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</si>
  <si>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</si>
  <si>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</si>
  <si>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</si>
  <si>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</si>
  <si>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</si>
  <si>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</si>
  <si>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</si>
  <si>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</si>
  <si>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</si>
  <si>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</si>
  <si>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</si>
  <si>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</si>
  <si>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</si>
  <si>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</si>
  <si>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</si>
  <si>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</si>
  <si>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</si>
  <si>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</si>
  <si>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</si>
  <si>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</si>
  <si>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</si>
  <si>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</si>
  <si>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</si>
  <si>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</si>
  <si>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</si>
  <si>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</si>
  <si>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</si>
  <si>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</si>
  <si>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</si>
  <si>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</si>
  <si>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</si>
  <si>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</si>
  <si>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</si>
  <si>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</si>
  <si>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</si>
  <si>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</si>
  <si>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</si>
  <si>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</si>
  <si>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</si>
  <si>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</si>
  <si>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</si>
  <si>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</si>
  <si>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</si>
  <si>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</si>
  <si>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</si>
  <si>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</si>
  <si>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</si>
  <si>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</si>
  <si>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</si>
  <si>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</si>
  <si>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</si>
  <si>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</si>
  <si>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</si>
  <si>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</si>
  <si>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</si>
  <si>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</si>
  <si>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</si>
  <si>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</si>
  <si>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</si>
  <si>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</si>
  <si>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</si>
  <si>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</si>
  <si>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</si>
  <si>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</si>
  <si>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</si>
  <si>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</si>
  <si>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</si>
  <si>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</si>
  <si>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</si>
  <si>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</si>
  <si>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</si>
  <si>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</si>
  <si>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</si>
  <si>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</si>
  <si>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</si>
  <si>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</si>
  <si>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</si>
  <si>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</si>
  <si>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</si>
  <si>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</si>
  <si>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</si>
  <si>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</si>
  <si>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</si>
  <si>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</si>
  <si>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</si>
  <si>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</si>
  <si>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</si>
  <si>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</si>
  <si>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</si>
  <si>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</si>
  <si>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</si>
  <si>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</si>
  <si>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</si>
  <si>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</si>
  <si>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</si>
  <si>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</si>
  <si>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</si>
  <si>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</si>
  <si>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</si>
  <si>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</si>
  <si>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</si>
  <si>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</si>
  <si>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</si>
  <si>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</si>
  <si>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</si>
  <si>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</si>
  <si>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</si>
  <si>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</si>
  <si>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</si>
  <si>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</si>
  <si>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</si>
  <si>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</si>
  <si>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</si>
  <si>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</si>
  <si>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</si>
  <si>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</si>
  <si>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</si>
  <si>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</si>
  <si>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</si>
  <si>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</si>
  <si>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</si>
  <si>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</si>
  <si>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</si>
  <si>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</si>
  <si>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</si>
  <si>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</si>
  <si>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</si>
  <si>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</si>
  <si>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</si>
  <si>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</si>
  <si>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</si>
  <si>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</si>
  <si>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</si>
  <si>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</si>
  <si>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</si>
  <si>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</si>
  <si>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</si>
  <si>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</si>
  <si>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</si>
  <si>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</si>
  <si>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</si>
  <si>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</si>
  <si>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</si>
  <si>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</si>
  <si>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</si>
  <si>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</si>
  <si>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</si>
  <si>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</si>
  <si>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</si>
  <si>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</si>
  <si>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</si>
  <si>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</si>
  <si>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</si>
  <si>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</si>
  <si>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</si>
  <si>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</si>
  <si>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</si>
  <si>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</si>
  <si>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</si>
  <si>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</si>
  <si>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</si>
  <si>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</si>
  <si>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</si>
  <si>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</si>
  <si>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</si>
  <si>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</si>
  <si>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</si>
  <si>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</si>
  <si>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</si>
  <si>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</si>
  <si>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</si>
  <si>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</si>
  <si>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</si>
  <si>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</si>
  <si>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</si>
  <si>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</si>
  <si>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</si>
  <si>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</si>
  <si>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</si>
  <si>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</si>
  <si>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</si>
  <si>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</si>
  <si>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</si>
  <si>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</si>
  <si>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</si>
  <si>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</si>
  <si>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</si>
  <si>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</si>
  <si>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</si>
  <si>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</si>
  <si>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</si>
  <si>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</si>
  <si>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</si>
  <si>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</si>
  <si>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</si>
  <si>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</si>
  <si>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</si>
  <si>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</si>
  <si>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</si>
  <si>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</si>
  <si>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</si>
  <si>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</si>
  <si>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</si>
  <si>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</si>
  <si>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</si>
  <si>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</si>
  <si>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</si>
  <si>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</si>
  <si>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</si>
  <si>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</si>
  <si>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</si>
  <si>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</si>
  <si>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</si>
  <si>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</si>
  <si>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</si>
  <si>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</si>
  <si>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</si>
  <si>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</si>
  <si>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</si>
  <si>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</si>
  <si>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</si>
  <si>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</si>
  <si>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</si>
  <si>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</si>
  <si>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</si>
  <si>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</si>
  <si>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</si>
  <si>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</si>
  <si>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</si>
  <si>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</si>
  <si>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</si>
  <si>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</si>
  <si>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</si>
  <si>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</si>
  <si>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</si>
  <si>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</si>
  <si>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</si>
  <si>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</si>
  <si>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</si>
  <si>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</si>
  <si>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</si>
  <si>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</si>
  <si>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</si>
  <si>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</si>
  <si>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</si>
  <si>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</si>
  <si>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</si>
  <si>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</si>
  <si>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</si>
  <si>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</si>
  <si>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</si>
  <si>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</si>
  <si>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</si>
  <si>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</si>
  <si>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</si>
  <si>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</si>
  <si>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</si>
  <si>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</si>
  <si>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</si>
  <si>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</si>
  <si>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</si>
  <si>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</si>
  <si>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</si>
  <si>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</si>
  <si>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</si>
  <si>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</si>
  <si>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</si>
  <si>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</si>
  <si>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</si>
  <si>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</si>
  <si>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</si>
  <si>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</si>
  <si>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</si>
  <si>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</si>
  <si>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</si>
  <si>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</si>
  <si>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</si>
  <si>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</si>
  <si>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</si>
  <si>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</si>
  <si>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</si>
  <si>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</si>
  <si>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</si>
  <si>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</si>
  <si>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</si>
  <si>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</si>
  <si>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</si>
  <si>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</si>
  <si>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</si>
  <si>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</si>
  <si>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</si>
  <si>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</si>
  <si>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</si>
  <si>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</si>
  <si>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</si>
  <si>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</si>
  <si>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</si>
  <si>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</si>
  <si>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</si>
  <si>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</si>
  <si>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</si>
  <si>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</si>
  <si>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</si>
  <si>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</si>
  <si>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</si>
  <si>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</si>
  <si>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</si>
  <si>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</si>
  <si>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</si>
  <si>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</si>
  <si>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</si>
  <si>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</si>
  <si>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</si>
  <si>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</si>
  <si>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</si>
  <si>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</si>
  <si>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</si>
  <si>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</si>
  <si>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</si>
  <si>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</si>
  <si>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</si>
  <si>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</si>
  <si>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</si>
  <si>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</si>
  <si>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</si>
  <si>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</si>
  <si>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</si>
  <si>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</si>
  <si>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</si>
  <si>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</si>
  <si>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</si>
  <si>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</si>
  <si>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</si>
  <si>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</si>
  <si>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</si>
  <si>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</si>
  <si>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</si>
  <si>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</si>
  <si>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</si>
  <si>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</si>
  <si>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</si>
  <si>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</si>
  <si>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</si>
  <si>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</si>
  <si>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</si>
  <si>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</si>
  <si>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</si>
  <si>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</si>
  <si>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</si>
  <si>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</si>
  <si>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</si>
  <si>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</si>
  <si>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</si>
  <si>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</si>
  <si>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</si>
  <si>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</si>
  <si>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</si>
  <si>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</si>
  <si>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</si>
  <si>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</si>
  <si>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</si>
  <si>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</si>
  <si>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</si>
  <si>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</si>
  <si>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</si>
  <si>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</si>
  <si>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</si>
  <si>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</si>
  <si>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</si>
  <si>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</si>
  <si>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</si>
  <si>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</si>
  <si>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</si>
  <si>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</si>
  <si>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</si>
  <si>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</si>
  <si>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</si>
  <si>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</si>
  <si>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</si>
  <si>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</si>
  <si>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</si>
  <si>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</si>
  <si>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</si>
  <si>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</si>
  <si>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</si>
  <si>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</si>
  <si>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</si>
  <si>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</si>
  <si>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</si>
  <si>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</si>
  <si>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</si>
  <si>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</si>
  <si>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</si>
  <si>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</si>
  <si>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</si>
  <si>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</si>
  <si>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</si>
  <si>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</si>
  <si>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</si>
  <si>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</si>
  <si>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</si>
  <si>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</si>
  <si>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</si>
  <si>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</si>
  <si>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</si>
  <si>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</si>
  <si>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</si>
  <si>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</si>
  <si>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</si>
  <si>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</si>
  <si>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</si>
  <si>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</si>
  <si>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</si>
  <si>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</si>
  <si>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</si>
  <si>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</si>
  <si>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</si>
  <si>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</si>
  <si>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</si>
  <si>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</si>
  <si>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</si>
  <si>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</si>
  <si>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</si>
  <si>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</si>
  <si>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</si>
  <si>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</si>
  <si>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</si>
  <si>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</si>
  <si>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</si>
  <si>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</si>
  <si>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</si>
  <si>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</si>
  <si>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</si>
  <si>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</si>
  <si>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</si>
  <si>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</si>
  <si>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</si>
  <si>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</si>
  <si>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</si>
  <si>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</si>
  <si>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</si>
  <si>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</si>
  <si>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</si>
  <si>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</si>
  <si>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</si>
  <si>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</si>
  <si>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</si>
  <si>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</si>
  <si>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</si>
  <si>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</si>
  <si>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</si>
  <si>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</si>
  <si>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</si>
  <si>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</si>
  <si>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</si>
  <si>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</si>
  <si>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</si>
  <si>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</si>
  <si>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</si>
  <si>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</si>
  <si>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</si>
  <si>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</si>
  <si>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</si>
  <si>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</si>
  <si>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</si>
  <si>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</si>
  <si>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</si>
  <si>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</si>
  <si>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</si>
  <si>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</si>
  <si>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</si>
  <si>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</si>
  <si>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</si>
  <si>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</si>
  <si>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</si>
  <si>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</si>
  <si>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</si>
  <si>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</si>
  <si>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</si>
  <si>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</si>
  <si>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</si>
  <si>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</si>
  <si>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</si>
  <si>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</si>
  <si>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</si>
  <si>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</si>
  <si>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</si>
  <si>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</si>
  <si>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</si>
  <si>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</si>
  <si>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</si>
  <si>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</si>
  <si>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</si>
  <si>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</si>
  <si>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</si>
  <si>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</si>
  <si>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</si>
  <si>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</si>
  <si>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</si>
  <si>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</si>
  <si>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</si>
  <si>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</si>
  <si>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</si>
  <si>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</si>
  <si>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</si>
  <si>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</si>
  <si>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</si>
  <si>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</si>
  <si>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</si>
  <si>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</si>
  <si>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</si>
  <si>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</si>
  <si>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</si>
  <si>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</si>
  <si>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</si>
  <si>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</si>
  <si>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</si>
  <si>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</si>
  <si>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</si>
  <si>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</si>
  <si>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</si>
  <si>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</si>
  <si>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</si>
  <si>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</si>
  <si>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</si>
  <si>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</si>
  <si>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</si>
  <si>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</si>
  <si>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</si>
  <si>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</si>
  <si>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</si>
  <si>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</si>
  <si>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</si>
  <si>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</si>
  <si>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</si>
  <si>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</si>
  <si>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</si>
  <si>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</si>
  <si>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</si>
  <si>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</si>
  <si>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</si>
  <si>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</si>
  <si>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</si>
  <si>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</si>
  <si>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</si>
  <si>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</si>
  <si>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</si>
  <si>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</si>
  <si>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</si>
  <si>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</si>
  <si>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</si>
  <si>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</si>
  <si>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</si>
  <si>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</si>
  <si>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</si>
  <si>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</si>
  <si>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</si>
  <si>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</si>
  <si>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</si>
  <si>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</si>
  <si>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</si>
  <si>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</si>
  <si>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</si>
  <si>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</si>
  <si>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</si>
  <si>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</si>
  <si>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</si>
  <si>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</si>
  <si>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</si>
  <si>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</si>
  <si>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</si>
  <si>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</si>
  <si>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</si>
  <si>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</si>
  <si>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</si>
  <si>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</si>
  <si>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</si>
  <si>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</si>
  <si>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</si>
  <si>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</si>
  <si>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</si>
  <si>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</si>
  <si>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</si>
  <si>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</si>
  <si>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</si>
  <si>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</si>
  <si>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</si>
  <si>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</si>
  <si>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</si>
  <si>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</si>
  <si>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</si>
  <si>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</si>
  <si>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</si>
  <si>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</si>
  <si>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</si>
  <si>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</si>
  <si>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</si>
  <si>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</si>
  <si>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</si>
  <si>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</si>
  <si>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</si>
  <si>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</si>
  <si>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</si>
  <si>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</si>
  <si>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</si>
  <si>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</si>
  <si>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</si>
  <si>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</si>
  <si>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</si>
  <si>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</si>
  <si>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</si>
  <si>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</si>
  <si>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</si>
  <si>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</si>
  <si>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</si>
  <si>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</si>
  <si>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</si>
  <si>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</si>
  <si>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</si>
  <si>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</si>
  <si>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</si>
  <si>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</si>
  <si>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</si>
  <si>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</si>
  <si>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</si>
  <si>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</si>
  <si>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</si>
  <si>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</si>
  <si>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</si>
  <si>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</si>
  <si>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</si>
  <si>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</si>
  <si>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</si>
  <si>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</si>
  <si>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</si>
  <si>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</si>
  <si>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</si>
  <si>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</si>
  <si>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</si>
  <si>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</si>
  <si>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</si>
  <si>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</si>
  <si>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</si>
  <si>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</si>
  <si>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</si>
  <si>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</si>
  <si>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</si>
  <si>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</si>
  <si>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</si>
  <si>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</si>
  <si>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</si>
  <si>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</si>
  <si>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</si>
  <si>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</si>
  <si>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</si>
  <si>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</si>
  <si>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</si>
  <si>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</si>
  <si>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</si>
  <si>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</si>
  <si>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</si>
  <si>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</si>
  <si>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</si>
  <si>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</si>
  <si>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</si>
  <si>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</si>
  <si>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</si>
  <si>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</si>
  <si>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</si>
  <si>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</si>
  <si>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</si>
  <si>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</si>
  <si>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</si>
  <si>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</si>
  <si>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</si>
  <si>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</si>
  <si>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</si>
  <si>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</si>
  <si>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</si>
  <si>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</si>
  <si>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</si>
  <si>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</si>
  <si>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</si>
  <si>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</si>
  <si>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</si>
  <si>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</si>
  <si>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</si>
  <si>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</si>
  <si>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</si>
  <si>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</si>
  <si>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</si>
  <si>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</si>
  <si>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</si>
  <si>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</si>
  <si>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</si>
  <si>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</si>
  <si>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</si>
  <si>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</si>
  <si>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</si>
  <si>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</si>
  <si>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</si>
  <si>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</si>
  <si>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</si>
  <si>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</si>
  <si>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</si>
  <si>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</si>
  <si>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</si>
  <si>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</si>
  <si>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</si>
  <si>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</si>
  <si>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</si>
  <si>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</si>
  <si>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</si>
  <si>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</si>
  <si>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</si>
  <si>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</si>
  <si>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</si>
  <si>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</si>
  <si>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</si>
  <si>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</si>
  <si>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</si>
  <si>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</si>
  <si>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</si>
  <si>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</si>
  <si>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</si>
  <si>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</si>
  <si>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</si>
  <si>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</si>
  <si>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</si>
  <si>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</si>
  <si>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</si>
  <si>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</si>
  <si>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</si>
  <si>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</si>
  <si>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</si>
  <si>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</si>
  <si>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</si>
  <si>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</si>
  <si>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</si>
  <si>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</si>
  <si>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</si>
  <si>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</si>
  <si>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</si>
  <si>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</si>
  <si>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</si>
  <si>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</si>
  <si>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</si>
  <si>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</si>
  <si>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</si>
  <si>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</si>
  <si>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</si>
  <si>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</si>
  <si>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</si>
  <si>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</si>
  <si>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</si>
  <si>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</si>
  <si>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</si>
  <si>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</si>
  <si>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</si>
  <si>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</si>
  <si>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</si>
  <si>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</si>
  <si>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</si>
  <si>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</si>
  <si>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</si>
  <si>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</si>
  <si>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</si>
  <si>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</si>
  <si>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</si>
  <si>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</si>
  <si>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</si>
  <si>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</si>
  <si>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</si>
  <si>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</si>
  <si>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</si>
  <si>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</si>
  <si>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</si>
  <si>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</si>
  <si>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</si>
  <si>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</si>
  <si>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</si>
  <si>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</si>
  <si>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</si>
  <si>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</si>
  <si>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</si>
  <si>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</si>
  <si>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</si>
  <si>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</si>
  <si>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</si>
  <si>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</si>
  <si>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</si>
  <si>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</si>
  <si>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</si>
  <si>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</si>
  <si>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</si>
  <si>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</si>
  <si>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</si>
  <si>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</si>
  <si>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</si>
  <si>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</si>
  <si>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</si>
  <si>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</si>
  <si>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</si>
  <si>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</si>
  <si>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</si>
  <si>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</si>
  <si>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</si>
  <si>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</si>
  <si>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</si>
  <si>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</si>
  <si>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</si>
  <si>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</si>
  <si>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</si>
  <si>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</si>
  <si>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</si>
  <si>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</si>
  <si>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</si>
  <si>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</si>
  <si>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</si>
  <si>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</si>
  <si>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</si>
  <si>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</si>
  <si>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</si>
  <si>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</si>
  <si>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</si>
  <si>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</si>
  <si>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</si>
  <si>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</si>
  <si>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</si>
  <si>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</si>
  <si>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</si>
  <si>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</si>
  <si>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</si>
  <si>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</si>
  <si>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</si>
  <si>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</si>
  <si>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</si>
  <si>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</si>
  <si>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</si>
  <si>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</si>
  <si>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</si>
  <si>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</si>
  <si>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</si>
  <si>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</si>
  <si>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</si>
  <si>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</si>
  <si>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</si>
  <si>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</si>
  <si>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</si>
  <si>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</si>
  <si>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</si>
  <si>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</si>
  <si>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</si>
  <si>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</si>
  <si>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</si>
  <si>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</si>
  <si>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</si>
  <si>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</si>
  <si>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</si>
  <si>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</si>
  <si>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</si>
  <si>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</si>
  <si>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</si>
  <si>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</si>
  <si>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</si>
  <si>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</si>
  <si>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</si>
  <si>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</si>
  <si>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</si>
  <si>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</si>
  <si>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</si>
  <si>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</si>
  <si>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</si>
  <si>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</si>
  <si>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</si>
  <si>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</si>
  <si>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</si>
  <si>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</si>
  <si>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</si>
  <si>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</si>
  <si>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</si>
  <si>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</si>
  <si>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</si>
  <si>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</si>
  <si>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</si>
  <si>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</si>
  <si>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</si>
  <si>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</si>
  <si>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</si>
  <si>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</si>
  <si>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</si>
  <si>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</si>
  <si>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</si>
  <si>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</si>
  <si>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</si>
  <si>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</si>
  <si>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</si>
  <si>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</si>
  <si>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</si>
  <si>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</si>
  <si>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</si>
  <si>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</si>
  <si>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</si>
  <si>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</si>
  <si>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</si>
  <si>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</si>
  <si>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</si>
  <si>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</si>
  <si>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</si>
  <si>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</si>
  <si>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</si>
  <si>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</si>
  <si>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</si>
  <si>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</si>
  <si>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</si>
  <si>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</si>
  <si>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</si>
  <si>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</si>
  <si>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</si>
  <si>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</si>
  <si>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</si>
  <si>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</si>
  <si>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</si>
  <si>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</si>
  <si>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</si>
  <si>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</si>
  <si>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</si>
  <si>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</si>
  <si>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</si>
  <si>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</si>
  <si>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</si>
  <si>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</si>
  <si>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</si>
  <si>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</si>
  <si>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</si>
  <si>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</si>
  <si>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</si>
  <si>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</si>
  <si>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</si>
  <si>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</si>
  <si>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</si>
  <si>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</si>
  <si>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</si>
  <si>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</si>
  <si>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</si>
  <si>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</si>
  <si>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</si>
  <si>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</si>
  <si>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</si>
  <si>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</si>
  <si>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</si>
  <si>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</si>
  <si>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</si>
  <si>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</si>
  <si>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</si>
  <si>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</si>
  <si>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</si>
  <si>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</si>
  <si>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</si>
  <si>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</si>
  <si>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</si>
  <si>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</si>
  <si>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</si>
  <si>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</si>
  <si>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</si>
  <si>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</si>
  <si>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</si>
  <si>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</si>
  <si>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</si>
  <si>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</si>
  <si>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</si>
  <si>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</si>
  <si>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</si>
  <si>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</si>
  <si>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</si>
  <si>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</si>
  <si>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</si>
  <si>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</si>
  <si>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</si>
  <si>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</si>
  <si>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</si>
  <si>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</si>
  <si>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</si>
  <si>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</si>
  <si>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</si>
  <si>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</si>
  <si>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</si>
  <si>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</si>
  <si>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</si>
  <si>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</si>
  <si>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</si>
  <si>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</si>
  <si>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</si>
  <si>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</si>
  <si>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</si>
  <si>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</si>
  <si>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</si>
  <si>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</si>
  <si>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</si>
  <si>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</si>
  <si>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</si>
  <si>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</si>
  <si>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</si>
  <si>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</si>
  <si>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</si>
  <si>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</si>
  <si>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</si>
  <si>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</si>
  <si>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</si>
  <si>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</si>
  <si>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</si>
  <si>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</si>
  <si>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</si>
  <si>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</si>
  <si>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</si>
  <si>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</si>
  <si>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</si>
  <si>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</si>
  <si>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</si>
  <si>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</si>
  <si>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</si>
  <si>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</si>
  <si>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</si>
  <si>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</si>
  <si>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</si>
  <si>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</si>
  <si>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</si>
  <si>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</si>
  <si>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</si>
  <si>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</si>
  <si>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</si>
  <si>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</si>
  <si>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</si>
  <si>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</si>
  <si>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</si>
  <si>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</si>
  <si>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</si>
  <si>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</si>
  <si>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</si>
  <si>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</si>
  <si>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</si>
  <si>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</si>
  <si>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</si>
  <si>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</si>
  <si>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</si>
  <si>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</si>
  <si>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</si>
  <si>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</si>
  <si>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</si>
  <si>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</si>
  <si>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</si>
  <si>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</si>
  <si>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</si>
  <si>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</si>
  <si>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</si>
  <si>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</si>
  <si>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</si>
  <si>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</si>
  <si>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</si>
  <si>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</si>
  <si>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</si>
  <si>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</si>
  <si>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</si>
  <si>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</si>
  <si>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</si>
  <si>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</si>
  <si>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</si>
  <si>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</si>
  <si>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</si>
  <si>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</si>
  <si>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</si>
  <si>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</si>
  <si>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</si>
  <si>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</si>
  <si>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</si>
  <si>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</si>
  <si>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</si>
  <si>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</si>
  <si>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</si>
  <si>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</si>
  <si>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</si>
  <si>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</si>
  <si>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</si>
  <si>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</si>
  <si>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</si>
  <si>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</si>
  <si>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</si>
  <si>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</si>
  <si>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</si>
  <si>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</si>
  <si>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</si>
  <si>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</si>
  <si>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</si>
  <si>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</si>
  <si>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</si>
  <si>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</si>
  <si>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</si>
  <si>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</si>
  <si>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</si>
  <si>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</si>
  <si>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</si>
  <si>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</si>
  <si>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</si>
  <si>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</si>
  <si>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</si>
  <si>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</si>
  <si>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</si>
  <si>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</si>
  <si>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</si>
  <si>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</si>
  <si>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</si>
  <si>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</si>
  <si>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</si>
  <si>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</si>
  <si>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</si>
  <si>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</si>
  <si>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</si>
  <si>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</si>
  <si>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</si>
  <si>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</si>
  <si>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</si>
  <si>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</si>
  <si>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</si>
  <si>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</si>
  <si>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</si>
  <si>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</si>
  <si>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</si>
  <si>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</si>
  <si>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</si>
  <si>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</si>
  <si>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</si>
  <si>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</si>
  <si>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</si>
  <si>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</si>
  <si>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</si>
  <si>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</si>
  <si>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</si>
  <si>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</si>
  <si>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</si>
  <si>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</si>
  <si>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</si>
  <si>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</si>
  <si>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</si>
  <si>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</si>
  <si>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</si>
  <si>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</si>
  <si>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</si>
  <si>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</si>
  <si>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</si>
  <si>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</si>
  <si>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</si>
  <si>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</si>
  <si>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</si>
  <si>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</si>
  <si>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</si>
  <si>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</si>
  <si>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</si>
  <si>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</si>
  <si>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</si>
  <si>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</si>
  <si>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</si>
  <si>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</si>
  <si>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</si>
  <si>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</si>
  <si>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</si>
  <si>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</si>
  <si>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</si>
  <si>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</si>
  <si>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</si>
  <si>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</si>
  <si>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</si>
  <si>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</si>
  <si>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</si>
  <si>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</si>
  <si>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</si>
  <si>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</si>
  <si>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</si>
  <si>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</si>
  <si>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</si>
  <si>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</si>
  <si>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</si>
  <si>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</si>
  <si>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</si>
  <si>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</si>
  <si>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</si>
  <si>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</si>
  <si>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</si>
  <si>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</si>
  <si>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</si>
  <si>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</si>
  <si>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</si>
  <si>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</si>
  <si>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</si>
  <si>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</si>
  <si>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</si>
  <si>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</si>
  <si>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</si>
  <si>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</si>
  <si>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</si>
  <si>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</si>
  <si>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</si>
  <si>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</si>
  <si>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</si>
  <si>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</si>
  <si>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</si>
  <si>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</si>
  <si>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</si>
  <si>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</si>
  <si>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</si>
  <si>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</si>
  <si>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</si>
  <si>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</si>
  <si>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</si>
  <si>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</si>
  <si>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</si>
  <si>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</si>
  <si>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</si>
  <si>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</si>
  <si>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</si>
  <si>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</si>
  <si>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</si>
  <si>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</si>
  <si>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</si>
  <si>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</si>
  <si>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</si>
  <si>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</si>
  <si>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</si>
  <si>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</si>
  <si>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</si>
  <si>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</si>
  <si>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</si>
  <si>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</si>
  <si>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</si>
  <si>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</si>
  <si>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</si>
  <si>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</si>
  <si>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</si>
  <si>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</si>
  <si>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</si>
  <si>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</si>
  <si>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</si>
  <si>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</si>
  <si>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</si>
  <si>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</si>
  <si>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</si>
  <si>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</si>
  <si>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</si>
  <si>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</si>
  <si>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</si>
  <si>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</si>
  <si>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</si>
  <si>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</si>
  <si>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</si>
  <si>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</si>
  <si>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</si>
  <si>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</si>
  <si>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</si>
  <si>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</si>
  <si>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</si>
  <si>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</si>
  <si>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</si>
  <si>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</si>
  <si>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</si>
  <si>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</si>
  <si>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</si>
  <si>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</si>
  <si>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</si>
  <si>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</si>
  <si>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</si>
  <si>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</si>
  <si>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</si>
  <si>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</si>
  <si>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</si>
  <si>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</si>
  <si>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</si>
  <si>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</si>
  <si>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</si>
  <si>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</si>
  <si>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</si>
  <si>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</si>
  <si>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</si>
  <si>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</si>
  <si>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</si>
  <si>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</si>
  <si>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</si>
  <si>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</si>
  <si>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</si>
  <si>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</si>
  <si>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</si>
  <si>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</si>
  <si>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</si>
  <si>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</si>
  <si>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</si>
  <si>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</si>
  <si>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</si>
  <si>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</si>
  <si>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</si>
  <si>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</si>
  <si>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</si>
  <si>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</si>
  <si>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</si>
  <si>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</si>
  <si>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</si>
  <si>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</si>
  <si>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</si>
  <si>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</si>
  <si>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</si>
  <si>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</si>
  <si>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</si>
  <si>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</si>
  <si>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</si>
  <si>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</si>
  <si>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</si>
  <si>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</si>
  <si>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</si>
  <si>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</si>
  <si>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</si>
  <si>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</si>
  <si>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</si>
  <si>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</si>
  <si>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</si>
  <si>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</si>
  <si>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</si>
  <si>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</si>
  <si>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</si>
  <si>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</si>
  <si>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</si>
  <si>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</si>
  <si>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</si>
  <si>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</si>
  <si>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</si>
  <si>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</si>
  <si>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</si>
  <si>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</si>
  <si>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</si>
  <si>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</si>
  <si>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</si>
  <si>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</si>
  <si>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</si>
  <si>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</si>
  <si>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</si>
  <si>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</si>
  <si>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</si>
  <si>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</si>
  <si>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</si>
  <si>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</si>
  <si>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</si>
  <si>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</si>
  <si>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</si>
  <si>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</si>
  <si>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</si>
  <si>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</si>
  <si>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</si>
  <si>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</si>
  <si>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</si>
  <si>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</si>
  <si>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</si>
  <si>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</si>
  <si>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</si>
  <si>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</si>
  <si>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</si>
  <si>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</si>
  <si>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</si>
  <si>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</si>
  <si>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</si>
  <si>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</si>
  <si>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</si>
  <si>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</si>
  <si>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</si>
  <si>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</si>
  <si>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</si>
  <si>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</si>
  <si>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</si>
  <si>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</si>
  <si>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</si>
  <si>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</si>
  <si>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</si>
  <si>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</si>
  <si>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</si>
  <si>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</si>
  <si>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</si>
  <si>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</si>
  <si>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</si>
  <si>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</si>
  <si>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</si>
  <si>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</si>
  <si>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</si>
  <si>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</si>
  <si>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</si>
  <si>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</si>
  <si>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</si>
  <si>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</si>
  <si>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</si>
  <si>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</si>
  <si>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</si>
  <si>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</si>
  <si>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</si>
  <si>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</si>
  <si>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</si>
  <si>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</si>
  <si>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</si>
  <si>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</si>
  <si>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</si>
  <si>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</si>
  <si>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</si>
  <si>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</si>
  <si>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</si>
  <si>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</si>
  <si>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</si>
  <si>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</si>
  <si>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</si>
  <si>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</si>
  <si>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</si>
  <si>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</si>
  <si>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</si>
  <si>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</si>
  <si>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</si>
  <si>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</si>
  <si>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</si>
  <si>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</si>
  <si>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</si>
  <si>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</si>
  <si>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</si>
  <si>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</si>
  <si>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</si>
  <si>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</si>
  <si>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</si>
  <si>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</si>
  <si>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</si>
  <si>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</si>
  <si>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</si>
  <si>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</si>
  <si>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</si>
  <si>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</si>
  <si>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</si>
  <si>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</si>
  <si>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</si>
  <si>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</si>
  <si>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</si>
  <si>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</si>
  <si>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</si>
  <si>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</si>
  <si>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</si>
  <si>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</si>
  <si>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</si>
  <si>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</si>
  <si>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</si>
  <si>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</si>
  <si>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</si>
  <si>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</si>
  <si>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</si>
  <si>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</si>
  <si>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</si>
  <si>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</si>
  <si>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</si>
  <si>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</si>
  <si>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</si>
  <si>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</si>
  <si>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</si>
  <si>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</si>
  <si>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</si>
  <si>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</si>
  <si>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</si>
  <si>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</si>
  <si>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</si>
  <si>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</si>
  <si>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</si>
  <si>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</si>
  <si>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</si>
  <si>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</si>
  <si>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</si>
  <si>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</si>
  <si>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</si>
  <si>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</si>
  <si>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</si>
  <si>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</si>
  <si>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</si>
  <si>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</si>
  <si>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</si>
  <si>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</si>
  <si>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</si>
  <si>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</si>
  <si>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</si>
  <si>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</si>
  <si>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</si>
  <si>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</si>
  <si>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</si>
  <si>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</si>
  <si>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</si>
  <si>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</si>
  <si>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</si>
  <si>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</si>
  <si>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</si>
  <si>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</si>
  <si>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</si>
  <si>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</si>
  <si>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</si>
  <si>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</si>
  <si>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</si>
  <si>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</si>
  <si>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</si>
  <si>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</si>
  <si>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</si>
  <si>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</si>
  <si>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</si>
  <si>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</si>
  <si>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</si>
  <si>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</si>
  <si>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</si>
  <si>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</si>
  <si>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</si>
  <si>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</si>
  <si>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</si>
  <si>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</si>
  <si>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</si>
  <si>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</si>
  <si>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</si>
  <si>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</si>
  <si>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</si>
  <si>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</si>
  <si>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</si>
  <si>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</si>
  <si>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</si>
  <si>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</si>
  <si>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</si>
  <si>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</si>
  <si>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</si>
  <si>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</si>
  <si>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</si>
  <si>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</si>
  <si>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</si>
  <si>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</si>
  <si>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</si>
  <si>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</si>
  <si>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</si>
  <si>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</si>
  <si>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</si>
  <si>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</si>
  <si>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</si>
  <si>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</si>
  <si>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</si>
  <si>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</si>
  <si>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</si>
  <si>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</si>
  <si>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</si>
  <si>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</si>
  <si>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</si>
  <si>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</si>
  <si>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</si>
  <si>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</si>
  <si>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</si>
  <si>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</si>
  <si>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</si>
  <si>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</si>
  <si>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</si>
  <si>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</si>
  <si>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</si>
  <si>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</si>
  <si>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</si>
  <si>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</si>
  <si>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</si>
  <si>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</si>
  <si>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</si>
  <si>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</si>
  <si>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</si>
  <si>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</si>
  <si>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</si>
  <si>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</si>
  <si>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</si>
  <si>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</si>
  <si>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</si>
  <si>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</si>
  <si>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</si>
  <si>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</si>
  <si>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</si>
  <si>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</si>
  <si>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</si>
  <si>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</si>
  <si>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</si>
  <si>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</si>
  <si>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</si>
  <si>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</si>
  <si>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</si>
  <si>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</si>
  <si>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</si>
  <si>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</si>
  <si>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</si>
  <si>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</si>
  <si>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</si>
  <si>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</si>
  <si>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</si>
  <si>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</si>
  <si>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</si>
  <si>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</si>
  <si>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</si>
  <si>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</si>
  <si>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</si>
  <si>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</si>
  <si>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</si>
  <si>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</si>
  <si>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</si>
  <si>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</si>
  <si>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</si>
  <si>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</si>
  <si>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</si>
  <si>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</si>
  <si>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</si>
  <si>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</si>
  <si>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</si>
  <si>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</si>
  <si>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</si>
  <si>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</si>
  <si>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</si>
  <si>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</si>
  <si>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</si>
  <si>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</si>
  <si>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</si>
  <si>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</si>
  <si>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</si>
  <si>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</si>
  <si>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</si>
  <si>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</si>
  <si>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</si>
  <si>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</si>
  <si>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</si>
  <si>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</si>
  <si>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</si>
  <si>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</si>
  <si>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</si>
  <si>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</si>
  <si>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</si>
  <si>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</si>
  <si>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</si>
  <si>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</si>
  <si>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</si>
  <si>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</si>
  <si>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</si>
  <si>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</si>
  <si>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</si>
  <si>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</si>
  <si>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</si>
  <si>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</si>
  <si>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</si>
  <si>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</si>
  <si>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</si>
  <si>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</si>
  <si>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</si>
  <si>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</si>
  <si>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</si>
  <si>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</si>
  <si>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</si>
  <si>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</si>
  <si>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</si>
  <si>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</si>
  <si>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</si>
  <si>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</si>
  <si>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</si>
  <si>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</si>
  <si>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</si>
  <si>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</si>
  <si>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</si>
  <si>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</si>
  <si>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</si>
  <si>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</si>
  <si>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</si>
  <si>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</si>
  <si>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</si>
  <si>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</si>
  <si>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</si>
  <si>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</si>
  <si>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</si>
  <si>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</si>
  <si>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</si>
  <si>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</si>
  <si>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</si>
  <si>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</si>
  <si>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</si>
  <si>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</si>
  <si>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</si>
  <si>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</si>
  <si>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</si>
  <si>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</si>
  <si>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</si>
  <si>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</si>
  <si>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</si>
  <si>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</si>
  <si>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</si>
  <si>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</si>
  <si>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</si>
  <si>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</si>
  <si>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</si>
  <si>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</si>
  <si>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</si>
  <si>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</si>
  <si>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</si>
  <si>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</si>
  <si>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</si>
  <si>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</si>
  <si>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</si>
  <si>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</si>
  <si>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</si>
  <si>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</si>
  <si>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</si>
  <si>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</si>
  <si>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</si>
  <si>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</si>
  <si>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</si>
  <si>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</si>
  <si>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</si>
  <si>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</si>
  <si>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</si>
  <si>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</si>
  <si>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</si>
  <si>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</si>
  <si>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</si>
  <si>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</si>
  <si>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</si>
  <si>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</si>
  <si>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</si>
  <si>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</si>
  <si>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</si>
  <si>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</si>
  <si>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</si>
  <si>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</si>
  <si>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</si>
  <si>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</si>
  <si>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</si>
  <si>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</si>
  <si>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</si>
  <si>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</si>
  <si>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</si>
  <si>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</si>
  <si>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</si>
  <si>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</si>
  <si>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</si>
  <si>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</si>
  <si>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</si>
  <si>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</si>
  <si>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</si>
  <si>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</si>
  <si>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</si>
  <si>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</si>
  <si>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</si>
  <si>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</si>
  <si>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</si>
  <si>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</si>
  <si>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</si>
  <si>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</si>
  <si>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</si>
  <si>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</si>
  <si>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</si>
  <si>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</si>
  <si>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</si>
  <si>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</si>
  <si>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</si>
  <si>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</si>
  <si>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</si>
  <si>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</si>
  <si>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</si>
  <si>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</si>
  <si>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</si>
  <si>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</si>
  <si>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</si>
  <si>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</si>
  <si>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</si>
  <si>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</si>
  <si>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</si>
  <si>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</si>
  <si>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</si>
  <si>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</si>
  <si>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</si>
  <si>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</si>
  <si>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</si>
  <si>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</si>
  <si>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</si>
  <si>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</si>
  <si>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</si>
  <si>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</si>
  <si>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</si>
  <si>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</si>
  <si>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</si>
  <si>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</si>
  <si>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</si>
  <si>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</si>
  <si>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</si>
  <si>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</si>
  <si>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</si>
  <si>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</si>
  <si>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</si>
  <si>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</si>
  <si>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</si>
  <si>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</si>
  <si>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</si>
  <si>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</si>
  <si>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</si>
  <si>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</si>
  <si>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</si>
  <si>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</si>
  <si>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</si>
  <si>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</si>
  <si>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</si>
  <si>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</si>
  <si>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</si>
  <si>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</si>
  <si>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</si>
  <si>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</si>
  <si>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</si>
  <si>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</si>
  <si>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</si>
  <si>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</si>
  <si>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</si>
  <si>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</si>
  <si>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</si>
  <si>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</si>
  <si>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</si>
  <si>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</si>
  <si>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</si>
  <si>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</si>
  <si>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</si>
  <si>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</si>
  <si>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</si>
  <si>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</si>
  <si>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</si>
  <si>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</si>
  <si>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</si>
  <si>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</si>
  <si>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</si>
  <si>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</si>
  <si>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</si>
  <si>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</si>
  <si>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</si>
  <si>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</si>
  <si>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</si>
  <si>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</si>
  <si>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</si>
  <si>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</si>
  <si>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</si>
  <si>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</si>
  <si>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</si>
  <si>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</si>
  <si>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</si>
  <si>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</si>
  <si>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</si>
  <si>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</si>
  <si>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</si>
  <si>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</si>
  <si>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</si>
  <si>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</si>
  <si>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</si>
  <si>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</si>
  <si>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</si>
  <si>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</si>
  <si>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</si>
  <si>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</si>
  <si>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</si>
  <si>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</si>
  <si>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</si>
  <si>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</si>
  <si>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</si>
  <si>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</si>
  <si>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</si>
  <si>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</si>
  <si>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</si>
  <si>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</si>
  <si>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</si>
  <si>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</si>
  <si>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</si>
  <si>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</si>
  <si>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</si>
  <si>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</si>
  <si>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</si>
  <si>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</si>
  <si>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</si>
  <si>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</si>
  <si>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</si>
  <si>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</si>
  <si>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</si>
  <si>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</si>
  <si>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</si>
  <si>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</si>
  <si>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</si>
  <si>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</si>
  <si>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</si>
  <si>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</si>
  <si>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</si>
  <si>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</si>
  <si>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</si>
  <si>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</si>
  <si>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</si>
  <si>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</si>
  <si>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</si>
  <si>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</si>
  <si>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</si>
  <si>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</si>
  <si>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</si>
  <si>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</si>
  <si>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</si>
  <si>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</si>
  <si>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</si>
  <si>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</si>
  <si>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</si>
  <si>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</si>
  <si>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</si>
  <si>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</si>
  <si>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</si>
  <si>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</si>
  <si>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</si>
  <si>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</si>
  <si>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</si>
  <si>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</si>
  <si>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</si>
  <si>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</si>
  <si>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</si>
  <si>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</si>
  <si>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</si>
  <si>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</si>
  <si>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</si>
  <si>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</si>
  <si>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</si>
  <si>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</si>
  <si>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</si>
  <si>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</si>
  <si>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</si>
  <si>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</si>
  <si>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</si>
  <si>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</si>
  <si>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</si>
  <si>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</si>
  <si>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</si>
  <si>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</si>
  <si>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</si>
  <si>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</si>
  <si>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</si>
  <si>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</si>
  <si>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</si>
  <si>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</si>
  <si>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</si>
  <si>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</si>
  <si>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</si>
  <si>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</si>
  <si>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</si>
  <si>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</si>
  <si>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</si>
  <si>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</si>
  <si>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</si>
  <si>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</si>
  <si>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</si>
  <si>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</si>
  <si>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</si>
  <si>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</si>
  <si>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</si>
  <si>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</si>
  <si>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</si>
  <si>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</si>
  <si>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</si>
  <si>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</si>
  <si>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</si>
  <si>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</si>
  <si>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</si>
  <si>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</si>
  <si>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</si>
  <si>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</si>
  <si>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</si>
  <si>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</si>
  <si>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</si>
  <si>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</si>
  <si>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</si>
  <si>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</si>
  <si>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</si>
  <si>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</si>
  <si>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</si>
  <si>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</si>
  <si>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</si>
  <si>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</si>
  <si>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</si>
  <si>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</si>
  <si>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</si>
  <si>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</si>
  <si>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</si>
  <si>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</si>
  <si>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</si>
  <si>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</si>
  <si>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</si>
  <si>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</si>
  <si>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</si>
  <si>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</si>
  <si>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</si>
  <si>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</si>
  <si>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</si>
  <si>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</si>
  <si>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</si>
  <si>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</si>
  <si>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</si>
  <si>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</si>
  <si>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</si>
  <si>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</si>
  <si>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</si>
  <si>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</si>
  <si>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</si>
  <si>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</si>
  <si>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</si>
  <si>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</si>
  <si>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</si>
  <si>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</si>
  <si>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</si>
  <si>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</si>
  <si>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</si>
  <si>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</si>
  <si>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</si>
  <si>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</si>
  <si>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</si>
  <si>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</si>
  <si>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</si>
  <si>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</si>
  <si>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</si>
  <si>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</si>
  <si>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</si>
  <si>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</si>
  <si>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</si>
  <si>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</si>
  <si>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</si>
  <si>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</si>
  <si>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</si>
  <si>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</si>
  <si>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</si>
  <si>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</si>
  <si>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</si>
  <si>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</si>
  <si>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</si>
  <si>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</si>
  <si>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</si>
  <si>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</si>
  <si>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</si>
  <si>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</si>
  <si>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</si>
  <si>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</si>
  <si>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</si>
  <si>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</si>
  <si>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</si>
  <si>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</si>
  <si>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</si>
  <si>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</si>
  <si>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</si>
  <si>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</si>
  <si>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</si>
  <si>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</si>
  <si>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</si>
  <si>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</si>
  <si>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</si>
  <si>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</si>
  <si>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</si>
  <si>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</si>
  <si>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</si>
  <si>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</si>
  <si>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</si>
  <si>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</si>
  <si>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</si>
  <si>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</si>
  <si>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</si>
  <si>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</si>
  <si>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</si>
  <si>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</si>
  <si>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</si>
  <si>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</si>
  <si>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</si>
  <si>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</si>
  <si>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</si>
  <si>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</si>
  <si>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</si>
  <si>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</si>
  <si>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</si>
  <si>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</si>
  <si>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</si>
  <si>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</si>
  <si>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</si>
  <si>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</si>
  <si>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</si>
  <si>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</si>
  <si>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</si>
  <si>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</si>
  <si>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</si>
  <si>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</si>
  <si>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</si>
  <si>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</si>
  <si>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</si>
  <si>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</si>
  <si>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</si>
  <si>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</si>
  <si>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</si>
  <si>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</si>
  <si>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</si>
  <si>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</si>
  <si>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</si>
  <si>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</si>
  <si>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</si>
  <si>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</si>
  <si>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</si>
  <si>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</si>
  <si>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</si>
  <si>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</si>
  <si>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</si>
  <si>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</si>
  <si>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</si>
  <si>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</si>
  <si>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</si>
  <si>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</si>
  <si>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</si>
  <si>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</si>
  <si>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</si>
  <si>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</si>
  <si>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</si>
  <si>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</si>
  <si>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</si>
  <si>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</si>
  <si>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</si>
  <si>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</si>
  <si>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</si>
  <si>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</si>
  <si>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</si>
  <si>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</si>
  <si>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</si>
  <si>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</si>
  <si>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</si>
  <si>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</si>
  <si>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</si>
  <si>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</si>
  <si>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</si>
  <si>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</si>
  <si>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</si>
  <si>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</si>
  <si>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</si>
  <si>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</si>
  <si>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</si>
  <si>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</si>
  <si>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</si>
  <si>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</si>
  <si>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</si>
  <si>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</si>
  <si>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</si>
  <si>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</si>
  <si>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</si>
  <si>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</si>
  <si>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</si>
  <si>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</si>
  <si>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</si>
  <si>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</si>
  <si>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</si>
  <si>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</si>
  <si>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</si>
  <si>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</si>
  <si>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</si>
  <si>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</si>
  <si>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</si>
  <si>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</si>
  <si>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</si>
  <si>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</si>
  <si>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</si>
  <si>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</si>
  <si>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</si>
  <si>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</si>
  <si>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</si>
  <si>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</si>
  <si>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</si>
  <si>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</si>
  <si>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</si>
  <si>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</si>
  <si>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</si>
  <si>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</si>
  <si>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</si>
  <si>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</si>
  <si>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</si>
  <si>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</si>
  <si>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</si>
  <si>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</si>
  <si>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</si>
  <si>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</si>
  <si>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</si>
  <si>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</si>
  <si>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</si>
  <si>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</si>
  <si>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</si>
  <si>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</si>
  <si>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</si>
  <si>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</si>
  <si>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</si>
  <si>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</si>
  <si>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</si>
  <si>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</si>
  <si>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</si>
  <si>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</si>
  <si>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</si>
  <si>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</si>
  <si>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</si>
  <si>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</si>
  <si>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</si>
  <si>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</si>
  <si>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</si>
  <si>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</si>
  <si>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</si>
  <si>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</si>
  <si>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</si>
  <si>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</si>
  <si>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</si>
  <si>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</si>
  <si>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</si>
  <si>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</si>
  <si>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</si>
  <si>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</si>
  <si>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</si>
  <si>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</si>
  <si>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</si>
  <si>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</si>
  <si>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</si>
  <si>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</si>
  <si>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</si>
  <si>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</si>
  <si>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</si>
  <si>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</si>
  <si>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</si>
  <si>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</si>
  <si>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</si>
  <si>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</si>
  <si>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</si>
  <si>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</si>
  <si>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</si>
  <si>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</si>
  <si>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</si>
  <si>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</si>
  <si>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</si>
  <si>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</si>
  <si>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</si>
  <si>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</si>
  <si>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</si>
  <si>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</si>
  <si>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</si>
  <si>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</si>
  <si>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</si>
  <si>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</si>
  <si>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</si>
  <si>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</si>
  <si>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</si>
  <si>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</si>
  <si>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</si>
  <si>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</si>
  <si>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</si>
  <si>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</si>
  <si>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</si>
  <si>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</si>
  <si>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</si>
  <si>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</si>
  <si>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</si>
  <si>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</si>
  <si>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</si>
  <si>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</si>
  <si>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</si>
  <si>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</si>
  <si>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</si>
  <si>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</si>
  <si>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</si>
  <si>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</si>
  <si>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</si>
  <si>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</si>
  <si>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</si>
  <si>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</si>
  <si>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</si>
  <si>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</si>
  <si>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</si>
  <si>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</si>
  <si>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</si>
  <si>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</si>
  <si>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</si>
  <si>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</si>
  <si>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</si>
  <si>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</si>
  <si>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</si>
  <si>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</si>
  <si>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</si>
  <si>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</si>
  <si>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</si>
  <si>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</si>
  <si>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</si>
  <si>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</si>
  <si>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</si>
  <si>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</si>
  <si>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</si>
  <si>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</si>
  <si>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</si>
  <si>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</si>
  <si>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</si>
  <si>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</si>
  <si>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</si>
  <si>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</si>
  <si>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</si>
  <si>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</si>
  <si>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</si>
  <si>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</si>
  <si>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</si>
  <si>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</si>
  <si>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</si>
  <si>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</si>
  <si>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</si>
  <si>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</si>
  <si>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</si>
  <si>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</si>
  <si>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</si>
  <si>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</si>
  <si>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</si>
  <si>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</si>
  <si>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</si>
  <si>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</si>
  <si>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</si>
  <si>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</si>
  <si>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</si>
  <si>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</si>
  <si>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</si>
  <si>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</si>
  <si>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</si>
  <si>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</si>
  <si>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</si>
  <si>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</si>
  <si>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</si>
  <si>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</si>
  <si>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</si>
  <si>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</si>
  <si>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</si>
  <si>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</si>
  <si>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</si>
  <si>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</si>
  <si>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</si>
  <si>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</si>
  <si>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</si>
  <si>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</si>
  <si>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</si>
  <si>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</si>
  <si>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</si>
  <si>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</si>
  <si>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</si>
  <si>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</si>
  <si>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</si>
  <si>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</si>
  <si>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</si>
  <si>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</si>
  <si>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</si>
  <si>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</si>
  <si>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</si>
  <si>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</si>
  <si>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</si>
  <si>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</si>
  <si>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</si>
  <si>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</si>
  <si>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</si>
  <si>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</si>
  <si>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</si>
  <si>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</si>
  <si>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</si>
  <si>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</si>
  <si>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</si>
  <si>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</si>
  <si>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</si>
  <si>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</si>
  <si>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</si>
  <si>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</si>
  <si>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</si>
  <si>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</si>
  <si>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</si>
  <si>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</si>
  <si>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</si>
  <si>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</si>
  <si>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</si>
  <si>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</si>
  <si>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</si>
  <si>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</si>
  <si>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</si>
  <si>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</si>
  <si>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</si>
  <si>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</si>
  <si>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</si>
  <si>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</si>
  <si>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</si>
  <si>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</si>
  <si>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</si>
  <si>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</si>
  <si>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</si>
  <si>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</si>
  <si>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</si>
  <si>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</si>
  <si>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</si>
  <si>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</si>
  <si>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</si>
  <si>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</si>
  <si>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</si>
  <si>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</si>
  <si>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</si>
  <si>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</si>
  <si>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</si>
  <si>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</si>
  <si>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</si>
  <si>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</si>
  <si>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</si>
  <si>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</si>
  <si>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</si>
  <si>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</si>
  <si>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</si>
  <si>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</si>
  <si>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</si>
  <si>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</si>
  <si>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</si>
  <si>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</si>
  <si>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</si>
  <si>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</si>
  <si>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</si>
  <si>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</si>
  <si>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</si>
  <si>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</si>
  <si>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</si>
  <si>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</si>
  <si>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</si>
  <si>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</si>
  <si>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</si>
  <si>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</si>
  <si>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</si>
  <si>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</si>
  <si>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</si>
  <si>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</si>
  <si>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</si>
  <si>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</si>
  <si>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</si>
  <si>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</si>
  <si>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</si>
  <si>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</si>
  <si>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</si>
  <si>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</si>
  <si>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</si>
  <si>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</si>
  <si>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</si>
  <si>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</si>
  <si>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</si>
  <si>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</si>
  <si>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</si>
  <si>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</si>
  <si>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</si>
  <si>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</si>
  <si>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</si>
  <si>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</si>
  <si>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</si>
  <si>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</si>
  <si>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</si>
  <si>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</si>
  <si>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</si>
  <si>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</si>
  <si>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</si>
  <si>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</si>
  <si>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</si>
  <si>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</si>
  <si>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</si>
  <si>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</si>
  <si>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</si>
  <si>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</si>
  <si>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</si>
  <si>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</si>
  <si>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</si>
  <si>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</si>
  <si>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</si>
  <si>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</si>
  <si>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</si>
  <si>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</si>
  <si>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</si>
  <si>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</si>
  <si>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</si>
  <si>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</si>
  <si>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</si>
  <si>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</si>
  <si>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</si>
  <si>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</si>
  <si>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</si>
  <si>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</si>
  <si>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</si>
  <si>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</si>
  <si>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</si>
  <si>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</si>
  <si>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</si>
  <si>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</si>
  <si>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</si>
  <si>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</si>
  <si>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</si>
  <si>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</si>
  <si>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</si>
  <si>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</si>
  <si>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</si>
  <si>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</si>
  <si>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</si>
  <si>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</si>
  <si>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</si>
  <si>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</si>
  <si>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</si>
  <si>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</si>
  <si>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</si>
  <si>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</si>
  <si>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</si>
  <si>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</si>
  <si>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</si>
  <si>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</si>
  <si>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</si>
  <si>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</si>
  <si>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</si>
  <si>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</si>
  <si>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</si>
  <si>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</si>
  <si>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</si>
  <si>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</si>
  <si>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</si>
  <si>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</si>
  <si>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</si>
  <si>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</si>
  <si>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</si>
  <si>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</si>
  <si>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</si>
  <si>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</si>
  <si>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</si>
  <si>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</si>
  <si>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</si>
  <si>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</si>
  <si>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</si>
  <si>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</si>
  <si>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</si>
  <si>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</si>
  <si>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</si>
  <si>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</si>
  <si>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</si>
  <si>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</si>
  <si>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</si>
  <si>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</si>
  <si>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</si>
  <si>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</si>
  <si>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</si>
  <si>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</si>
  <si>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</si>
  <si>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</si>
  <si>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</si>
  <si>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</si>
  <si>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</si>
  <si>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</si>
  <si>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</si>
  <si>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</si>
  <si>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</si>
  <si>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</si>
  <si>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</si>
  <si>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</si>
  <si>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</si>
  <si>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</si>
  <si>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</si>
  <si>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</si>
  <si>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</si>
  <si>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</si>
  <si>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</si>
  <si>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</si>
  <si>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</si>
  <si>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</si>
  <si>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</si>
  <si>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</si>
  <si>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</si>
  <si>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</si>
  <si>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</si>
  <si>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</si>
  <si>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</si>
  <si>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</si>
  <si>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</si>
  <si>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</si>
  <si>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</si>
  <si>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</si>
  <si>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</si>
  <si>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</si>
  <si>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</si>
  <si>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</si>
  <si>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</si>
  <si>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</si>
  <si>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</si>
  <si>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</si>
  <si>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</si>
  <si>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</si>
  <si>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</si>
  <si>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</si>
  <si>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</si>
  <si>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</si>
  <si>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</si>
  <si>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</si>
  <si>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</si>
  <si>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</si>
  <si>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</si>
  <si>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</si>
  <si>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</si>
  <si>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</si>
  <si>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</si>
  <si>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</si>
  <si>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</si>
  <si>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</si>
  <si>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</si>
  <si>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</si>
  <si>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</si>
  <si>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</si>
  <si>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</si>
  <si>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</si>
  <si>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</si>
  <si>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</si>
  <si>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</si>
  <si>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</si>
  <si>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</si>
  <si>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</si>
  <si>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</si>
  <si>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</si>
  <si>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</si>
  <si>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</si>
  <si>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</si>
  <si>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</si>
  <si>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</si>
  <si>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</si>
  <si>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</si>
  <si>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</si>
  <si>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</si>
  <si>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</si>
  <si>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</si>
  <si>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</si>
  <si>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</si>
  <si>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</si>
  <si>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</si>
  <si>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</si>
  <si>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</si>
  <si>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</si>
  <si>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</si>
  <si>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</si>
  <si>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</si>
  <si>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</si>
  <si>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</si>
  <si>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</si>
  <si>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</si>
  <si>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</si>
  <si>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</si>
  <si>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</si>
  <si>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</si>
  <si>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</si>
  <si>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</si>
  <si>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</si>
  <si>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</si>
  <si>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</si>
  <si>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</si>
  <si>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</si>
  <si>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</si>
  <si>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</si>
  <si>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</si>
  <si>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</si>
  <si>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</si>
  <si>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</si>
  <si>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</si>
  <si>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</si>
  <si>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</si>
  <si>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</si>
  <si>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</si>
  <si>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</si>
  <si>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</si>
  <si>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</si>
  <si>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</si>
  <si>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</si>
  <si>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</si>
  <si>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</si>
  <si>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</si>
  <si>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</si>
  <si>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</si>
  <si>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</si>
  <si>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</si>
  <si>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</si>
  <si>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</si>
  <si>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</si>
  <si>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</si>
  <si>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</si>
  <si>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</si>
  <si>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</si>
  <si>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</si>
  <si>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</si>
  <si>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</si>
  <si>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</si>
  <si>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</si>
  <si>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</si>
  <si>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</si>
  <si>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</si>
  <si>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</si>
  <si>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</si>
  <si>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</si>
  <si>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</si>
  <si>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</si>
  <si>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</si>
  <si>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</si>
  <si>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</si>
  <si>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</si>
  <si>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</si>
  <si>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</si>
  <si>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</si>
  <si>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</si>
  <si>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</si>
  <si>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</si>
  <si>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</si>
  <si>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</si>
  <si>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</si>
  <si>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</si>
  <si>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</si>
  <si>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</si>
  <si>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</si>
  <si>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</si>
  <si>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</si>
  <si>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</si>
  <si>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</si>
  <si>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</si>
  <si>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</si>
  <si>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</si>
  <si>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</si>
  <si>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</si>
  <si>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</si>
  <si>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</si>
  <si>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</si>
  <si>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</si>
  <si>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</si>
  <si>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</si>
  <si>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</si>
  <si>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</si>
  <si>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</si>
  <si>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</si>
  <si>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</si>
  <si>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</si>
  <si>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</si>
  <si>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</si>
  <si>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</si>
  <si>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</si>
  <si>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</si>
  <si>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</si>
  <si>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</si>
  <si>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</si>
  <si>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</si>
  <si>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</si>
  <si>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</si>
  <si>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</si>
  <si>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</si>
  <si>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</si>
  <si>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</si>
  <si>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</si>
  <si>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</si>
  <si>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</si>
  <si>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</si>
  <si>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</si>
  <si>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</si>
  <si>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</si>
  <si>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</si>
  <si>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</si>
  <si>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</si>
  <si>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</si>
  <si>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</si>
  <si>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</si>
  <si>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</si>
  <si>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</si>
  <si>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</si>
  <si>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</si>
  <si>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</si>
  <si>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</si>
  <si>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</si>
  <si>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</si>
  <si>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</si>
  <si>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</si>
  <si>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</si>
  <si>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</si>
  <si>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</si>
  <si>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</si>
  <si>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</si>
  <si>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</si>
  <si>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</si>
  <si>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</si>
  <si>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</si>
  <si>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</si>
  <si>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</si>
  <si>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</si>
  <si>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</si>
  <si>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</si>
  <si>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</si>
  <si>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</si>
  <si>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</si>
  <si>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</si>
  <si>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</si>
  <si>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</si>
  <si>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</si>
  <si>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</si>
  <si>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</si>
  <si>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</si>
  <si>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</si>
  <si>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</si>
  <si>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</si>
  <si>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</si>
  <si>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</si>
  <si>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</si>
  <si>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</si>
  <si>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</si>
  <si>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</si>
  <si>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</si>
  <si>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</si>
  <si>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</si>
  <si>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</si>
  <si>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</si>
  <si>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</si>
  <si>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</si>
  <si>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</si>
  <si>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</si>
  <si>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</si>
  <si>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</si>
  <si>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</si>
  <si>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</si>
  <si>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</si>
  <si>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</si>
  <si>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</si>
  <si>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</si>
  <si>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</si>
  <si>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</si>
  <si>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</si>
  <si>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</si>
  <si>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</si>
  <si>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</si>
  <si>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</si>
  <si>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</si>
  <si>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</si>
  <si>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</si>
  <si>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</si>
  <si>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</si>
  <si>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</si>
  <si>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</si>
  <si>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</si>
  <si>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</si>
  <si>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</si>
  <si>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</si>
  <si>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</si>
  <si>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</si>
  <si>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</si>
  <si>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</si>
  <si>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</si>
  <si>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</si>
  <si>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</si>
  <si>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</si>
  <si>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</si>
  <si>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</si>
  <si>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</si>
  <si>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</si>
  <si>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</si>
  <si>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</si>
  <si>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</si>
  <si>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</si>
  <si>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</si>
  <si>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</si>
  <si>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</si>
  <si>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</si>
  <si>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</si>
  <si>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</si>
  <si>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</si>
  <si>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</si>
  <si>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</si>
  <si>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</si>
  <si>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</si>
  <si>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</si>
  <si>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</si>
  <si>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</si>
  <si>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</si>
  <si>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</si>
  <si>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</si>
  <si>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</si>
  <si>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</si>
  <si>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</si>
  <si>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</si>
  <si>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</si>
  <si>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</si>
  <si>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</si>
  <si>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</si>
  <si>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</si>
  <si>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</si>
  <si>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</si>
  <si>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</si>
  <si>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</si>
  <si>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</si>
  <si>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</si>
  <si>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</si>
  <si>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</si>
  <si>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</si>
  <si>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</si>
  <si>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</si>
  <si>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</si>
  <si>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</si>
  <si>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</si>
  <si>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</si>
  <si>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</si>
  <si>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</si>
  <si>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</si>
  <si>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</si>
  <si>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</si>
  <si>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</si>
  <si>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</si>
  <si>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</si>
  <si>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</si>
  <si>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</si>
  <si>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</si>
  <si>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</si>
  <si>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</si>
  <si>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</si>
  <si>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</si>
  <si>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</si>
  <si>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</si>
  <si>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</si>
  <si>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</si>
  <si>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</si>
  <si>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</si>
  <si>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</si>
  <si>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</si>
  <si>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</si>
  <si>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</si>
  <si>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</si>
  <si>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</si>
  <si>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</si>
  <si>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</si>
  <si>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</si>
  <si>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</si>
  <si>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</si>
  <si>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</si>
  <si>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</si>
  <si>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</si>
  <si>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</si>
  <si>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</si>
  <si>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</si>
  <si>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</si>
  <si>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</si>
  <si>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</si>
  <si>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</si>
  <si>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</si>
  <si>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</si>
  <si>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</si>
  <si>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</si>
  <si>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</si>
  <si>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</si>
  <si>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</si>
  <si>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</si>
  <si>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</si>
  <si>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</si>
  <si>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</si>
  <si>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</si>
  <si>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</si>
  <si>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</si>
  <si>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</si>
  <si>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</si>
  <si>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</si>
  <si>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</si>
  <si>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</si>
  <si>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</si>
  <si>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</si>
  <si>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</si>
  <si>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</si>
  <si>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</si>
  <si>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</si>
  <si>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</si>
  <si>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</si>
  <si>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</si>
  <si>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</si>
  <si>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</si>
  <si>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</si>
  <si>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</si>
  <si>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</si>
  <si>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</si>
  <si>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</si>
  <si>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</si>
  <si>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</si>
  <si>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</si>
  <si>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</si>
  <si>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</si>
  <si>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</si>
  <si>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</si>
  <si>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</si>
  <si>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</si>
  <si>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</si>
  <si>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</si>
  <si>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</si>
  <si>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</si>
  <si>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</si>
  <si>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</si>
  <si>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</si>
  <si>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</si>
  <si>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</si>
  <si>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</si>
  <si>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</si>
  <si>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</si>
  <si>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</si>
  <si>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</si>
  <si>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</si>
  <si>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</si>
  <si>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</si>
  <si>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</si>
  <si>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</si>
  <si>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</si>
  <si>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</si>
  <si>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</si>
  <si>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</si>
  <si>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</si>
  <si>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</si>
  <si>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</si>
  <si>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</si>
  <si>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</si>
  <si>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</si>
  <si>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</si>
  <si>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</si>
  <si>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</si>
  <si>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</si>
  <si>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</si>
  <si>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</si>
  <si>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</si>
  <si>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</si>
  <si>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</si>
  <si>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</si>
  <si>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</si>
  <si>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</si>
  <si>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</si>
  <si>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</si>
  <si>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</si>
  <si>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</si>
  <si>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</si>
  <si>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</si>
  <si>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</si>
  <si>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</si>
  <si>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</si>
  <si>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</si>
  <si>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</si>
  <si>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</si>
  <si>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</si>
  <si>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</si>
  <si>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</si>
  <si>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</si>
  <si>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</si>
  <si>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</si>
  <si>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</si>
  <si>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</si>
  <si>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</si>
  <si>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</si>
  <si>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</si>
  <si>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</si>
  <si>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</si>
  <si>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</si>
  <si>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</si>
  <si>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</si>
  <si>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</si>
  <si>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</si>
  <si>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</si>
  <si>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</si>
  <si>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</si>
  <si>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</si>
  <si>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</si>
  <si>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</si>
  <si>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</si>
  <si>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</si>
  <si>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</si>
  <si>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</si>
  <si>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</si>
  <si>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</si>
  <si>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</si>
  <si>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</si>
  <si>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</si>
  <si>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</si>
  <si>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</si>
  <si>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</si>
  <si>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</si>
  <si>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</si>
  <si>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</si>
  <si>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</si>
  <si>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</si>
  <si>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</si>
  <si>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</si>
  <si>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</si>
  <si>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</si>
  <si>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</si>
  <si>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</si>
  <si>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</si>
  <si>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</si>
  <si>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</si>
  <si>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</si>
  <si>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</si>
  <si>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</si>
  <si>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</si>
  <si>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</si>
  <si>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</si>
  <si>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</si>
  <si>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</si>
  <si>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</si>
  <si>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</si>
  <si>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</si>
  <si>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</si>
  <si>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</si>
  <si>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</si>
  <si>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</si>
  <si>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</si>
  <si>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</si>
  <si>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</si>
  <si>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</si>
  <si>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</si>
  <si>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</si>
  <si>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</si>
  <si>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</si>
  <si>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</si>
  <si>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</si>
  <si>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</si>
  <si>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</si>
  <si>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</si>
  <si>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</si>
  <si>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</si>
  <si>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</si>
  <si>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</si>
  <si>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</si>
  <si>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</si>
  <si>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</si>
  <si>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</si>
  <si>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</si>
  <si>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</si>
  <si>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</si>
  <si>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</si>
  <si>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</si>
  <si>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</si>
  <si>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</si>
  <si>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</si>
  <si>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</si>
  <si>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</si>
  <si>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</si>
  <si>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</si>
  <si>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</si>
  <si>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</si>
  <si>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</si>
  <si>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</si>
  <si>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</si>
  <si>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</si>
  <si>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</si>
  <si>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</si>
  <si>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</si>
  <si>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</si>
  <si>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</si>
  <si>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</si>
  <si>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</si>
  <si>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</si>
  <si>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</si>
  <si>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</si>
  <si>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</si>
  <si>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</si>
  <si>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</si>
  <si>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</si>
  <si>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</si>
  <si>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</si>
  <si>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</si>
  <si>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</si>
  <si>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</si>
  <si>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</si>
  <si>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</si>
  <si>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</si>
  <si>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</si>
  <si>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</si>
  <si>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</si>
  <si>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</si>
  <si>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</si>
  <si>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</si>
  <si>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</si>
  <si>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</si>
  <si>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</si>
  <si>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</si>
  <si>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</si>
  <si>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</si>
  <si>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</si>
  <si>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</si>
  <si>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</si>
  <si>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</si>
  <si>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</si>
  <si>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</si>
  <si>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</si>
  <si>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</si>
  <si>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</si>
  <si>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</si>
  <si>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</si>
  <si>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</si>
  <si>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</si>
  <si>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</si>
  <si>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</si>
  <si>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</si>
  <si>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</si>
  <si>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</si>
  <si>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</si>
  <si>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</si>
  <si>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</si>
  <si>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</si>
  <si>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</si>
  <si>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</si>
  <si>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</si>
  <si>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</si>
  <si>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</si>
  <si>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</si>
  <si>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</si>
  <si>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</si>
  <si>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</si>
  <si>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</si>
  <si>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</si>
  <si>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</si>
  <si>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</si>
  <si>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</si>
  <si>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</si>
  <si>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</si>
  <si>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</si>
  <si>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</si>
  <si>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</si>
  <si>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</si>
  <si>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</si>
  <si>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</si>
  <si>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</si>
  <si>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</si>
  <si>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</si>
  <si>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</si>
  <si>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</si>
  <si>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</si>
  <si>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</si>
  <si>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</si>
  <si>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</si>
  <si>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</si>
  <si>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</si>
  <si>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</si>
  <si>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</si>
  <si>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</si>
  <si>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</si>
  <si>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</si>
  <si>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</si>
  <si>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</si>
  <si>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</si>
  <si>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</si>
  <si>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</si>
  <si>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</si>
  <si>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</si>
  <si>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</si>
  <si>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</si>
  <si>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</si>
  <si>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</si>
  <si>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</si>
  <si>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</si>
  <si>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</si>
  <si>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</si>
  <si>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</si>
  <si>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</si>
  <si>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</si>
  <si>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</si>
  <si>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</si>
  <si>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</si>
  <si>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</si>
  <si>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</si>
  <si>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</si>
  <si>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</si>
  <si>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</si>
  <si>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</si>
  <si>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</si>
  <si>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</si>
  <si>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</si>
  <si>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</si>
  <si>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</si>
  <si>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</si>
  <si>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</si>
  <si>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</si>
  <si>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</si>
  <si>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</si>
  <si>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</si>
  <si>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</si>
  <si>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</si>
  <si>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</si>
  <si>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</si>
  <si>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</si>
  <si>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</si>
  <si>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</si>
  <si>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</si>
  <si>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</si>
  <si>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</si>
  <si>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</si>
  <si>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</si>
  <si>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</si>
  <si>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</si>
  <si>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</si>
  <si>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</si>
  <si>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</si>
  <si>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</si>
  <si>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</si>
  <si>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</si>
  <si>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</si>
  <si>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</si>
  <si>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</si>
  <si>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</si>
  <si>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</si>
  <si>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</si>
  <si>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</si>
  <si>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</si>
  <si>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</si>
  <si>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</si>
  <si>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</si>
  <si>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</si>
  <si>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</si>
  <si>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</si>
  <si>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</si>
  <si>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</si>
  <si>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</si>
  <si>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</si>
  <si>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</si>
  <si>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</si>
  <si>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</si>
  <si>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</si>
  <si>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</si>
  <si>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</si>
  <si>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</si>
  <si>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</si>
  <si>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</si>
  <si>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</si>
  <si>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</si>
  <si>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</si>
  <si>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</si>
  <si>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</si>
  <si>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</si>
  <si>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</si>
  <si>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</si>
  <si>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</si>
  <si>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</si>
  <si>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</si>
  <si>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</si>
  <si>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</si>
  <si>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</si>
  <si>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</si>
  <si>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</si>
  <si>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</si>
  <si>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</si>
  <si>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</si>
  <si>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</si>
  <si>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</si>
  <si>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</si>
  <si>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</si>
  <si>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</si>
  <si>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</si>
  <si>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</si>
  <si>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</si>
  <si>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</si>
  <si>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</si>
  <si>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</si>
  <si>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</si>
  <si>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</si>
  <si>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</si>
  <si>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</si>
  <si>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</si>
  <si>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</si>
  <si>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</si>
  <si>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</si>
  <si>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</si>
  <si>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</si>
  <si>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</si>
  <si>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</si>
  <si>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</si>
  <si>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</si>
  <si>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</si>
  <si>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</si>
  <si>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</si>
  <si>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</si>
  <si>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</si>
  <si>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</si>
  <si>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</si>
  <si>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</si>
  <si>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</si>
  <si>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</si>
  <si>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</si>
  <si>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</si>
  <si>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</si>
  <si>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</si>
  <si>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</si>
  <si>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</si>
  <si>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</si>
  <si>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</si>
  <si>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</si>
  <si>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</si>
  <si>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</si>
  <si>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</si>
  <si>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</si>
  <si>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</si>
  <si>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</si>
  <si>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</si>
  <si>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</si>
  <si>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</si>
  <si>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</si>
  <si>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</si>
  <si>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</si>
  <si>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</si>
  <si>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</si>
  <si>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</si>
  <si>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</si>
  <si>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</si>
  <si>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</si>
  <si>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</si>
  <si>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</si>
  <si>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</si>
  <si>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</si>
  <si>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</si>
  <si>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</si>
  <si>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</si>
  <si>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</si>
  <si>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</si>
  <si>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</si>
  <si>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</si>
  <si>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</si>
  <si>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</si>
  <si>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</si>
  <si>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</si>
  <si>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</si>
  <si>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</si>
  <si>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</si>
  <si>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</si>
  <si>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</si>
  <si>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</si>
  <si>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</si>
  <si>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</si>
  <si>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</si>
  <si>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</si>
  <si>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</si>
  <si>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</si>
  <si>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</si>
  <si>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</si>
  <si>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</si>
  <si>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</si>
  <si>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</si>
  <si>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</si>
  <si>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</si>
  <si>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</si>
  <si>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</si>
  <si>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</si>
  <si>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</si>
  <si>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</si>
  <si>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</si>
  <si>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</si>
  <si>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</si>
  <si>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</si>
  <si>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</si>
  <si>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</si>
  <si>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</si>
  <si>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</si>
  <si>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</si>
  <si>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</si>
  <si>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</si>
  <si>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</si>
  <si>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</si>
  <si>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</si>
  <si>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</si>
  <si>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</si>
  <si>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</si>
  <si>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</si>
  <si>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</si>
  <si>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</si>
  <si>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</si>
  <si>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</si>
  <si>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</si>
  <si>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</si>
  <si>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</si>
  <si>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</si>
  <si>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</si>
  <si>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</si>
  <si>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</si>
  <si>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</si>
  <si>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</si>
  <si>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</si>
  <si>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</si>
  <si>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</si>
  <si>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</si>
  <si>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</si>
  <si>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</si>
  <si>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</si>
  <si>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</si>
  <si>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</si>
  <si>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</si>
  <si>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</si>
  <si>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</si>
  <si>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</si>
  <si>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</si>
  <si>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</si>
  <si>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</si>
  <si>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</si>
  <si>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</si>
  <si>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</si>
  <si>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</si>
  <si>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</si>
  <si>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</si>
  <si>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</si>
  <si>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</si>
  <si>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</si>
  <si>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</si>
  <si>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</si>
  <si>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</si>
  <si>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</si>
  <si>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</si>
  <si>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</si>
  <si>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</si>
  <si>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</si>
  <si>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</si>
  <si>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</si>
  <si>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</si>
  <si>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</si>
  <si>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</si>
  <si>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</si>
  <si>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</si>
  <si>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</si>
  <si>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</si>
  <si>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</si>
  <si>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</si>
  <si>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</si>
  <si>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</si>
  <si>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</si>
  <si>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</si>
  <si>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</si>
  <si>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</si>
  <si>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</si>
  <si>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</si>
  <si>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</si>
  <si>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</si>
  <si>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</si>
  <si>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</si>
  <si>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</si>
  <si>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</si>
  <si>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</si>
  <si>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</si>
  <si>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</si>
  <si>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</si>
  <si>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</si>
  <si>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</si>
  <si>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</si>
  <si>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</si>
  <si>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</si>
  <si>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</si>
  <si>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</si>
  <si>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</si>
  <si>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</si>
  <si>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</si>
  <si>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</si>
  <si>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</si>
  <si>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</si>
  <si>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</si>
  <si>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</si>
  <si>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</si>
  <si>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</si>
  <si>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</si>
  <si>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</si>
  <si>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</si>
  <si>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</si>
  <si>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</si>
  <si>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</si>
  <si>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</si>
  <si>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</si>
  <si>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</si>
  <si>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</si>
  <si>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</si>
  <si>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</si>
  <si>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</si>
  <si>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</si>
  <si>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</si>
  <si>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</si>
  <si>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</si>
  <si>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</si>
  <si>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</si>
  <si>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</si>
  <si>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</si>
  <si>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</si>
  <si>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</si>
  <si>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</si>
  <si>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</si>
  <si>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</si>
  <si>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</si>
  <si>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</si>
  <si>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</si>
  <si>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</si>
  <si>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</si>
  <si>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</si>
  <si>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</si>
  <si>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</si>
  <si>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</si>
  <si>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</si>
  <si>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</si>
  <si>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</si>
  <si>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</si>
  <si>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</si>
  <si>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</si>
  <si>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</si>
  <si>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</si>
  <si>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</si>
  <si>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</si>
  <si>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</si>
  <si>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</si>
  <si>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</si>
  <si>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</si>
  <si>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</si>
  <si>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</si>
  <si>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</si>
  <si>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</si>
  <si>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</si>
  <si>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</si>
  <si>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</si>
  <si>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</si>
  <si>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</si>
  <si>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</si>
  <si>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</si>
  <si>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</si>
  <si>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</si>
  <si>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</si>
  <si>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</si>
  <si>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</si>
  <si>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</si>
  <si>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</si>
  <si>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</si>
  <si>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</si>
  <si>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</si>
  <si>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</si>
  <si>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</si>
  <si>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</si>
  <si>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</si>
  <si>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</si>
  <si>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</si>
  <si>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</si>
  <si>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</si>
  <si>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</si>
  <si>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</si>
  <si>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</si>
  <si>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</si>
  <si>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</si>
  <si>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</si>
  <si>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</si>
  <si>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</si>
  <si>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</si>
  <si>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</si>
  <si>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</si>
  <si>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</si>
  <si>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</si>
  <si>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</si>
  <si>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</si>
  <si>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</si>
  <si>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</si>
  <si>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</si>
  <si>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</si>
  <si>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</si>
  <si>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</si>
  <si>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</si>
  <si>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</si>
  <si>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</si>
  <si>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</si>
  <si>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</si>
  <si>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</si>
  <si>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</si>
  <si>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</si>
  <si>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</si>
  <si>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</si>
  <si>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</si>
  <si>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</si>
  <si>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</si>
  <si>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</si>
  <si>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</si>
  <si>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</si>
  <si>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</si>
  <si>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</si>
  <si>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</si>
  <si>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</si>
  <si>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</si>
  <si>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</si>
  <si>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</si>
  <si>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</si>
  <si>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</si>
  <si>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</si>
  <si>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</si>
  <si>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</si>
  <si>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</si>
  <si>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</si>
  <si>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</si>
  <si>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</si>
  <si>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</si>
  <si>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</si>
  <si>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</si>
  <si>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</si>
  <si>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</si>
  <si>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</si>
  <si>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</si>
  <si>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</si>
  <si>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</si>
  <si>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</si>
  <si>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</si>
  <si>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</si>
  <si>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</si>
  <si>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</si>
  <si>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</si>
  <si>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</si>
  <si>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</si>
  <si>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</si>
  <si>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</si>
  <si>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</si>
  <si>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</si>
  <si>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</si>
  <si>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</si>
  <si>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</si>
  <si>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</si>
  <si>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</si>
  <si>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</si>
  <si>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</si>
  <si>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</si>
  <si>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</si>
  <si>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</si>
  <si>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</si>
  <si>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</si>
  <si>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</si>
  <si>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</si>
  <si>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</si>
  <si>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</si>
  <si>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</si>
  <si>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</si>
  <si>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</si>
  <si>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</si>
  <si>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</si>
  <si>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</si>
  <si>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</si>
  <si>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</si>
  <si>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</si>
  <si>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</si>
  <si>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</si>
  <si>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</si>
  <si>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</si>
  <si>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</si>
  <si>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</si>
  <si>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</si>
  <si>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</si>
  <si>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</si>
  <si>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</si>
  <si>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</si>
  <si>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</si>
  <si>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</si>
  <si>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</si>
  <si>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</si>
  <si>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</si>
  <si>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</si>
  <si>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</si>
  <si>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</si>
  <si>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</si>
  <si>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</si>
  <si>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</si>
  <si>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</si>
  <si>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</si>
  <si>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</si>
  <si>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</si>
  <si>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</si>
  <si>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</si>
  <si>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</si>
  <si>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</si>
  <si>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</si>
  <si>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</si>
  <si>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</si>
  <si>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</si>
  <si>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</si>
  <si>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</si>
  <si>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</si>
  <si>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</si>
  <si>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</si>
  <si>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</si>
  <si>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</si>
  <si>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</si>
  <si>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</si>
  <si>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</si>
  <si>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</si>
  <si>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</si>
  <si>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</si>
  <si>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</si>
  <si>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</si>
  <si>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</si>
  <si>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</si>
  <si>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</si>
  <si>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</si>
  <si>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</si>
  <si>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</si>
  <si>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</si>
  <si>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</si>
  <si>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</si>
  <si>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</si>
  <si>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</si>
  <si>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</si>
  <si>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</si>
  <si>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</si>
  <si>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</si>
  <si>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</si>
  <si>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</si>
  <si>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</si>
  <si>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</si>
  <si>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</si>
  <si>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</si>
  <si>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</si>
  <si>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</si>
  <si>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</si>
  <si>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</si>
  <si>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</si>
  <si>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</si>
  <si>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</si>
  <si>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</si>
  <si>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</si>
  <si>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</si>
  <si>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</si>
  <si>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</si>
  <si>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</si>
  <si>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</si>
  <si>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</si>
  <si>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</si>
  <si>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</si>
  <si>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</si>
  <si>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</si>
  <si>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</si>
  <si>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</si>
  <si>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</si>
  <si>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</si>
  <si>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</si>
  <si>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</si>
  <si>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</si>
  <si>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</si>
  <si>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</si>
  <si>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</si>
  <si>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</si>
  <si>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</si>
  <si>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</si>
  <si>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</si>
  <si>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</si>
  <si>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</si>
  <si>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</si>
  <si>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</si>
  <si>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</si>
  <si>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</si>
  <si>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</si>
  <si>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</si>
  <si>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</si>
  <si>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</si>
  <si>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</si>
  <si>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</si>
  <si>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</si>
  <si>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</si>
  <si>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</si>
  <si>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</si>
  <si>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</si>
  <si>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</si>
  <si>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</si>
  <si>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</si>
  <si>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</si>
  <si>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</si>
  <si>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</si>
  <si>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</si>
  <si>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</si>
  <si>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</si>
  <si>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</si>
  <si>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</si>
  <si>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</si>
  <si>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</si>
  <si>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</si>
  <si>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</si>
  <si>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</si>
  <si>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</si>
  <si>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</si>
  <si>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</si>
  <si>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</si>
  <si>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</si>
  <si>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</si>
  <si>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</si>
  <si>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</si>
  <si>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</si>
  <si>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</si>
  <si>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</si>
  <si>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</si>
  <si>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</si>
  <si>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</si>
  <si>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</si>
  <si>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</si>
  <si>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</si>
  <si>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</si>
  <si>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</si>
  <si>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</si>
  <si>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</si>
  <si>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</si>
  <si>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</si>
  <si>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</si>
  <si>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</si>
  <si>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</si>
  <si>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</si>
  <si>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</si>
  <si>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</si>
  <si>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</si>
  <si>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</si>
  <si>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</si>
  <si>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</si>
  <si>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</si>
  <si>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</si>
  <si>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</si>
  <si>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</si>
  <si>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</si>
  <si>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</si>
  <si>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</si>
  <si>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</si>
  <si>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</si>
  <si>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</si>
  <si>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</si>
  <si>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</si>
  <si>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</si>
  <si>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</si>
  <si>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</si>
  <si>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</si>
  <si>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</si>
  <si>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</si>
  <si>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</si>
  <si>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</si>
  <si>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</si>
  <si>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</si>
  <si>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</si>
  <si>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</si>
  <si>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</si>
  <si>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</si>
  <si>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</si>
  <si>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</si>
  <si>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</si>
  <si>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</si>
  <si>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</si>
  <si>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</si>
  <si>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</si>
  <si>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</si>
  <si>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</si>
  <si>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</si>
  <si>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</si>
  <si>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</si>
  <si>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</si>
  <si>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</si>
  <si>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</si>
  <si>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</si>
  <si>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</si>
  <si>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</si>
  <si>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</si>
  <si>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</si>
  <si>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</si>
  <si>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</si>
  <si>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</si>
  <si>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</si>
  <si>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</si>
  <si>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</si>
  <si>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</si>
  <si>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</si>
  <si>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</si>
  <si>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</si>
  <si>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</si>
  <si>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</si>
  <si>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</si>
  <si>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</si>
  <si>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</si>
  <si>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</si>
  <si>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</si>
  <si>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</si>
  <si>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</si>
  <si>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</si>
  <si>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</si>
  <si>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</si>
  <si>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</si>
  <si>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</si>
  <si>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</si>
  <si>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</si>
  <si>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</si>
  <si>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</si>
  <si>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</si>
  <si>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</si>
  <si>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</si>
  <si>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</si>
  <si>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</si>
  <si>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</si>
  <si>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</si>
  <si>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</si>
  <si>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</si>
  <si>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</si>
  <si>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</si>
  <si>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</si>
  <si>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</si>
  <si>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</si>
  <si>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</si>
  <si>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</si>
  <si>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</si>
  <si>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</si>
  <si>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</si>
  <si>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</si>
  <si>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</si>
  <si>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</si>
  <si>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</si>
  <si>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</si>
  <si>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</si>
  <si>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</si>
  <si>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</si>
  <si>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</si>
  <si>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</si>
  <si>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</si>
  <si>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</si>
  <si>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</si>
  <si>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</si>
  <si>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</si>
  <si>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</si>
  <si>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</si>
  <si>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</si>
  <si>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</si>
  <si>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</si>
  <si>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</si>
  <si>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</si>
  <si>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</si>
  <si>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</si>
  <si>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</si>
  <si>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</si>
  <si>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</si>
  <si>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</si>
  <si>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</si>
  <si>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</si>
  <si>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</si>
  <si>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</si>
  <si>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</si>
  <si>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</si>
  <si>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</si>
  <si>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</si>
  <si>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</si>
  <si>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</si>
  <si>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</si>
  <si>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</si>
  <si>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</si>
  <si>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</si>
  <si>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</si>
  <si>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</si>
  <si>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</si>
  <si>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</si>
  <si>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</si>
  <si>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</si>
  <si>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</si>
  <si>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</si>
  <si>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</si>
  <si>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</si>
  <si>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</si>
  <si>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</si>
  <si>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</si>
  <si>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</si>
  <si>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</si>
  <si>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</si>
  <si>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</si>
  <si>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</si>
  <si>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</si>
  <si>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</si>
  <si>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</si>
  <si>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</si>
  <si>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</si>
  <si>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</si>
  <si>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</si>
  <si>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</si>
  <si>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</si>
  <si>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</si>
  <si>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</si>
  <si>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</si>
  <si>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</si>
  <si>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</si>
  <si>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</si>
  <si>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</si>
  <si>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</si>
  <si>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</si>
  <si>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</si>
  <si>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</si>
  <si>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</si>
  <si>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</si>
  <si>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</si>
  <si>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</si>
  <si>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</si>
  <si>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</si>
  <si>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</si>
  <si>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</si>
  <si>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</si>
  <si>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</si>
  <si>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</si>
  <si>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</si>
  <si>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</si>
  <si>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</si>
  <si>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</si>
  <si>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</si>
  <si>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</si>
  <si>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</si>
  <si>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</si>
  <si>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</si>
  <si>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</si>
  <si>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</si>
  <si>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</si>
  <si>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</si>
  <si>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</si>
  <si>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</si>
  <si>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</si>
  <si>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</si>
  <si>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</si>
  <si>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</si>
  <si>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</si>
  <si>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</si>
  <si>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</si>
  <si>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</si>
  <si>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</si>
  <si>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</si>
  <si>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</si>
  <si>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</si>
  <si>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</si>
  <si>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</si>
  <si>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</si>
  <si>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</si>
  <si>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</si>
  <si>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</si>
  <si>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</si>
  <si>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</si>
  <si>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</si>
  <si>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</si>
  <si>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</si>
  <si>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</si>
  <si>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</si>
  <si>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</si>
  <si>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</si>
  <si>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</si>
  <si>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</si>
  <si>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</si>
  <si>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</si>
  <si>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</si>
  <si>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</si>
  <si>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</si>
  <si>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</si>
  <si>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</si>
  <si>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</si>
  <si>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</si>
  <si>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</si>
  <si>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</si>
  <si>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</si>
  <si>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</si>
  <si>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</si>
  <si>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</si>
  <si>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</si>
  <si>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</si>
  <si>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</si>
  <si>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</si>
  <si>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</si>
  <si>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</si>
  <si>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</si>
  <si>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</si>
  <si>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</si>
  <si>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</si>
  <si>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</si>
  <si>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</si>
  <si>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</si>
  <si>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</si>
  <si>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</si>
  <si>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</si>
  <si>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</si>
  <si>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</si>
  <si>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</si>
  <si>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</si>
  <si>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</si>
  <si>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</si>
  <si>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</si>
  <si>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</si>
  <si>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</si>
  <si>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</si>
  <si>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</si>
  <si>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</si>
  <si>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</si>
  <si>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</si>
  <si>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</si>
  <si>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</si>
  <si>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</si>
  <si>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</si>
  <si>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</si>
  <si>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</si>
  <si>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</si>
  <si>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</si>
  <si>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</si>
  <si>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</si>
  <si>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</si>
  <si>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</si>
  <si>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</si>
  <si>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</si>
  <si>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</si>
  <si>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</si>
  <si>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</si>
  <si>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</si>
  <si>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</si>
  <si>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</si>
  <si>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</si>
  <si>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</si>
  <si>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</si>
  <si>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</si>
  <si>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</si>
  <si>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</si>
  <si>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</si>
  <si>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</si>
  <si>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</si>
  <si>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</si>
  <si>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</si>
  <si>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</si>
  <si>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</si>
  <si>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</si>
  <si>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</si>
  <si>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</si>
  <si>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</si>
  <si>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</si>
  <si>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</si>
  <si>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</si>
  <si>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</si>
  <si>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</si>
  <si>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</si>
  <si>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</si>
  <si>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</si>
  <si>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</si>
  <si>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</si>
  <si>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</si>
  <si>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</si>
  <si>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</si>
  <si>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</si>
  <si>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</si>
  <si>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</si>
  <si>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</si>
  <si>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</si>
  <si>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</si>
  <si>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</si>
  <si>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</si>
  <si>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</si>
  <si>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</si>
  <si>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</si>
  <si>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</si>
  <si>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</si>
  <si>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</si>
  <si>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</si>
  <si>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</si>
  <si>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</si>
  <si>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</si>
  <si>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</si>
  <si>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</si>
  <si>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</si>
  <si>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</si>
  <si>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</si>
  <si>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</si>
  <si>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</si>
  <si>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</si>
  <si>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</si>
  <si>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</si>
  <si>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</si>
  <si>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</si>
  <si>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</si>
  <si>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</si>
  <si>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</si>
  <si>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</si>
  <si>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</si>
  <si>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</si>
  <si>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</si>
  <si>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</si>
  <si>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</si>
  <si>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</si>
  <si>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</si>
  <si>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</si>
  <si>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</si>
  <si>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</si>
  <si>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</si>
  <si>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</si>
  <si>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</si>
  <si>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</si>
  <si>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</si>
  <si>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</si>
  <si>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</si>
  <si>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</si>
  <si>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</si>
  <si>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</si>
  <si>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</si>
  <si>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</si>
  <si>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</si>
  <si>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</si>
  <si>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</si>
  <si>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</si>
  <si>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</si>
  <si>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</si>
  <si>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</si>
  <si>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</si>
  <si>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</si>
  <si>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</si>
  <si>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</si>
  <si>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</si>
  <si>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</si>
  <si>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</si>
  <si>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</si>
  <si>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</si>
  <si>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</si>
  <si>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</si>
  <si>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</si>
  <si>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</si>
  <si>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</si>
  <si>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</si>
  <si>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</si>
  <si>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</si>
  <si>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</si>
  <si>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</si>
  <si>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</si>
  <si>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</si>
  <si>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</si>
  <si>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</si>
  <si>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</si>
  <si>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</si>
  <si>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</si>
  <si>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</si>
  <si>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</si>
  <si>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</si>
  <si>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</si>
  <si>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</si>
  <si>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</si>
  <si>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</si>
  <si>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</si>
  <si>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</si>
  <si>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</si>
  <si>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</si>
  <si>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</si>
  <si>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</si>
  <si>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</si>
  <si>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</si>
  <si>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</si>
  <si>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</si>
  <si>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</si>
  <si>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</si>
  <si>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</si>
  <si>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</si>
  <si>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</si>
  <si>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</si>
  <si>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</si>
  <si>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</si>
  <si>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</si>
  <si>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</si>
  <si>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</si>
  <si>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</si>
  <si>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</si>
  <si>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</si>
  <si>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</si>
  <si>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</si>
  <si>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</si>
  <si>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</si>
  <si>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</si>
  <si>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</si>
  <si>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</si>
  <si>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</si>
  <si>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</si>
  <si>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</si>
  <si>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</si>
  <si>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</si>
  <si>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</si>
  <si>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</si>
  <si>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</si>
  <si>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</si>
  <si>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</si>
  <si>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</si>
  <si>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</si>
  <si>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</si>
  <si>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</si>
  <si>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</si>
  <si>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</si>
  <si>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</si>
  <si>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</si>
  <si>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</si>
  <si>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</si>
  <si>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</si>
  <si>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</si>
  <si>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</si>
  <si>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</si>
  <si>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</si>
  <si>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</si>
  <si>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</si>
  <si>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</si>
  <si>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</si>
  <si>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</si>
  <si>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</si>
  <si>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</si>
  <si>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</si>
  <si>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</si>
  <si>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</si>
  <si>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</si>
  <si>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</si>
  <si>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</si>
  <si>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</si>
  <si>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</si>
  <si>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</si>
  <si>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</si>
  <si>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</si>
  <si>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</si>
  <si>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</si>
  <si>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</si>
  <si>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</si>
  <si>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</si>
  <si>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</si>
  <si>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</si>
  <si>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</si>
  <si>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</si>
  <si>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</si>
  <si>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</si>
  <si>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</si>
  <si>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</si>
  <si>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</si>
  <si>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</si>
  <si>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</si>
  <si>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</si>
  <si>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</si>
  <si>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</si>
  <si>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</si>
  <si>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</si>
  <si>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</si>
  <si>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</si>
  <si>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</si>
  <si>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</si>
  <si>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</si>
  <si>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</si>
  <si>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</si>
  <si>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</si>
  <si>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</si>
  <si>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</si>
  <si>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</si>
  <si>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</si>
  <si>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</si>
  <si>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</si>
  <si>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</si>
  <si>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</si>
  <si>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</si>
  <si>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</si>
  <si>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</si>
  <si>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</si>
  <si>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</si>
  <si>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</si>
  <si>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</si>
  <si>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</si>
  <si>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</si>
  <si>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</si>
  <si>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</si>
  <si>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</si>
  <si>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</si>
  <si>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</si>
  <si>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</si>
  <si>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</si>
  <si>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</si>
  <si>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</si>
  <si>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</si>
  <si>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</si>
  <si>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</si>
  <si>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</si>
  <si>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</si>
  <si>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</si>
  <si>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</si>
  <si>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</si>
  <si>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</si>
  <si>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</si>
  <si>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</si>
  <si>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</si>
  <si>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</si>
  <si>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</si>
  <si>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</si>
  <si>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</si>
  <si>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</si>
  <si>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</si>
  <si>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</si>
  <si>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</si>
  <si>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</si>
  <si>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</si>
  <si>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</si>
  <si>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</si>
  <si>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</si>
  <si>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</si>
  <si>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</si>
  <si>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</si>
  <si>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</si>
  <si>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</si>
  <si>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</si>
  <si>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</si>
  <si>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</si>
  <si>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</si>
  <si>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</si>
  <si>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</si>
  <si>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</si>
  <si>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</si>
  <si>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</si>
  <si>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</si>
  <si>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</si>
  <si>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</si>
  <si>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</si>
  <si>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</si>
  <si>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</si>
  <si>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</si>
  <si>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</si>
  <si>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</si>
  <si>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</si>
  <si>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</si>
  <si>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</si>
  <si>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</si>
  <si>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</si>
  <si>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</si>
  <si>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</si>
  <si>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</si>
  <si>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</si>
  <si>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</si>
  <si>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</si>
  <si>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</si>
  <si>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</si>
  <si>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</si>
  <si>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</si>
  <si>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</si>
  <si>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</si>
  <si>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</si>
  <si>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</si>
  <si>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</si>
  <si>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</si>
  <si>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</si>
  <si>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</si>
  <si>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</si>
  <si>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</si>
  <si>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</si>
  <si>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</si>
  <si>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</si>
  <si>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</si>
  <si>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</si>
  <si>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</si>
  <si>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</si>
  <si>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</si>
  <si>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</si>
  <si>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</si>
  <si>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</si>
  <si>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</si>
  <si>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</si>
  <si>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</si>
  <si>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</si>
  <si>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</si>
  <si>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</si>
  <si>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</si>
  <si>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</si>
  <si>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</si>
  <si>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</si>
  <si>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</si>
  <si>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</si>
  <si>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</si>
  <si>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</si>
  <si>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</si>
  <si>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</si>
  <si>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</si>
  <si>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</si>
  <si>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</si>
  <si>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</si>
  <si>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</si>
  <si>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</si>
  <si>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</si>
  <si>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</si>
  <si>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</si>
  <si>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</si>
  <si>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</si>
  <si>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</si>
  <si>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</si>
  <si>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</si>
  <si>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</si>
  <si>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</si>
  <si>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</si>
  <si>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</si>
  <si>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</si>
  <si>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</si>
  <si>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</si>
  <si>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</si>
  <si>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</si>
  <si>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</si>
  <si>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</si>
  <si>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</si>
  <si>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</si>
  <si>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</si>
  <si>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</si>
  <si>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</si>
  <si>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</si>
  <si>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</si>
  <si>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</si>
  <si>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</si>
  <si>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</si>
  <si>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</si>
  <si>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</si>
  <si>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</si>
  <si>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</si>
  <si>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</si>
  <si>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</si>
  <si>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</si>
  <si>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</si>
  <si>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</si>
  <si>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</si>
  <si>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</si>
  <si>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</si>
  <si>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</si>
  <si>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</si>
  <si>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</si>
  <si>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</si>
  <si>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</si>
  <si>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</si>
  <si>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</si>
  <si>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</si>
  <si>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</si>
  <si>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</si>
  <si>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</si>
  <si>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</si>
  <si>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</si>
  <si>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</si>
  <si>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</si>
  <si>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</si>
  <si>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</si>
  <si>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</si>
  <si>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</si>
  <si>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</si>
  <si>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</si>
  <si>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</si>
  <si>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</si>
  <si>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</si>
  <si>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</si>
  <si>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</si>
  <si>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</si>
  <si>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</si>
  <si>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</si>
  <si>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</si>
  <si>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</si>
  <si>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</si>
  <si>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</si>
  <si>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</si>
  <si>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</si>
  <si>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</si>
  <si>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</si>
  <si>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</si>
  <si>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</si>
  <si>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</si>
  <si>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</si>
  <si>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</si>
  <si>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</si>
  <si>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</si>
  <si>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</si>
  <si>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</si>
  <si>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</si>
  <si>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</si>
  <si>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</si>
  <si>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</si>
  <si>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</si>
  <si>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</si>
  <si>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</si>
  <si>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</si>
  <si>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</si>
  <si>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</si>
  <si>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</si>
  <si>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</si>
  <si>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</si>
  <si>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</si>
  <si>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</si>
  <si>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</si>
  <si>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</si>
  <si>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</si>
  <si>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</si>
  <si>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</si>
  <si>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</si>
  <si>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</si>
  <si>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</si>
  <si>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</si>
  <si>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</si>
  <si>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</si>
  <si>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</si>
  <si>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</si>
  <si>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</si>
  <si>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</si>
  <si>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</si>
  <si>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</si>
  <si>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</si>
  <si>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</si>
  <si>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</si>
  <si>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</si>
  <si>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</si>
  <si>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</si>
  <si>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</si>
  <si>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</si>
  <si>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</si>
  <si>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</si>
  <si>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</si>
  <si>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</si>
  <si>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</si>
  <si>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</si>
  <si>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</si>
  <si>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</si>
  <si>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</si>
  <si>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</si>
  <si>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</si>
  <si>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</si>
  <si>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</si>
  <si>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</si>
  <si>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</si>
  <si>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</si>
  <si>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</si>
  <si>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</si>
  <si>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</si>
  <si>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</si>
  <si>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</si>
  <si>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</si>
  <si>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</si>
  <si>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</si>
  <si>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</si>
  <si>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</si>
  <si>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</si>
  <si>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</si>
  <si>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</si>
  <si>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</si>
  <si>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</si>
  <si>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</si>
  <si>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</si>
  <si>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</si>
  <si>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</si>
  <si>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</si>
  <si>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</si>
  <si>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</si>
  <si>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</si>
  <si>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</si>
  <si>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</si>
  <si>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</si>
  <si>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</si>
  <si>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</si>
  <si>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</si>
  <si>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</si>
  <si>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</si>
  <si>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</si>
  <si>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</si>
  <si>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</si>
  <si>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</si>
  <si>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</si>
  <si>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</si>
  <si>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</si>
  <si>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</si>
  <si>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</si>
  <si>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</si>
  <si>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</si>
  <si>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</si>
  <si>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</si>
  <si>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</si>
  <si>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</si>
  <si>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</si>
  <si>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</si>
  <si>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</si>
  <si>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</si>
  <si>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</si>
  <si>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</si>
  <si>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</si>
  <si>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</si>
  <si>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</si>
  <si>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</si>
  <si>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</si>
  <si>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</si>
  <si>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</si>
  <si>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</si>
  <si>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</si>
  <si>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</si>
  <si>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</si>
  <si>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</si>
  <si>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</si>
  <si>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</si>
  <si>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</si>
  <si>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</si>
  <si>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</si>
  <si>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</si>
  <si>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</si>
  <si>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</si>
  <si>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</si>
  <si>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</si>
  <si>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</si>
  <si>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</si>
  <si>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</si>
  <si>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</si>
  <si>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</si>
  <si>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</si>
  <si>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</si>
  <si>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</si>
  <si>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</si>
  <si>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</si>
  <si>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</si>
  <si>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</si>
  <si>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</si>
  <si>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</si>
  <si>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</si>
  <si>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</si>
  <si>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</si>
  <si>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</si>
  <si>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</si>
  <si>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</si>
  <si>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</si>
  <si>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</si>
  <si>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</si>
  <si>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</si>
  <si>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</si>
  <si>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</si>
  <si>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</si>
  <si>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</si>
  <si>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</si>
  <si>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</si>
  <si>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</si>
  <si>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</si>
  <si>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</si>
  <si>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</si>
  <si>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</si>
  <si>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</si>
  <si>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</si>
  <si>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</si>
  <si>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</si>
  <si>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</si>
  <si>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</si>
  <si>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</si>
  <si>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</si>
  <si>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</si>
  <si>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</si>
  <si>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</si>
  <si>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</si>
  <si>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</si>
  <si>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</si>
  <si>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</si>
  <si>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</si>
  <si>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</si>
  <si>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</si>
  <si>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</si>
  <si>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</si>
  <si>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</si>
  <si>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</si>
  <si>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</si>
  <si>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</si>
  <si>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</si>
  <si>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</si>
  <si>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</si>
  <si>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</si>
  <si>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</si>
  <si>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</si>
  <si>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</si>
  <si>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</si>
  <si>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</si>
  <si>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</si>
  <si>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</si>
  <si>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</si>
  <si>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</si>
  <si>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</si>
  <si>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</si>
  <si>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</si>
  <si>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</si>
  <si>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</si>
  <si>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</si>
  <si>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</si>
  <si>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</si>
  <si>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</si>
  <si>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</si>
  <si>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</si>
  <si>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</si>
  <si>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</si>
  <si>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</si>
  <si>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</si>
  <si>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</si>
  <si>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</si>
  <si>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</si>
  <si>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</si>
  <si>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</si>
  <si>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</si>
  <si>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</si>
  <si>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</si>
  <si>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</si>
  <si>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</si>
  <si>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</si>
  <si>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</si>
  <si>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</si>
  <si>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</si>
  <si>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</si>
  <si>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</si>
  <si>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</si>
  <si>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</si>
  <si>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</si>
  <si>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</si>
  <si>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</si>
  <si>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</si>
  <si>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</si>
  <si>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</si>
  <si>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</si>
  <si>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</si>
  <si>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</si>
  <si>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</si>
  <si>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</si>
  <si>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</si>
  <si>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</si>
  <si>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</si>
  <si>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</si>
  <si>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</si>
  <si>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</si>
  <si>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</si>
  <si>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</si>
  <si>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</si>
  <si>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</si>
  <si>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</si>
  <si>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</si>
  <si>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</si>
  <si>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</si>
  <si>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</si>
  <si>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</si>
  <si>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</si>
  <si>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</si>
  <si>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</si>
  <si>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</si>
  <si>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</si>
  <si>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</si>
  <si>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</si>
  <si>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</si>
  <si>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</si>
  <si>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</si>
  <si>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</si>
  <si>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</si>
  <si>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</si>
  <si>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</si>
  <si>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</si>
  <si>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</si>
  <si>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</si>
  <si>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</si>
  <si>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</si>
  <si>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</si>
  <si>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</si>
  <si>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</si>
  <si>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</si>
  <si>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</si>
  <si>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</si>
  <si>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</si>
  <si>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</si>
  <si>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</si>
  <si>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</si>
  <si>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</si>
  <si>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</si>
  <si>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</si>
  <si>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</si>
  <si>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</si>
  <si>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</si>
  <si>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</si>
  <si>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</si>
  <si>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</si>
  <si>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</si>
  <si>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</si>
  <si>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</si>
  <si>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</si>
  <si>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</si>
  <si>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</si>
  <si>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</si>
  <si>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</si>
  <si>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</si>
  <si>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</si>
  <si>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</si>
  <si>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</si>
  <si>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</si>
  <si>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</si>
  <si>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</si>
  <si>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</si>
  <si>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</si>
  <si>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</si>
  <si>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</si>
  <si>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</si>
  <si>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</si>
  <si>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</si>
  <si>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</si>
  <si>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</si>
  <si>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</si>
  <si>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</si>
  <si>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</si>
  <si>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</si>
  <si>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</si>
  <si>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</si>
  <si>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</si>
  <si>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</si>
  <si>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</si>
  <si>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</si>
  <si>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</si>
  <si>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</si>
  <si>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</si>
  <si>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</si>
  <si>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</si>
  <si>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</si>
  <si>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</si>
  <si>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</si>
  <si>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</si>
  <si>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</si>
  <si>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</si>
  <si>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</si>
  <si>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</si>
  <si>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</si>
  <si>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</si>
  <si>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</si>
  <si>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</si>
  <si>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</si>
  <si>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</si>
  <si>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</si>
  <si>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</si>
  <si>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</si>
  <si>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</si>
  <si>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</si>
  <si>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</si>
  <si>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</si>
  <si>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</si>
  <si>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</si>
  <si>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</si>
  <si>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</si>
  <si>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</si>
  <si>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</si>
  <si>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</si>
  <si>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</si>
  <si>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</si>
  <si>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</si>
  <si>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</si>
  <si>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</si>
  <si>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</si>
  <si>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</si>
  <si>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</si>
  <si>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</si>
  <si>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</si>
  <si>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</si>
  <si>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</si>
  <si>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</si>
  <si>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</si>
  <si>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</si>
  <si>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</si>
  <si>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</si>
  <si>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</si>
  <si>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</si>
  <si>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</si>
  <si>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</si>
  <si>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</si>
  <si>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</si>
  <si>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</si>
  <si>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</si>
  <si>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</si>
  <si>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</si>
  <si>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</si>
  <si>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</si>
  <si>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</si>
  <si>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</si>
  <si>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</si>
  <si>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</si>
  <si>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</si>
  <si>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</si>
  <si>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</si>
  <si>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</si>
  <si>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</si>
  <si>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</si>
  <si>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</si>
  <si>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</si>
  <si>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</si>
  <si>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</si>
  <si>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</si>
  <si>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</si>
  <si>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</si>
  <si>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</si>
  <si>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</si>
  <si>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</si>
  <si>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</si>
  <si>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</si>
  <si>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</si>
  <si>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</si>
  <si>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</si>
  <si>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</si>
  <si>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</si>
  <si>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</si>
  <si>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</si>
  <si>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</si>
  <si>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</si>
  <si>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</si>
  <si>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</si>
  <si>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</si>
  <si>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</si>
  <si>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</si>
  <si>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</si>
  <si>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</si>
  <si>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</si>
  <si>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</si>
  <si>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</si>
  <si>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</si>
  <si>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</si>
  <si>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</si>
  <si>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</si>
  <si>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</si>
  <si>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</si>
  <si>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</si>
  <si>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</si>
  <si>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</si>
  <si>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</si>
  <si>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</si>
  <si>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</si>
  <si>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</si>
  <si>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</si>
  <si>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</si>
  <si>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</si>
  <si>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</si>
  <si>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</si>
  <si>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</si>
  <si>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</si>
  <si>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</si>
  <si>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</si>
  <si>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</si>
  <si>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</si>
  <si>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</si>
  <si>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</si>
  <si>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</si>
  <si>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</si>
  <si>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</si>
  <si>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</si>
  <si>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</si>
  <si>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</si>
  <si>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</si>
  <si>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</si>
  <si>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</si>
  <si>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</si>
  <si>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</si>
  <si>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</si>
  <si>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</si>
  <si>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</si>
  <si>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</si>
  <si>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</si>
  <si>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</si>
  <si>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</si>
  <si>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</si>
  <si>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</si>
  <si>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</si>
  <si>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</si>
  <si>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</si>
  <si>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</si>
  <si>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</si>
  <si>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</si>
  <si>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</si>
  <si>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</si>
  <si>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</si>
  <si>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</si>
  <si>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</si>
  <si>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</si>
  <si>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</si>
  <si>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</si>
  <si>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</si>
  <si>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</si>
  <si>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</si>
  <si>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</si>
  <si>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</si>
  <si>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</si>
  <si>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</si>
  <si>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</si>
  <si>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</si>
  <si>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</si>
  <si>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</si>
  <si>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</si>
  <si>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</si>
  <si>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</si>
  <si>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</si>
  <si>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</si>
  <si>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</si>
  <si>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</si>
  <si>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</si>
  <si>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</si>
  <si>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</si>
  <si>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</si>
  <si>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</si>
  <si>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</si>
  <si>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</si>
  <si>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</si>
  <si>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</si>
  <si>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</si>
  <si>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</si>
  <si>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</si>
  <si>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</si>
  <si>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</si>
  <si>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</si>
  <si>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</si>
  <si>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</si>
  <si>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</si>
  <si>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</si>
  <si>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</si>
  <si>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</si>
  <si>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</si>
  <si>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</si>
  <si>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</si>
  <si>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</si>
  <si>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</si>
  <si>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</si>
  <si>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</si>
  <si>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</si>
  <si>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</si>
  <si>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</si>
  <si>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</si>
  <si>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</si>
  <si>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</si>
  <si>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</si>
  <si>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</si>
  <si>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</si>
  <si>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</si>
  <si>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</si>
  <si>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</si>
  <si>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</si>
  <si>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</si>
  <si>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</si>
  <si>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</si>
  <si>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</si>
  <si>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</si>
  <si>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</si>
  <si>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</si>
  <si>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</si>
  <si>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</si>
  <si>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</si>
  <si>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</si>
  <si>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</si>
  <si>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</si>
  <si>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</si>
  <si>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</si>
  <si>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</si>
  <si>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</si>
  <si>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</si>
  <si>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</si>
  <si>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</si>
  <si>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</si>
  <si>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</si>
  <si>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</si>
  <si>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</si>
  <si>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</si>
  <si>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</si>
  <si>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</si>
  <si>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</si>
  <si>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</si>
  <si>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</si>
  <si>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</si>
  <si>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</si>
  <si>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</si>
  <si>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</si>
  <si>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</si>
  <si>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</si>
  <si>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</si>
  <si>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</si>
  <si>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</si>
  <si>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</si>
  <si>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</si>
  <si>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</si>
  <si>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</si>
  <si>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</si>
  <si>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</si>
  <si>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</si>
  <si>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</si>
  <si>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</si>
  <si>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</si>
  <si>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</si>
  <si>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</si>
  <si>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</si>
  <si>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</si>
  <si>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</si>
  <si>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</si>
  <si>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</si>
  <si>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</si>
  <si>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</si>
  <si>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</si>
  <si>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</si>
  <si>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</si>
  <si>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</si>
  <si>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</si>
  <si>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</si>
  <si>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</si>
  <si>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</si>
  <si>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</si>
  <si>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</si>
  <si>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</si>
  <si>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</si>
  <si>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</si>
  <si>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</si>
  <si>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</si>
  <si>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</si>
  <si>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</si>
  <si>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</si>
  <si>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</si>
  <si>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</si>
  <si>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</si>
  <si>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</si>
  <si>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</si>
  <si>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</si>
  <si>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</si>
  <si>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</si>
  <si>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</si>
  <si>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</si>
  <si>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</si>
  <si>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</si>
  <si>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</si>
  <si>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</si>
  <si>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</si>
  <si>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</si>
  <si>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</si>
  <si>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</si>
  <si>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</si>
  <si>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</si>
  <si>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</si>
  <si>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</si>
  <si>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</si>
  <si>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</si>
  <si>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</si>
  <si>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</si>
  <si>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</si>
  <si>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</si>
  <si>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</si>
  <si>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</si>
  <si>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</si>
  <si>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</si>
  <si>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</si>
  <si>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</si>
  <si>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</si>
  <si>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</si>
  <si>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</si>
  <si>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</si>
  <si>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</si>
  <si>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</si>
  <si>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</si>
  <si>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</si>
  <si>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</si>
  <si>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</si>
  <si>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</si>
  <si>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</si>
  <si>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</si>
  <si>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</si>
  <si>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</si>
  <si>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</si>
  <si>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</si>
  <si>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</si>
  <si>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</si>
  <si>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</si>
  <si>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</si>
  <si>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</si>
  <si>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</si>
  <si>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</si>
  <si>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</si>
  <si>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</si>
  <si>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</si>
  <si>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</si>
  <si>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</si>
  <si>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</si>
  <si>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</si>
  <si>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</si>
  <si>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</si>
  <si>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</si>
  <si>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</si>
  <si>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</si>
  <si>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</si>
  <si>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</si>
  <si>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</si>
  <si>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</si>
  <si>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</si>
  <si>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</si>
  <si>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</si>
  <si>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</si>
  <si>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</si>
  <si>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</si>
  <si>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</si>
  <si>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</si>
  <si>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</si>
  <si>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</si>
  <si>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</si>
  <si>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</si>
  <si>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</si>
  <si>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</si>
  <si>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</si>
  <si>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</si>
  <si>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</si>
  <si>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</si>
  <si>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</si>
  <si>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</si>
  <si>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</si>
  <si>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</si>
  <si>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</si>
  <si>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</si>
  <si>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</si>
  <si>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</si>
  <si>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</si>
  <si>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</si>
  <si>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</si>
  <si>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</si>
  <si>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</si>
  <si>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</si>
  <si>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</si>
  <si>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</si>
  <si>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</si>
  <si>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</si>
  <si>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</si>
  <si>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</si>
  <si>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</si>
  <si>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</si>
  <si>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</si>
  <si>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</si>
  <si>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</si>
  <si>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</si>
  <si>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</si>
  <si>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</si>
  <si>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</si>
  <si>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</si>
  <si>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</si>
  <si>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</si>
  <si>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</si>
  <si>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</si>
  <si>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</si>
  <si>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</si>
  <si>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</si>
  <si>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</si>
  <si>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</si>
  <si>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</si>
  <si>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</si>
  <si>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</si>
  <si>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</si>
  <si>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</si>
  <si>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</si>
  <si>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</si>
  <si>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سود هر سهم وغدیر 1399</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</si>
  <si>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</si>
  <si>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</si>
  <si>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</si>
  <si>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</si>
  <si>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</si>
  <si>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</si>
  <si>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</si>
  <si>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</si>
  <si>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</si>
  <si>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</si>
  <si>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</si>
  <si>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</si>
  <si>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</si>
  <si>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</si>
  <si>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</si>
  <si>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</si>
  <si>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</si>
  <si>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</si>
  <si>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</si>
  <si>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</si>
  <si>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</si>
  <si>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</si>
  <si>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</si>
  <si>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</si>
  <si>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</si>
  <si>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</si>
  <si>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</si>
  <si>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</si>
  <si>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</si>
  <si>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</si>
  <si>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</si>
  <si>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</si>
  <si>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</si>
  <si>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</si>
  <si>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</si>
  <si>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</si>
  <si>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</si>
  <si>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</si>
  <si>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</si>
  <si>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</si>
  <si>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</si>
  <si>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</si>
  <si>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</si>
  <si>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</si>
  <si>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</si>
  <si>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</si>
  <si>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</si>
  <si>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</si>
  <si>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</si>
  <si>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</si>
  <si>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</si>
  <si>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</si>
  <si>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</si>
  <si>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</si>
  <si>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</si>
  <si>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</si>
  <si>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</si>
  <si>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</si>
  <si>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</si>
  <si>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</si>
  <si>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</si>
  <si>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</si>
  <si>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</si>
  <si>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</si>
  <si>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</si>
  <si>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</si>
  <si>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</si>
  <si>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</si>
  <si>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</si>
  <si>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</si>
  <si>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</si>
  <si>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</si>
  <si>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</si>
  <si>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</si>
  <si>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</si>
  <si>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</si>
  <si>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</si>
  <si>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</si>
  <si>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</si>
  <si>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</si>
  <si>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</si>
  <si>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</si>
  <si>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</si>
  <si>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</si>
  <si>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</si>
  <si>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</si>
  <si>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</si>
  <si>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</si>
  <si>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</si>
  <si>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</si>
  <si>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</si>
  <si>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</si>
  <si>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</si>
  <si>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</si>
  <si>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</si>
  <si>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</si>
  <si>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</si>
  <si>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</si>
  <si>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</si>
  <si>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</si>
  <si>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</si>
  <si>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</si>
  <si>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</si>
  <si>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</si>
  <si>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</si>
  <si>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</si>
  <si>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</si>
  <si>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</si>
  <si>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</si>
  <si>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</si>
  <si>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</si>
  <si>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</si>
  <si>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</si>
  <si>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</si>
  <si>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</si>
  <si>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</si>
  <si>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</si>
  <si>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</si>
  <si>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</si>
  <si>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</si>
  <si>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</si>
  <si>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</si>
  <si>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</si>
  <si>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</si>
  <si>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</si>
  <si>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</si>
  <si>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</si>
  <si>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</si>
  <si>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</si>
  <si>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</si>
  <si>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</si>
  <si>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</si>
  <si>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</si>
  <si>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</si>
  <si>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</si>
  <si>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</si>
  <si>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</si>
  <si>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</si>
  <si>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</si>
  <si>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</si>
  <si>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</si>
  <si>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</si>
  <si>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</si>
  <si>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</si>
  <si>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</si>
  <si>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</si>
  <si>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</si>
  <si>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</si>
  <si>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</si>
  <si>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</si>
  <si>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</si>
  <si>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</si>
  <si>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</si>
  <si>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</si>
  <si>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</si>
  <si>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</si>
  <si>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</si>
  <si>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</si>
  <si>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</si>
  <si>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</si>
  <si>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</si>
  <si>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</si>
  <si>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</si>
  <si>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</si>
  <si>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</si>
  <si>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</si>
  <si>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</si>
  <si>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</si>
  <si>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</si>
  <si>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</si>
  <si>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</si>
  <si>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</si>
  <si>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</si>
  <si>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</si>
  <si>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</si>
  <si>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</si>
  <si>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</si>
  <si>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</si>
  <si>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</si>
  <si>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</si>
  <si>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</si>
  <si>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</si>
  <si>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</si>
  <si>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</si>
  <si>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</si>
  <si>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</si>
  <si>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</si>
  <si>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</si>
  <si>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</si>
  <si>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</si>
  <si>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</si>
  <si>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</si>
  <si>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</si>
  <si>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</si>
  <si>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</si>
  <si>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</si>
  <si>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</si>
  <si>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</si>
  <si>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</si>
  <si>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</si>
  <si>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</si>
  <si>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</si>
  <si>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</si>
  <si>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</si>
  <si>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</si>
  <si>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</si>
  <si>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</si>
  <si>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</si>
  <si>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</si>
  <si>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</si>
  <si>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</si>
  <si>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</si>
  <si>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</si>
  <si>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</si>
  <si>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</si>
  <si>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</si>
  <si>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</si>
  <si>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</si>
  <si>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</si>
  <si>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</si>
  <si>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</si>
  <si>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</si>
  <si>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</si>
  <si>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</si>
  <si>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</si>
  <si>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</si>
  <si>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</si>
  <si>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</si>
  <si>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</si>
  <si>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</si>
  <si>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</si>
  <si>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</si>
  <si>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</si>
  <si>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</si>
  <si>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</si>
  <si>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</si>
  <si>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</si>
  <si>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</si>
  <si>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</si>
  <si>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</si>
  <si>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</si>
  <si>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</si>
  <si>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</si>
  <si>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</si>
  <si>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</si>
  <si>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</si>
  <si>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</si>
  <si>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</si>
  <si>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</si>
  <si>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</si>
  <si>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</si>
  <si>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</si>
  <si>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</si>
  <si>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</si>
  <si>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</si>
  <si>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</si>
  <si>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</si>
  <si>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</si>
  <si>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</si>
  <si>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</si>
  <si>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</si>
  <si>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</si>
  <si>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</si>
  <si>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</si>
  <si>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</si>
  <si>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</si>
  <si>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</si>
  <si>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</si>
  <si>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</si>
  <si>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</si>
  <si>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</si>
  <si>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</si>
  <si>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</si>
  <si>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</si>
  <si>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</si>
  <si>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</si>
  <si>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</si>
  <si>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</si>
  <si>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</si>
  <si>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</si>
  <si>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</si>
  <si>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</si>
  <si>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</si>
  <si>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</si>
  <si>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</si>
  <si>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</si>
  <si>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</si>
  <si>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</si>
  <si>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</si>
  <si>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</si>
  <si>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</si>
  <si>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</si>
  <si>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</si>
  <si>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</si>
  <si>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</si>
  <si>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</si>
  <si>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</si>
  <si>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</si>
  <si>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</si>
  <si>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</si>
  <si>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</si>
  <si>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</si>
  <si>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</si>
  <si>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</si>
  <si>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</si>
  <si>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</si>
  <si>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</si>
  <si>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</si>
  <si>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</si>
  <si>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</si>
  <si>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</si>
  <si>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</si>
  <si>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</si>
  <si>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</si>
  <si>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</si>
  <si>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</si>
  <si>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</si>
  <si>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</si>
  <si>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</si>
  <si>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</si>
  <si>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</si>
  <si>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</si>
  <si>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</si>
  <si>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</si>
  <si>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</si>
  <si>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</si>
  <si>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</si>
  <si>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</si>
  <si>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</si>
  <si>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</si>
  <si>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</si>
  <si>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</si>
  <si>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</si>
  <si>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</si>
  <si>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</si>
  <si>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</si>
  <si>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</si>
  <si>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</si>
  <si>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</si>
  <si>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</si>
  <si>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</si>
  <si>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</si>
  <si>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</si>
  <si>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</si>
  <si>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</si>
  <si>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</si>
  <si>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</si>
  <si>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</si>
  <si>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</si>
  <si>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</si>
  <si>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</si>
  <si>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</si>
  <si>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</si>
  <si>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</si>
  <si>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</si>
  <si>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</si>
  <si>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</si>
  <si>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</si>
  <si>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</si>
  <si>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</si>
  <si>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</si>
  <si>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</si>
  <si>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</si>
  <si>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</si>
  <si>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</si>
  <si>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</si>
  <si>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</si>
  <si>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</si>
  <si>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</si>
  <si>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</si>
  <si>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</si>
  <si>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</si>
  <si>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</si>
  <si>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</si>
  <si>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</si>
  <si>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</si>
  <si>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</si>
  <si>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</si>
  <si>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</si>
  <si>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</si>
  <si>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</si>
  <si>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</si>
  <si>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</si>
  <si>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</si>
  <si>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</si>
  <si>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</si>
  <si>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</si>
  <si>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</si>
  <si>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</si>
  <si>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</si>
  <si>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</si>
  <si>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</si>
  <si>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</si>
  <si>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</si>
  <si>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</si>
  <si>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</si>
  <si>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</si>
  <si>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</si>
  <si>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</si>
  <si>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</si>
  <si>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</si>
  <si>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</si>
  <si>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</si>
  <si>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</si>
  <si>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</si>
  <si>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</si>
  <si>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</si>
  <si>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</si>
  <si>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</si>
  <si>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</si>
  <si>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</si>
  <si>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</si>
  <si>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</si>
  <si>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</si>
  <si>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</si>
  <si>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</si>
  <si>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</si>
  <si>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</si>
  <si>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</si>
  <si>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</si>
  <si>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</si>
  <si>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</si>
  <si>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</si>
  <si>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</si>
  <si>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</si>
  <si>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</si>
  <si>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</si>
  <si>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</si>
  <si>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</si>
  <si>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</si>
  <si>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</si>
  <si>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</si>
  <si>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</si>
  <si>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</si>
  <si>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</si>
  <si>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</si>
  <si>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</si>
  <si>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</si>
  <si>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</si>
  <si>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</si>
  <si>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</si>
  <si>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</si>
  <si>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</si>
  <si>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</si>
  <si>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</si>
  <si>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</si>
  <si>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</si>
  <si>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</si>
  <si>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</si>
  <si>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</si>
  <si>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</si>
  <si>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</si>
  <si>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</si>
  <si>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</si>
  <si>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</si>
  <si>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</si>
  <si>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</si>
  <si>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</si>
  <si>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</si>
  <si>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</si>
  <si>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</si>
  <si>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</si>
  <si>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</si>
  <si>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</si>
  <si>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</si>
  <si>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</si>
  <si>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</si>
  <si>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</si>
  <si>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</si>
  <si>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</si>
  <si>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</si>
  <si>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</si>
  <si>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</si>
  <si>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</si>
  <si>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</si>
  <si>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</si>
  <si>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</si>
  <si>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</si>
  <si>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</si>
  <si>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</si>
  <si>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</si>
  <si>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</si>
  <si>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</si>
  <si>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</si>
  <si>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</si>
  <si>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</si>
  <si>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</si>
  <si>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</si>
  <si>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</si>
  <si>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</si>
  <si>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</si>
  <si>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</si>
  <si>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</si>
  <si>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</si>
  <si>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</si>
  <si>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</si>
  <si>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</si>
  <si>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</si>
  <si>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</si>
  <si>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</si>
  <si>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</si>
  <si>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</si>
  <si>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</si>
  <si>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</si>
  <si>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</si>
  <si>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</si>
  <si>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</si>
  <si>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</si>
  <si>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</si>
  <si>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</si>
  <si>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</si>
  <si>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</si>
  <si>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</si>
  <si>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</si>
  <si>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</si>
  <si>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</si>
  <si>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</si>
  <si>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</si>
  <si>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</si>
  <si>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</si>
  <si>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</si>
  <si>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</si>
  <si>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</si>
  <si>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</si>
  <si>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</si>
  <si>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</si>
  <si>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</si>
  <si>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</si>
  <si>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</si>
  <si>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</si>
  <si>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</si>
  <si>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</si>
  <si>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</si>
  <si>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</si>
  <si>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</si>
  <si>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</si>
  <si>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</si>
  <si>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</si>
  <si>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</si>
  <si>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</si>
  <si>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</si>
  <si>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</si>
  <si>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</si>
  <si>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</si>
  <si>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</si>
  <si>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</si>
  <si>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</si>
  <si>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</si>
  <si>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</si>
  <si>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</si>
  <si>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</si>
  <si>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</si>
  <si>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</si>
  <si>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</si>
  <si>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</si>
  <si>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</si>
  <si>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</si>
  <si>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</si>
  <si>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</si>
  <si>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</si>
  <si>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</si>
  <si>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</si>
  <si>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</si>
  <si>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</si>
  <si>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</si>
  <si>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</si>
  <si>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</si>
  <si>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</si>
  <si>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</si>
  <si>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</si>
  <si>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</si>
  <si>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</si>
  <si>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</si>
  <si>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</si>
  <si>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</si>
  <si>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</si>
  <si>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</si>
  <si>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</si>
  <si>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</si>
  <si>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</si>
  <si>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</si>
  <si>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</si>
  <si>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</si>
  <si>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</si>
  <si>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</si>
  <si>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</si>
  <si>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</si>
  <si>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</si>
  <si>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</si>
  <si>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</si>
  <si>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</si>
  <si>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</si>
  <si>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</si>
  <si>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</si>
  <si>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</si>
  <si>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</si>
  <si>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</si>
  <si>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</si>
  <si>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</si>
  <si>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</si>
  <si>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</si>
  <si>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</si>
  <si>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</si>
  <si>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</si>
  <si>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</si>
  <si>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</si>
  <si>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</si>
  <si>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</si>
  <si>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</si>
  <si>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</si>
  <si>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</si>
  <si>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</si>
  <si>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</si>
  <si>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</si>
  <si>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</si>
  <si>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</si>
  <si>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</si>
  <si>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</si>
  <si>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</si>
  <si>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</si>
  <si>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</si>
  <si>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</si>
  <si>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</si>
  <si>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</si>
  <si>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</si>
  <si>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</si>
  <si>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</si>
  <si>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</si>
  <si>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</si>
  <si>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</si>
  <si>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</si>
  <si>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</si>
  <si>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</si>
  <si>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</si>
  <si>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</si>
  <si>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</si>
  <si>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</si>
  <si>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</si>
  <si>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</si>
  <si>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</si>
  <si>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</si>
  <si>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</si>
  <si>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</si>
  <si>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</si>
  <si>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</si>
  <si>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</si>
  <si>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</si>
  <si>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</si>
  <si>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</si>
  <si>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</si>
  <si>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</si>
  <si>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</si>
  <si>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</si>
  <si>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</si>
  <si>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</si>
  <si>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</si>
  <si>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</si>
  <si>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</si>
  <si>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</si>
  <si>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</si>
  <si>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</si>
  <si>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</si>
  <si>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</si>
  <si>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</si>
  <si>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</si>
  <si>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</si>
  <si>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</si>
  <si>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</si>
  <si>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</si>
  <si>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</si>
  <si>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</si>
  <si>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</si>
  <si>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</si>
  <si>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</si>
  <si>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</si>
  <si>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</si>
  <si>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</si>
  <si>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</si>
  <si>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</si>
  <si>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</si>
  <si>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</si>
  <si>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</si>
  <si>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</si>
  <si>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</si>
  <si>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</si>
  <si>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</si>
  <si>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</si>
  <si>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</si>
  <si>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</si>
  <si>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</si>
  <si>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</si>
  <si>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</si>
  <si>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</si>
  <si>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</si>
  <si>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</si>
  <si>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</si>
  <si>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</si>
  <si>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</si>
  <si>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</si>
  <si>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</si>
  <si>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</si>
  <si>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</si>
  <si>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</si>
  <si>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</si>
  <si>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</si>
  <si>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</si>
  <si>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</si>
  <si>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</si>
  <si>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</si>
  <si>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</si>
  <si>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</si>
  <si>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</si>
  <si>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</si>
  <si>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</si>
  <si>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</si>
  <si>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</si>
  <si>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</si>
  <si>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</si>
  <si>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</si>
  <si>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</si>
  <si>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</si>
  <si>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</si>
  <si>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</si>
  <si>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</si>
  <si>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</si>
  <si>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</si>
  <si>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</si>
  <si>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</si>
  <si>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</si>
  <si>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</si>
  <si>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</si>
  <si>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</si>
  <si>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</si>
  <si>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</si>
  <si>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</si>
  <si>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</si>
  <si>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</si>
  <si>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</si>
  <si>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</si>
  <si>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</si>
  <si>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</si>
  <si>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</si>
  <si>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</si>
  <si>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</si>
  <si>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</si>
  <si>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</si>
  <si>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</si>
  <si>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</si>
  <si>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</si>
  <si>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</si>
  <si>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</si>
  <si>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</si>
  <si>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</si>
  <si>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</si>
  <si>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</si>
  <si>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</si>
  <si>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</si>
  <si>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</si>
  <si>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</si>
  <si>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</si>
  <si>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</si>
  <si>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</si>
  <si>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</si>
  <si>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</si>
  <si>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</si>
  <si>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</si>
  <si>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</si>
  <si>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</si>
  <si>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</si>
  <si>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</si>
  <si>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</si>
  <si>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</si>
  <si>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</si>
  <si>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</si>
  <si>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</si>
  <si>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</si>
  <si>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</si>
  <si>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</si>
  <si>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</si>
  <si>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</si>
  <si>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</si>
  <si>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</si>
  <si>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</si>
  <si>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</si>
  <si>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</si>
  <si>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</si>
  <si>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</si>
  <si>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</si>
  <si>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</si>
  <si>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</si>
  <si>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</si>
  <si>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</si>
  <si>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</si>
  <si>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</si>
  <si>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</si>
  <si>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</si>
  <si>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</si>
  <si>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</si>
  <si>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</si>
  <si>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</si>
  <si>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</si>
  <si>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</si>
  <si>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</si>
  <si>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</si>
  <si>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</si>
  <si>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</si>
  <si>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</si>
  <si>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</si>
  <si>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</si>
  <si>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</si>
  <si>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</si>
  <si>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</si>
  <si>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</si>
  <si>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</si>
  <si>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</si>
  <si>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</si>
  <si>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</si>
  <si>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</si>
  <si>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</si>
  <si>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</si>
  <si>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</si>
  <si>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</si>
  <si>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</si>
  <si>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</si>
  <si>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</si>
  <si>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</si>
  <si>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</si>
  <si>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</si>
  <si>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</si>
  <si>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</si>
  <si>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</si>
  <si>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</si>
  <si>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</si>
  <si>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</si>
  <si>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</si>
  <si>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</si>
  <si>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</si>
  <si>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</si>
  <si>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</si>
  <si>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</si>
  <si>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</si>
  <si>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13/6/1400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</si>
  <si>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</si>
  <si>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</si>
  <si>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</si>
  <si>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</si>
  <si>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</si>
  <si>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</si>
  <si>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</si>
  <si>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</si>
  <si>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</si>
  <si>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</si>
  <si>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</si>
  <si>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</si>
  <si>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</si>
  <si>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</si>
  <si>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</si>
  <si>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</si>
  <si>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</si>
  <si>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</si>
  <si>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</si>
  <si>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</si>
  <si>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</si>
  <si>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</si>
  <si>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</si>
  <si>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</si>
  <si>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</si>
  <si>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</si>
  <si>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</si>
  <si>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</si>
  <si>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</si>
  <si>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</si>
  <si>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</si>
  <si>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</si>
  <si>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</si>
  <si>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</si>
  <si>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</si>
  <si>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</si>
  <si>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</si>
  <si>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</si>
  <si>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</si>
  <si>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</si>
  <si>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</si>
  <si>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</si>
  <si>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</si>
  <si>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</si>
  <si>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</si>
  <si>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</si>
  <si>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</si>
  <si>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</si>
  <si>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</si>
  <si>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</si>
  <si>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</si>
  <si>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</si>
  <si>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</si>
  <si>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</si>
  <si>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</si>
  <si>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</si>
  <si>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</si>
  <si>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</si>
  <si>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</si>
  <si>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</si>
  <si>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</si>
  <si>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</si>
  <si>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</si>
  <si>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</si>
  <si>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</si>
  <si>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</si>
  <si>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</si>
  <si>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</si>
  <si>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</si>
  <si>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</si>
  <si>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</si>
  <si>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</si>
  <si>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</si>
  <si>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</si>
  <si>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</si>
  <si>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</si>
  <si>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</si>
  <si>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</si>
  <si>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</si>
  <si>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</si>
  <si>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</si>
  <si>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</si>
  <si>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</si>
  <si>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</si>
  <si>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</si>
  <si>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</si>
  <si>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</si>
  <si>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</si>
  <si>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</si>
  <si>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</si>
  <si>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</si>
  <si>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</si>
  <si>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</si>
  <si>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</si>
  <si>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</si>
  <si>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</si>
  <si>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</si>
  <si>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</si>
  <si>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</si>
  <si>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</si>
  <si>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</si>
  <si>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</si>
  <si>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</si>
  <si>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</si>
  <si>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</si>
  <si>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</si>
  <si>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</si>
  <si>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</si>
  <si>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</si>
  <si>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</si>
  <si>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</si>
  <si>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</si>
  <si>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</si>
  <si>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</si>
  <si>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</si>
  <si>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</si>
  <si>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</si>
  <si>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</si>
  <si>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</si>
  <si>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</si>
  <si>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</si>
  <si>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</si>
  <si>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</si>
  <si>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</si>
  <si>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</si>
  <si>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</si>
  <si>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</si>
  <si>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</si>
  <si>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</si>
  <si>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</si>
  <si>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</si>
  <si>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</si>
  <si>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</si>
  <si>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</si>
  <si>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</si>
  <si>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</si>
  <si>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</si>
  <si>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</si>
  <si>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</si>
  <si>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</si>
  <si>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</si>
  <si>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</si>
  <si>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</si>
  <si>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</si>
  <si>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</si>
  <si>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</si>
  <si>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</si>
  <si>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</si>
  <si>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</si>
  <si>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</si>
  <si>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</si>
  <si>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</si>
  <si>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</si>
  <si>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</si>
  <si>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</si>
  <si>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</si>
  <si>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</si>
  <si>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</si>
  <si>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</si>
  <si>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</si>
  <si>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</si>
  <si>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</si>
  <si>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</si>
  <si>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</si>
  <si>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</si>
  <si>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</si>
  <si>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</si>
  <si>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</si>
  <si>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</si>
  <si>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</si>
  <si>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</si>
  <si>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</si>
  <si>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</si>
  <si>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</si>
  <si>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</si>
  <si>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</si>
  <si>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</si>
  <si>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</si>
  <si>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</si>
  <si>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</si>
  <si>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</si>
  <si>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</si>
  <si>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</si>
  <si>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</si>
  <si>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</si>
  <si>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</si>
  <si>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</si>
  <si>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</si>
  <si>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</si>
  <si>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</si>
  <si>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</si>
  <si>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</si>
  <si>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</si>
  <si>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</si>
  <si>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</si>
  <si>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</si>
  <si>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</si>
  <si>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</si>
  <si>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</si>
  <si>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</si>
  <si>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</si>
  <si>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</si>
  <si>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</si>
  <si>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</si>
  <si>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</si>
  <si>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</si>
  <si>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</si>
  <si>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</si>
  <si>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</si>
  <si>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</si>
  <si>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</si>
  <si>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</si>
  <si>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</si>
  <si>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</si>
  <si>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</si>
  <si>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</si>
  <si>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</si>
  <si>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</si>
  <si>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</si>
  <si>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</si>
  <si>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</si>
  <si>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</si>
  <si>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</si>
  <si>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</si>
  <si>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</si>
  <si>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</si>
  <si>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</si>
  <si>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</si>
  <si>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</si>
  <si>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</si>
  <si>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</si>
  <si>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</si>
  <si>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</si>
  <si>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</si>
  <si>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</si>
  <si>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</si>
  <si>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</si>
  <si>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</si>
  <si>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</si>
  <si>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</si>
  <si>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</si>
  <si>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</si>
  <si>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</si>
  <si>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</si>
  <si>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</si>
  <si>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</si>
  <si>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</si>
  <si>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</si>
  <si>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</si>
  <si>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</si>
  <si>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</si>
  <si>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</si>
  <si>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</si>
  <si>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</si>
  <si>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</si>
  <si>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</si>
  <si>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</si>
  <si>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</si>
  <si>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</si>
  <si>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</si>
  <si>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</si>
  <si>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</si>
  <si>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</si>
  <si>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</si>
  <si>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</si>
  <si>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</si>
  <si>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</si>
  <si>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</si>
  <si>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</si>
  <si>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</si>
  <si>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</si>
  <si>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</si>
  <si>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</si>
  <si>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</si>
  <si>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</si>
  <si>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</si>
  <si>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</si>
  <si>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</si>
  <si>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</si>
  <si>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</si>
  <si>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</si>
  <si>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</si>
  <si>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</si>
  <si>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</si>
  <si>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</si>
  <si>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</si>
  <si>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</si>
  <si>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</si>
  <si>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</si>
  <si>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</si>
  <si>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</si>
  <si>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</si>
  <si>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</si>
  <si>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</si>
  <si>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</si>
  <si>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</si>
  <si>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</si>
  <si>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</si>
  <si>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</si>
  <si>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</si>
  <si>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</si>
  <si>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</si>
  <si>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</si>
  <si>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</si>
  <si>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</si>
  <si>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</si>
  <si>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</si>
  <si>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</si>
  <si>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</si>
  <si>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</si>
  <si>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</si>
  <si>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</si>
  <si>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</si>
  <si>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</si>
  <si>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</si>
  <si>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</si>
  <si>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</si>
  <si>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</si>
  <si>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</si>
  <si>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</si>
  <si>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</si>
  <si>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</si>
  <si>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</si>
  <si>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</si>
  <si>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</si>
  <si>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</si>
  <si>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</si>
  <si>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</si>
  <si>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</si>
  <si>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</si>
  <si>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</si>
  <si>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</si>
  <si>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</si>
  <si>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</si>
  <si>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</si>
  <si>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</si>
  <si>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وغدیر 3488 تا 1340</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</si>
  <si>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</si>
  <si>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</si>
  <si>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</si>
  <si>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</si>
  <si>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</si>
  <si>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</si>
  <si>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</si>
  <si>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</si>
  <si>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</si>
  <si>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</si>
  <si>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</si>
  <si>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وغدیر 284194 تا 1228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</si>
</sst>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2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6721</v>
      </c>
      <c r="C1" s="40" t="s">
        <v>1329</v>
      </c>
      <c r="D1" s="40" t="s">
        <v>1330</v>
      </c>
      <c r="E1" s="40" t="s">
        <v>6720</v>
      </c>
      <c r="F1" s="40" t="s">
        <v>6719</v>
      </c>
      <c r="G1" s="40" t="s">
        <v>1331</v>
      </c>
      <c r="H1" s="40" t="s">
        <v>1332</v>
      </c>
      <c r="I1" s="40"/>
      <c r="J1" s="409"/>
      <c r="K1" s="409"/>
      <c r="L1" s="416"/>
    </row>
    <row r="2" spans="1:15">
      <c r="A2" s="40"/>
      <c r="B2" s="40"/>
      <c r="C2" s="40"/>
      <c r="D2" s="40"/>
      <c r="E2" s="40"/>
      <c r="F2" s="40"/>
      <c r="G2" s="40"/>
      <c r="H2" s="40"/>
      <c r="I2" s="40"/>
      <c r="J2" s="409"/>
      <c r="K2" s="409"/>
      <c r="L2" s="416"/>
    </row>
    <row r="3" spans="1:15">
      <c r="A3" s="40"/>
      <c r="B3" s="40"/>
      <c r="C3" s="40"/>
      <c r="D3" s="40"/>
      <c r="E3" s="40"/>
      <c r="F3" s="40"/>
      <c r="G3" s="40"/>
      <c r="H3" s="40"/>
      <c r="I3" s="40"/>
      <c r="J3" s="409"/>
      <c r="K3" s="409"/>
      <c r="L3" s="416"/>
    </row>
    <row r="4" spans="1:15">
      <c r="A4" s="413">
        <v>271110</v>
      </c>
      <c r="B4" s="413">
        <v>269660</v>
      </c>
      <c r="C4" s="413">
        <v>271510</v>
      </c>
      <c r="D4" s="413">
        <v>271210</v>
      </c>
      <c r="E4" s="40">
        <v>530</v>
      </c>
      <c r="F4" s="414">
        <v>2E-3</v>
      </c>
      <c r="G4" s="415">
        <v>44445</v>
      </c>
      <c r="H4" s="40" t="s">
        <v>6722</v>
      </c>
      <c r="I4" s="40" t="s">
        <v>6717</v>
      </c>
      <c r="J4" s="409"/>
      <c r="K4" s="409"/>
      <c r="L4" s="40" t="str">
        <f>CONCATENATE("USD",I4,TEXT(G4,"yyyymmdd"),I4,A4,I4,C4,I4,B4,I4,D4,I4,"1,1,1")</f>
        <v>USD,20210906,271110,271510,269660,271210,1,1,1</v>
      </c>
    </row>
    <row r="5" spans="1:15">
      <c r="A5" s="413">
        <v>271110</v>
      </c>
      <c r="B5" s="413">
        <v>270550</v>
      </c>
      <c r="C5" s="413">
        <v>272810</v>
      </c>
      <c r="D5" s="413">
        <v>270680</v>
      </c>
      <c r="E5" s="40">
        <v>370</v>
      </c>
      <c r="F5" s="414">
        <v>1.4E-3</v>
      </c>
      <c r="G5" s="415">
        <v>44444</v>
      </c>
      <c r="H5" s="40" t="s">
        <v>6687</v>
      </c>
      <c r="I5" s="40" t="s">
        <v>6717</v>
      </c>
      <c r="L5" s="40" t="str">
        <f t="shared" ref="L5:L68" si="0">CONCATENATE("USD",I5,TEXT(G5,"yyyymmdd"),I5,A5,I5,C5,I5,B5,I5,D5,I5,"1,1,1")</f>
        <v>USD,20210905,271110,272810,270550,270680,1,1,1</v>
      </c>
      <c r="N5" s="384"/>
    </row>
    <row r="6" spans="1:15">
      <c r="A6" s="413">
        <v>272810</v>
      </c>
      <c r="B6" s="413">
        <v>270050</v>
      </c>
      <c r="C6" s="413">
        <v>274110</v>
      </c>
      <c r="D6" s="413">
        <v>270310</v>
      </c>
      <c r="E6" s="40">
        <v>2600</v>
      </c>
      <c r="F6" s="414">
        <v>9.5999999999999992E-3</v>
      </c>
      <c r="G6" s="415">
        <v>44443</v>
      </c>
      <c r="H6" s="40" t="s">
        <v>6688</v>
      </c>
      <c r="I6" s="40" t="s">
        <v>6717</v>
      </c>
      <c r="L6" s="40" t="str">
        <f t="shared" si="0"/>
        <v>USD,20210904,272810,274110,270050,270310,1,1,1</v>
      </c>
    </row>
    <row r="7" spans="1:15">
      <c r="A7" s="413">
        <v>270860</v>
      </c>
      <c r="B7" s="413">
        <v>270850</v>
      </c>
      <c r="C7" s="413">
        <v>272910</v>
      </c>
      <c r="D7" s="413">
        <v>272910</v>
      </c>
      <c r="E7" s="40">
        <v>2560</v>
      </c>
      <c r="F7" s="414">
        <v>9.4999999999999998E-3</v>
      </c>
      <c r="G7" s="415">
        <v>44441</v>
      </c>
      <c r="H7" s="40" t="s">
        <v>6689</v>
      </c>
      <c r="I7" s="40" t="s">
        <v>6717</v>
      </c>
      <c r="L7" s="40" t="str">
        <f t="shared" si="0"/>
        <v>USD,20210902,270860,272910,270850,272910,1,1,1</v>
      </c>
    </row>
    <row r="8" spans="1:15">
      <c r="A8" s="413">
        <v>273310</v>
      </c>
      <c r="B8" s="413">
        <v>270050</v>
      </c>
      <c r="C8" s="413">
        <v>273410</v>
      </c>
      <c r="D8" s="413">
        <v>270350</v>
      </c>
      <c r="E8" s="40">
        <v>3870</v>
      </c>
      <c r="F8" s="414">
        <v>1.43E-2</v>
      </c>
      <c r="G8" s="415">
        <v>44440</v>
      </c>
      <c r="H8" s="40" t="s">
        <v>6690</v>
      </c>
      <c r="I8" s="40" t="s">
        <v>6717</v>
      </c>
      <c r="L8" s="40" t="str">
        <f t="shared" si="0"/>
        <v>USD,20210901,273310,273410,270050,270350,1,1,1</v>
      </c>
    </row>
    <row r="9" spans="1:15">
      <c r="A9" s="413">
        <v>273870</v>
      </c>
      <c r="B9" s="413">
        <v>272250</v>
      </c>
      <c r="C9" s="413">
        <v>274310</v>
      </c>
      <c r="D9" s="413">
        <v>274220</v>
      </c>
      <c r="E9" s="40">
        <v>3580</v>
      </c>
      <c r="F9" s="414">
        <v>1.32E-2</v>
      </c>
      <c r="G9" s="415">
        <v>44439</v>
      </c>
      <c r="H9" s="40" t="s">
        <v>6691</v>
      </c>
      <c r="I9" s="40" t="s">
        <v>6717</v>
      </c>
      <c r="L9" s="40" t="str">
        <f t="shared" si="0"/>
        <v>USD,20210831,273870,274310,272250,274220,1,1,1</v>
      </c>
    </row>
    <row r="10" spans="1:15">
      <c r="A10" s="413">
        <v>273850</v>
      </c>
      <c r="B10" s="413">
        <v>269350</v>
      </c>
      <c r="C10" s="413">
        <v>274010</v>
      </c>
      <c r="D10" s="413">
        <v>270640</v>
      </c>
      <c r="E10" s="40">
        <v>5440</v>
      </c>
      <c r="F10" s="414">
        <v>2.01E-2</v>
      </c>
      <c r="G10" s="415">
        <v>44438</v>
      </c>
      <c r="H10" s="40" t="s">
        <v>6692</v>
      </c>
      <c r="I10" s="40" t="s">
        <v>6717</v>
      </c>
      <c r="L10" s="40" t="str">
        <f t="shared" si="0"/>
        <v>USD,20210830,273850,274010,269350,270640,1,1,1</v>
      </c>
      <c r="O10" t="s">
        <v>6718</v>
      </c>
    </row>
    <row r="11" spans="1:15">
      <c r="A11" s="413">
        <v>281890</v>
      </c>
      <c r="B11" s="413">
        <v>275490</v>
      </c>
      <c r="C11" s="413">
        <v>282040</v>
      </c>
      <c r="D11" s="413">
        <v>276080</v>
      </c>
      <c r="E11" s="40">
        <v>5930</v>
      </c>
      <c r="F11" s="414">
        <v>2.1499999999999998E-2</v>
      </c>
      <c r="G11" s="415">
        <v>44437</v>
      </c>
      <c r="H11" s="40" t="s">
        <v>6693</v>
      </c>
      <c r="I11" s="40" t="s">
        <v>6717</v>
      </c>
      <c r="L11" s="40" t="str">
        <f t="shared" si="0"/>
        <v>USD,20210829,281890,282040,275490,276080,1,1,1</v>
      </c>
    </row>
    <row r="12" spans="1:15">
      <c r="A12" s="413">
        <v>282460</v>
      </c>
      <c r="B12" s="413">
        <v>281190</v>
      </c>
      <c r="C12" s="413">
        <v>283740</v>
      </c>
      <c r="D12" s="413">
        <v>282010</v>
      </c>
      <c r="E12" s="40">
        <v>3020</v>
      </c>
      <c r="F12" s="414">
        <v>1.0800000000000001E-2</v>
      </c>
      <c r="G12" s="415">
        <v>44436</v>
      </c>
      <c r="H12" s="40" t="s">
        <v>6694</v>
      </c>
      <c r="I12" s="40" t="s">
        <v>6717</v>
      </c>
      <c r="L12" s="40" t="str">
        <f t="shared" si="0"/>
        <v>USD,20210828,282460,283740,281190,282010,1,1,1</v>
      </c>
    </row>
    <row r="13" spans="1:15">
      <c r="A13" s="413">
        <v>279490</v>
      </c>
      <c r="B13" s="413">
        <v>277890</v>
      </c>
      <c r="C13" s="413">
        <v>280240</v>
      </c>
      <c r="D13" s="413">
        <v>278990</v>
      </c>
      <c r="E13" s="40">
        <v>500</v>
      </c>
      <c r="F13" s="414">
        <v>1.8E-3</v>
      </c>
      <c r="G13" s="415">
        <v>44434</v>
      </c>
      <c r="H13" s="40" t="s">
        <v>6695</v>
      </c>
      <c r="I13" s="40" t="s">
        <v>6717</v>
      </c>
      <c r="L13" s="40" t="str">
        <f t="shared" si="0"/>
        <v>USD,20210826,279490,280240,277890,278990,1,1,1</v>
      </c>
    </row>
    <row r="14" spans="1:15">
      <c r="A14" s="413">
        <v>277530</v>
      </c>
      <c r="B14" s="413">
        <v>276790</v>
      </c>
      <c r="C14" s="413">
        <v>280940</v>
      </c>
      <c r="D14" s="413">
        <v>278490</v>
      </c>
      <c r="E14" s="40">
        <v>1960</v>
      </c>
      <c r="F14" s="414">
        <v>7.1000000000000004E-3</v>
      </c>
      <c r="G14" s="415">
        <v>44433</v>
      </c>
      <c r="H14" s="40" t="s">
        <v>6696</v>
      </c>
      <c r="I14" s="40" t="s">
        <v>6717</v>
      </c>
      <c r="L14" s="40" t="str">
        <f t="shared" si="0"/>
        <v>USD,20210825,277530,280940,276790,278490,1,1,1</v>
      </c>
      <c r="N14" t="s">
        <v>25</v>
      </c>
    </row>
    <row r="15" spans="1:15">
      <c r="A15" s="413">
        <v>277190</v>
      </c>
      <c r="B15" s="413">
        <v>275690</v>
      </c>
      <c r="C15" s="413">
        <v>278940</v>
      </c>
      <c r="D15" s="413">
        <v>276530</v>
      </c>
      <c r="E15" s="40">
        <v>60</v>
      </c>
      <c r="F15" s="414">
        <v>2.0000000000000001E-4</v>
      </c>
      <c r="G15" s="415">
        <v>44432</v>
      </c>
      <c r="H15" s="40" t="s">
        <v>6697</v>
      </c>
      <c r="I15" s="40" t="s">
        <v>6717</v>
      </c>
      <c r="L15" s="40" t="str">
        <f t="shared" si="0"/>
        <v>USD,20210824,277190,278940,275690,276530,1,1,1</v>
      </c>
    </row>
    <row r="16" spans="1:15">
      <c r="A16" s="413">
        <v>274390</v>
      </c>
      <c r="B16" s="413">
        <v>273690</v>
      </c>
      <c r="C16" s="413">
        <v>276940</v>
      </c>
      <c r="D16" s="413">
        <v>276590</v>
      </c>
      <c r="E16" s="40">
        <v>2100</v>
      </c>
      <c r="F16" s="414">
        <v>7.7000000000000002E-3</v>
      </c>
      <c r="G16" s="415">
        <v>44431</v>
      </c>
      <c r="H16" s="40" t="s">
        <v>6698</v>
      </c>
      <c r="I16" s="40" t="s">
        <v>6717</v>
      </c>
      <c r="L16" s="40" t="str">
        <f t="shared" si="0"/>
        <v>USD,20210823,274390,276940,273690,276590,1,1,1</v>
      </c>
    </row>
    <row r="17" spans="1:12">
      <c r="A17" s="413">
        <v>274500</v>
      </c>
      <c r="B17" s="413">
        <v>273490</v>
      </c>
      <c r="C17" s="413">
        <v>275440</v>
      </c>
      <c r="D17" s="413">
        <v>274490</v>
      </c>
      <c r="E17" s="40">
        <v>1990</v>
      </c>
      <c r="F17" s="414">
        <v>7.3000000000000001E-3</v>
      </c>
      <c r="G17" s="415">
        <v>44430</v>
      </c>
      <c r="H17" s="40" t="s">
        <v>6699</v>
      </c>
      <c r="I17" s="40" t="s">
        <v>6717</v>
      </c>
      <c r="L17" s="40" t="str">
        <f t="shared" si="0"/>
        <v>USD,20210822,274500,275440,273490,274490,1,1,1</v>
      </c>
    </row>
    <row r="18" spans="1:12">
      <c r="A18" s="413">
        <v>269030</v>
      </c>
      <c r="B18" s="413">
        <v>268990</v>
      </c>
      <c r="C18" s="413">
        <v>272500</v>
      </c>
      <c r="D18" s="413">
        <v>272500</v>
      </c>
      <c r="E18" s="40">
        <v>3510</v>
      </c>
      <c r="F18" s="414">
        <v>1.2999999999999999E-2</v>
      </c>
      <c r="G18" s="415">
        <v>44429</v>
      </c>
      <c r="H18" s="40" t="s">
        <v>6700</v>
      </c>
      <c r="I18" s="40" t="s">
        <v>6717</v>
      </c>
      <c r="L18" s="40" t="str">
        <f t="shared" si="0"/>
        <v>USD,20210821,269030,272500,268990,272500,1,1,1</v>
      </c>
    </row>
    <row r="19" spans="1:12">
      <c r="A19" s="413">
        <v>269080</v>
      </c>
      <c r="B19" s="413">
        <v>268990</v>
      </c>
      <c r="C19" s="413">
        <v>269140</v>
      </c>
      <c r="D19" s="413">
        <v>268990</v>
      </c>
      <c r="E19" s="40">
        <v>80</v>
      </c>
      <c r="F19" s="414">
        <v>2.9999999999999997E-4</v>
      </c>
      <c r="G19" s="415">
        <v>44425</v>
      </c>
      <c r="H19" s="40" t="s">
        <v>6701</v>
      </c>
      <c r="I19" s="40" t="s">
        <v>6717</v>
      </c>
      <c r="L19" s="40" t="str">
        <f t="shared" si="0"/>
        <v>USD,20210817,269080,269140,268990,268990,1,1,1</v>
      </c>
    </row>
    <row r="20" spans="1:12">
      <c r="A20" s="413">
        <v>269110</v>
      </c>
      <c r="B20" s="413">
        <v>268990</v>
      </c>
      <c r="C20" s="413">
        <v>269140</v>
      </c>
      <c r="D20" s="413">
        <v>269070</v>
      </c>
      <c r="E20" s="40">
        <v>80</v>
      </c>
      <c r="F20" s="414">
        <v>2.9999999999999997E-4</v>
      </c>
      <c r="G20" s="415">
        <v>44424</v>
      </c>
      <c r="H20" s="40" t="s">
        <v>6702</v>
      </c>
      <c r="I20" s="40" t="s">
        <v>6717</v>
      </c>
      <c r="L20" s="40" t="str">
        <f t="shared" si="0"/>
        <v>USD,20210816,269110,269140,268990,269070,1,1,1</v>
      </c>
    </row>
    <row r="21" spans="1:12">
      <c r="A21" s="413">
        <v>263490</v>
      </c>
      <c r="B21" s="413">
        <v>263490</v>
      </c>
      <c r="C21" s="413">
        <v>269540</v>
      </c>
      <c r="D21" s="413">
        <v>268990</v>
      </c>
      <c r="E21" s="40">
        <v>5800</v>
      </c>
      <c r="F21" s="414">
        <v>2.1999999999999999E-2</v>
      </c>
      <c r="G21" s="415">
        <v>44423</v>
      </c>
      <c r="H21" s="40" t="s">
        <v>6703</v>
      </c>
      <c r="I21" s="40" t="s">
        <v>6717</v>
      </c>
      <c r="L21" s="40" t="str">
        <f t="shared" si="0"/>
        <v>USD,20210815,263490,269540,263490,268990,1,1,1</v>
      </c>
    </row>
    <row r="22" spans="1:12">
      <c r="A22" s="413">
        <v>263110</v>
      </c>
      <c r="B22" s="413">
        <v>262590</v>
      </c>
      <c r="C22" s="413">
        <v>267240</v>
      </c>
      <c r="D22" s="413">
        <v>263190</v>
      </c>
      <c r="E22" s="40">
        <v>1100</v>
      </c>
      <c r="F22" s="414">
        <v>4.1999999999999997E-3</v>
      </c>
      <c r="G22" s="415">
        <v>44422</v>
      </c>
      <c r="H22" s="40" t="s">
        <v>6704</v>
      </c>
      <c r="I22" s="40" t="s">
        <v>6717</v>
      </c>
      <c r="L22" s="40" t="str">
        <f t="shared" si="0"/>
        <v>USD,20210814,263110,267240,262590,263190,1,1,1</v>
      </c>
    </row>
    <row r="23" spans="1:12">
      <c r="A23" s="413">
        <v>265890</v>
      </c>
      <c r="B23" s="413">
        <v>262890</v>
      </c>
      <c r="C23" s="413">
        <v>266840</v>
      </c>
      <c r="D23" s="413">
        <v>264290</v>
      </c>
      <c r="E23" s="40">
        <v>1800</v>
      </c>
      <c r="F23" s="414">
        <v>6.7999999999999996E-3</v>
      </c>
      <c r="G23" s="415">
        <v>44420</v>
      </c>
      <c r="H23" s="40" t="s">
        <v>6705</v>
      </c>
      <c r="I23" s="40" t="s">
        <v>6717</v>
      </c>
      <c r="L23" s="40" t="str">
        <f t="shared" si="0"/>
        <v>USD,20210812,265890,266840,262890,264290,1,1,1</v>
      </c>
    </row>
    <row r="24" spans="1:12">
      <c r="A24" s="413">
        <v>264690</v>
      </c>
      <c r="B24" s="413">
        <v>263790</v>
      </c>
      <c r="C24" s="413">
        <v>267640</v>
      </c>
      <c r="D24" s="413">
        <v>266090</v>
      </c>
      <c r="E24" s="40">
        <v>2750</v>
      </c>
      <c r="F24" s="414">
        <v>1.04E-2</v>
      </c>
      <c r="G24" s="415">
        <v>44419</v>
      </c>
      <c r="H24" s="40" t="s">
        <v>6706</v>
      </c>
      <c r="I24" s="40" t="s">
        <v>6717</v>
      </c>
      <c r="L24" s="40" t="str">
        <f t="shared" si="0"/>
        <v>USD,20210811,264690,267640,263790,266090,1,1,1</v>
      </c>
    </row>
    <row r="25" spans="1:12">
      <c r="A25" s="413">
        <v>258990</v>
      </c>
      <c r="B25" s="413">
        <v>258990</v>
      </c>
      <c r="C25" s="413">
        <v>263940</v>
      </c>
      <c r="D25" s="413">
        <v>263340</v>
      </c>
      <c r="E25" s="40">
        <v>4250</v>
      </c>
      <c r="F25" s="414">
        <v>1.6400000000000001E-2</v>
      </c>
      <c r="G25" s="415">
        <v>44418</v>
      </c>
      <c r="H25" s="40" t="s">
        <v>6707</v>
      </c>
      <c r="I25" s="40" t="s">
        <v>6717</v>
      </c>
      <c r="L25" s="40" t="str">
        <f t="shared" si="0"/>
        <v>USD,20210810,258990,263940,258990,263340,1,1,1</v>
      </c>
    </row>
    <row r="26" spans="1:12">
      <c r="A26" s="413">
        <v>256340</v>
      </c>
      <c r="B26" s="413">
        <v>256190</v>
      </c>
      <c r="C26" s="413">
        <v>259940</v>
      </c>
      <c r="D26" s="413">
        <v>259090</v>
      </c>
      <c r="E26" s="40">
        <v>2200</v>
      </c>
      <c r="F26" s="414">
        <v>8.6E-3</v>
      </c>
      <c r="G26" s="415">
        <v>44417</v>
      </c>
      <c r="H26" s="40" t="s">
        <v>6708</v>
      </c>
      <c r="I26" s="40" t="s">
        <v>6717</v>
      </c>
      <c r="L26" s="40" t="str">
        <f t="shared" si="0"/>
        <v>USD,20210809,256340,259940,256190,259090,1,1,1</v>
      </c>
    </row>
    <row r="27" spans="1:12">
      <c r="A27" s="413">
        <v>256290</v>
      </c>
      <c r="B27" s="413">
        <v>252390</v>
      </c>
      <c r="C27" s="413">
        <v>257440</v>
      </c>
      <c r="D27" s="413">
        <v>256890</v>
      </c>
      <c r="E27" s="40">
        <v>510</v>
      </c>
      <c r="F27" s="414">
        <v>2E-3</v>
      </c>
      <c r="G27" s="415">
        <v>44416</v>
      </c>
      <c r="H27" s="40" t="s">
        <v>6709</v>
      </c>
      <c r="I27" s="40" t="s">
        <v>6717</v>
      </c>
      <c r="L27" s="40" t="str">
        <f t="shared" si="0"/>
        <v>USD,20210808,256290,257440,252390,256890,1,1,1</v>
      </c>
    </row>
    <row r="28" spans="1:12">
      <c r="A28" s="413">
        <v>254190</v>
      </c>
      <c r="B28" s="413">
        <v>253990</v>
      </c>
      <c r="C28" s="413">
        <v>257140</v>
      </c>
      <c r="D28" s="413">
        <v>256380</v>
      </c>
      <c r="E28" s="40">
        <v>190</v>
      </c>
      <c r="F28" s="414">
        <v>6.9999999999999999E-4</v>
      </c>
      <c r="G28" s="415">
        <v>44415</v>
      </c>
      <c r="H28" s="40" t="s">
        <v>6710</v>
      </c>
      <c r="I28" s="40" t="s">
        <v>6717</v>
      </c>
      <c r="L28" s="40" t="str">
        <f t="shared" si="0"/>
        <v>USD,20210807,254190,257140,253990,256380,1,1,1</v>
      </c>
    </row>
    <row r="29" spans="1:12">
      <c r="A29" s="413">
        <v>256490</v>
      </c>
      <c r="B29" s="413">
        <v>255790</v>
      </c>
      <c r="C29" s="413">
        <v>256740</v>
      </c>
      <c r="D29" s="413">
        <v>256190</v>
      </c>
      <c r="E29" s="40" t="s">
        <v>6711</v>
      </c>
      <c r="F29" s="40" t="s">
        <v>6711</v>
      </c>
      <c r="G29" s="415">
        <v>44413</v>
      </c>
      <c r="H29" s="40" t="s">
        <v>6712</v>
      </c>
      <c r="I29" s="40" t="s">
        <v>6717</v>
      </c>
      <c r="L29" s="40" t="str">
        <f t="shared" si="0"/>
        <v>USD,20210805,256490,256740,255790,256190,1,1,1</v>
      </c>
    </row>
    <row r="30" spans="1:12">
      <c r="A30" s="413">
        <v>257250</v>
      </c>
      <c r="B30" s="413">
        <v>254690</v>
      </c>
      <c r="C30" s="413">
        <v>257340</v>
      </c>
      <c r="D30" s="413">
        <v>256190</v>
      </c>
      <c r="E30" s="40">
        <v>1100</v>
      </c>
      <c r="F30" s="414">
        <v>4.3E-3</v>
      </c>
      <c r="G30" s="415">
        <v>44412</v>
      </c>
      <c r="H30" s="40" t="s">
        <v>6713</v>
      </c>
      <c r="I30" s="40" t="s">
        <v>6717</v>
      </c>
      <c r="L30" s="40" t="str">
        <f t="shared" si="0"/>
        <v>USD,20210804,257250,257340,254690,256190,1,1,1</v>
      </c>
    </row>
    <row r="31" spans="1:12">
      <c r="A31" s="413">
        <v>255790</v>
      </c>
      <c r="B31" s="413">
        <v>255690</v>
      </c>
      <c r="C31" s="413">
        <v>258140</v>
      </c>
      <c r="D31" s="413">
        <v>257290</v>
      </c>
      <c r="E31" s="40">
        <v>2100</v>
      </c>
      <c r="F31" s="414">
        <v>8.2000000000000007E-3</v>
      </c>
      <c r="G31" s="415">
        <v>44411</v>
      </c>
      <c r="H31" s="40" t="s">
        <v>6714</v>
      </c>
      <c r="I31" s="40" t="s">
        <v>6717</v>
      </c>
      <c r="L31" s="40" t="str">
        <f t="shared" si="0"/>
        <v>USD,20210803,255790,258140,255690,257290,1,1,1</v>
      </c>
    </row>
    <row r="32" spans="1:12">
      <c r="A32" s="413">
        <v>255690</v>
      </c>
      <c r="B32" s="413">
        <v>254590</v>
      </c>
      <c r="C32" s="413">
        <v>256640</v>
      </c>
      <c r="D32" s="413">
        <v>255190</v>
      </c>
      <c r="E32" s="40">
        <v>300</v>
      </c>
      <c r="F32" s="414">
        <v>1.1999999999999999E-3</v>
      </c>
      <c r="G32" s="415">
        <v>44410</v>
      </c>
      <c r="H32" s="40" t="s">
        <v>6715</v>
      </c>
      <c r="I32" s="40" t="s">
        <v>6717</v>
      </c>
      <c r="L32" s="40" t="str">
        <f t="shared" si="0"/>
        <v>USD,20210802,255690,256640,254590,255190,1,1,1</v>
      </c>
    </row>
    <row r="33" spans="1:12">
      <c r="A33" s="413">
        <v>257190</v>
      </c>
      <c r="B33" s="413">
        <v>254290</v>
      </c>
      <c r="C33" s="413">
        <v>257640</v>
      </c>
      <c r="D33" s="413">
        <v>254890</v>
      </c>
      <c r="E33" s="40">
        <v>2400</v>
      </c>
      <c r="F33" s="414">
        <v>9.4000000000000004E-3</v>
      </c>
      <c r="G33" s="415">
        <v>44409</v>
      </c>
      <c r="H33" s="40" t="s">
        <v>6716</v>
      </c>
      <c r="I33" s="40" t="s">
        <v>6717</v>
      </c>
      <c r="L33" s="40" t="str">
        <f t="shared" si="0"/>
        <v>USD,20210801,257190,257640,254290,254890,1,1,1</v>
      </c>
    </row>
    <row r="34" spans="1:12">
      <c r="A34" s="413">
        <v>260270</v>
      </c>
      <c r="B34" s="413">
        <v>256990</v>
      </c>
      <c r="C34" s="413">
        <v>260640</v>
      </c>
      <c r="D34" s="413">
        <v>257290</v>
      </c>
      <c r="E34" s="40">
        <v>1300</v>
      </c>
      <c r="F34" s="414">
        <v>5.1000000000000004E-3</v>
      </c>
      <c r="G34" s="415">
        <v>44408</v>
      </c>
      <c r="H34" s="40" t="s">
        <v>6723</v>
      </c>
      <c r="I34" s="40" t="s">
        <v>6717</v>
      </c>
      <c r="L34" s="40" t="str">
        <f t="shared" si="0"/>
        <v>USD,20210731,260270,260640,256990,257290,1,1,1</v>
      </c>
    </row>
    <row r="35" spans="1:12">
      <c r="A35" s="270">
        <v>251800</v>
      </c>
      <c r="B35" s="270">
        <v>251690</v>
      </c>
      <c r="C35" s="270">
        <v>256240</v>
      </c>
      <c r="D35" s="270">
        <v>255990</v>
      </c>
      <c r="E35">
        <v>4330</v>
      </c>
      <c r="F35" s="137">
        <v>1.72E-2</v>
      </c>
      <c r="G35" s="203">
        <v>44405</v>
      </c>
      <c r="H35" t="s">
        <v>6724</v>
      </c>
      <c r="I35" s="40" t="s">
        <v>6717</v>
      </c>
      <c r="L35" s="40" t="str">
        <f t="shared" si="0"/>
        <v>USD,20210728,251800,256240,251690,255990,1,1,1</v>
      </c>
    </row>
    <row r="36" spans="1:12">
      <c r="A36" s="270">
        <v>250780</v>
      </c>
      <c r="B36" s="270">
        <v>250690</v>
      </c>
      <c r="C36" s="270">
        <v>252340</v>
      </c>
      <c r="D36" s="270">
        <v>251660</v>
      </c>
      <c r="E36">
        <v>1170</v>
      </c>
      <c r="F36" s="137">
        <v>4.7000000000000002E-3</v>
      </c>
      <c r="G36" s="203">
        <v>44404</v>
      </c>
      <c r="H36" t="s">
        <v>6725</v>
      </c>
      <c r="I36" s="40" t="s">
        <v>6717</v>
      </c>
      <c r="L36" s="40" t="str">
        <f t="shared" si="0"/>
        <v>USD,20210727,250780,252340,250690,251660,1,1,1</v>
      </c>
    </row>
    <row r="37" spans="1:12">
      <c r="A37" s="270">
        <v>248130</v>
      </c>
      <c r="B37" s="270">
        <v>247890</v>
      </c>
      <c r="C37" s="270">
        <v>251040</v>
      </c>
      <c r="D37" s="270">
        <v>250490</v>
      </c>
      <c r="E37">
        <v>2700</v>
      </c>
      <c r="F37" s="137">
        <v>1.09E-2</v>
      </c>
      <c r="G37" s="203">
        <v>44403</v>
      </c>
      <c r="H37" t="s">
        <v>6726</v>
      </c>
      <c r="I37" s="40" t="s">
        <v>6717</v>
      </c>
      <c r="L37" s="40" t="str">
        <f t="shared" si="0"/>
        <v>USD,20210726,248130,251040,247890,250490,1,1,1</v>
      </c>
    </row>
    <row r="38" spans="1:12">
      <c r="A38" s="270">
        <v>247490</v>
      </c>
      <c r="B38" s="270">
        <v>247490</v>
      </c>
      <c r="C38" s="270">
        <v>249630</v>
      </c>
      <c r="D38" s="270">
        <v>247790</v>
      </c>
      <c r="E38">
        <v>700</v>
      </c>
      <c r="F38" s="137">
        <v>2.8E-3</v>
      </c>
      <c r="G38" s="203">
        <v>44402</v>
      </c>
      <c r="H38" t="s">
        <v>6727</v>
      </c>
      <c r="I38" s="40" t="s">
        <v>6717</v>
      </c>
      <c r="L38" s="40" t="str">
        <f t="shared" si="0"/>
        <v>USD,20210725,247490,249630,247490,247790,1,1,1</v>
      </c>
    </row>
    <row r="39" spans="1:12">
      <c r="A39" s="270">
        <v>246190</v>
      </c>
      <c r="B39" s="270">
        <v>246190</v>
      </c>
      <c r="C39" s="270">
        <v>247340</v>
      </c>
      <c r="D39" s="270">
        <v>247090</v>
      </c>
      <c r="E39">
        <v>810</v>
      </c>
      <c r="F39" s="137">
        <v>3.3E-3</v>
      </c>
      <c r="G39" s="203">
        <v>44401</v>
      </c>
      <c r="H39" t="s">
        <v>6728</v>
      </c>
      <c r="I39" s="40" t="s">
        <v>6717</v>
      </c>
      <c r="L39" s="40" t="str">
        <f t="shared" si="0"/>
        <v>USD,20210724,246190,247340,246190,247090,1,1,1</v>
      </c>
    </row>
    <row r="40" spans="1:12">
      <c r="A40" s="270">
        <v>246240</v>
      </c>
      <c r="B40" s="270">
        <v>246190</v>
      </c>
      <c r="C40" s="270">
        <v>246340</v>
      </c>
      <c r="D40" s="270">
        <v>246280</v>
      </c>
      <c r="E40">
        <v>1090</v>
      </c>
      <c r="F40" s="137">
        <v>4.4000000000000003E-3</v>
      </c>
      <c r="G40" s="203">
        <v>44399</v>
      </c>
      <c r="H40" t="s">
        <v>6729</v>
      </c>
      <c r="I40" s="40" t="s">
        <v>6717</v>
      </c>
      <c r="L40" s="40" t="str">
        <f t="shared" si="0"/>
        <v>USD,20210722,246240,246340,246190,246280,1,1,1</v>
      </c>
    </row>
    <row r="41" spans="1:12">
      <c r="A41" s="270">
        <v>244820</v>
      </c>
      <c r="B41" s="270">
        <v>244790</v>
      </c>
      <c r="C41" s="270">
        <v>245440</v>
      </c>
      <c r="D41" s="270">
        <v>245190</v>
      </c>
      <c r="E41">
        <v>550</v>
      </c>
      <c r="F41" s="137">
        <v>2.2000000000000001E-3</v>
      </c>
      <c r="G41" s="203">
        <v>44397</v>
      </c>
      <c r="H41" t="s">
        <v>6730</v>
      </c>
      <c r="I41" s="40" t="s">
        <v>6717</v>
      </c>
      <c r="L41" s="40" t="str">
        <f t="shared" si="0"/>
        <v>USD,20210720,244820,245440,244790,245190,1,1,1</v>
      </c>
    </row>
    <row r="42" spans="1:12">
      <c r="A42" s="270">
        <v>245600</v>
      </c>
      <c r="B42" s="270">
        <v>244090</v>
      </c>
      <c r="C42" s="270">
        <v>245640</v>
      </c>
      <c r="D42" s="270">
        <v>244640</v>
      </c>
      <c r="E42">
        <v>650</v>
      </c>
      <c r="F42" s="137">
        <v>2.7000000000000001E-3</v>
      </c>
      <c r="G42" s="203">
        <v>44396</v>
      </c>
      <c r="H42" t="s">
        <v>6731</v>
      </c>
      <c r="I42" s="40" t="s">
        <v>6717</v>
      </c>
      <c r="L42" s="40" t="str">
        <f t="shared" si="0"/>
        <v>USD,20210719,245600,245640,244090,244640,1,1,1</v>
      </c>
    </row>
    <row r="43" spans="1:12">
      <c r="A43" s="270">
        <v>246890</v>
      </c>
      <c r="B43" s="270">
        <v>245190</v>
      </c>
      <c r="C43" s="270">
        <v>247640</v>
      </c>
      <c r="D43" s="270">
        <v>245290</v>
      </c>
      <c r="E43">
        <v>2000</v>
      </c>
      <c r="F43" s="137">
        <v>8.2000000000000007E-3</v>
      </c>
      <c r="G43" s="203">
        <v>44395</v>
      </c>
      <c r="H43" t="s">
        <v>6732</v>
      </c>
      <c r="I43" s="40" t="s">
        <v>6717</v>
      </c>
      <c r="L43" s="40" t="str">
        <f t="shared" si="0"/>
        <v>USD,20210718,246890,247640,245190,245290,1,1,1</v>
      </c>
    </row>
    <row r="44" spans="1:12">
      <c r="A44" s="270">
        <v>247610</v>
      </c>
      <c r="B44" s="270">
        <v>247190</v>
      </c>
      <c r="C44" s="270">
        <v>248340</v>
      </c>
      <c r="D44" s="270">
        <v>247290</v>
      </c>
      <c r="E44">
        <v>300</v>
      </c>
      <c r="F44" s="137">
        <v>1.1999999999999999E-3</v>
      </c>
      <c r="G44" s="203">
        <v>44394</v>
      </c>
      <c r="H44" t="s">
        <v>6733</v>
      </c>
      <c r="I44" s="40" t="s">
        <v>6717</v>
      </c>
      <c r="L44" s="40" t="str">
        <f t="shared" si="0"/>
        <v>USD,20210717,247610,248340,247190,247290,1,1,1</v>
      </c>
    </row>
    <row r="45" spans="1:12">
      <c r="A45" s="270">
        <v>246190</v>
      </c>
      <c r="B45" s="270">
        <v>246190</v>
      </c>
      <c r="C45" s="270">
        <v>247940</v>
      </c>
      <c r="D45" s="270">
        <v>246990</v>
      </c>
      <c r="E45">
        <v>950</v>
      </c>
      <c r="F45" s="137">
        <v>3.8999999999999998E-3</v>
      </c>
      <c r="G45" s="203">
        <v>44392</v>
      </c>
      <c r="H45" t="s">
        <v>6734</v>
      </c>
      <c r="I45" s="40" t="s">
        <v>6717</v>
      </c>
      <c r="L45" s="40" t="str">
        <f t="shared" si="0"/>
        <v>USD,20210715,246190,247940,246190,246990,1,1,1</v>
      </c>
    </row>
    <row r="46" spans="1:12">
      <c r="A46" s="270">
        <v>247610</v>
      </c>
      <c r="B46" s="270">
        <v>244990</v>
      </c>
      <c r="C46" s="270">
        <v>247640</v>
      </c>
      <c r="D46" s="270">
        <v>246040</v>
      </c>
      <c r="E46">
        <v>1550</v>
      </c>
      <c r="F46" s="137">
        <v>6.3E-3</v>
      </c>
      <c r="G46" s="203">
        <v>44391</v>
      </c>
      <c r="H46" t="s">
        <v>6735</v>
      </c>
      <c r="I46" s="40" t="s">
        <v>6717</v>
      </c>
      <c r="L46" s="40" t="str">
        <f t="shared" si="0"/>
        <v>USD,20210714,247610,247640,244990,246040,1,1,1</v>
      </c>
    </row>
    <row r="47" spans="1:12">
      <c r="A47" s="270">
        <v>249740</v>
      </c>
      <c r="B47" s="270">
        <v>247090</v>
      </c>
      <c r="C47" s="270">
        <v>249740</v>
      </c>
      <c r="D47" s="270">
        <v>247590</v>
      </c>
      <c r="E47">
        <v>2100</v>
      </c>
      <c r="F47" s="137">
        <v>8.5000000000000006E-3</v>
      </c>
      <c r="G47" s="203">
        <v>44390</v>
      </c>
      <c r="H47" t="s">
        <v>6736</v>
      </c>
      <c r="I47" s="40" t="s">
        <v>6717</v>
      </c>
      <c r="L47" s="40" t="str">
        <f t="shared" si="0"/>
        <v>USD,20210713,249740,249740,247090,247590,1,1,1</v>
      </c>
    </row>
    <row r="48" spans="1:12">
      <c r="A48" s="270">
        <v>250040</v>
      </c>
      <c r="B48" s="270">
        <v>249290</v>
      </c>
      <c r="C48" s="270">
        <v>250140</v>
      </c>
      <c r="D48" s="270">
        <v>249690</v>
      </c>
      <c r="E48">
        <v>300</v>
      </c>
      <c r="F48" s="137">
        <v>1.1999999999999999E-3</v>
      </c>
      <c r="G48" s="203">
        <v>44389</v>
      </c>
      <c r="H48" t="s">
        <v>6602</v>
      </c>
      <c r="I48" s="40" t="s">
        <v>6717</v>
      </c>
      <c r="L48" s="40" t="str">
        <f t="shared" si="0"/>
        <v>USD,20210712,250040,250140,249290,249690,1,1,1</v>
      </c>
    </row>
    <row r="49" spans="1:12">
      <c r="A49" s="270">
        <v>249210</v>
      </c>
      <c r="B49" s="270">
        <v>248790</v>
      </c>
      <c r="C49" s="270">
        <v>250140</v>
      </c>
      <c r="D49" s="270">
        <v>249990</v>
      </c>
      <c r="E49">
        <v>500</v>
      </c>
      <c r="F49" s="137">
        <v>2E-3</v>
      </c>
      <c r="G49" s="203">
        <v>44388</v>
      </c>
      <c r="H49" t="s">
        <v>6537</v>
      </c>
      <c r="I49" s="40" t="s">
        <v>6717</v>
      </c>
      <c r="L49" s="40" t="str">
        <f t="shared" si="0"/>
        <v>USD,20210711,249210,250140,248790,249990,1,1,1</v>
      </c>
    </row>
    <row r="50" spans="1:12">
      <c r="A50" s="270">
        <v>250340</v>
      </c>
      <c r="B50" s="270">
        <v>248190</v>
      </c>
      <c r="C50" s="270">
        <v>250340</v>
      </c>
      <c r="D50" s="270">
        <v>249490</v>
      </c>
      <c r="E50">
        <v>700</v>
      </c>
      <c r="F50" s="137">
        <v>2.8E-3</v>
      </c>
      <c r="G50" s="203">
        <v>44387</v>
      </c>
      <c r="H50" t="s">
        <v>6737</v>
      </c>
      <c r="I50" s="40" t="s">
        <v>6717</v>
      </c>
      <c r="L50" s="40" t="str">
        <f t="shared" si="0"/>
        <v>USD,20210710,250340,250340,248190,249490,1,1,1</v>
      </c>
    </row>
    <row r="51" spans="1:12">
      <c r="A51" s="270">
        <v>251070</v>
      </c>
      <c r="B51" s="270">
        <v>249490</v>
      </c>
      <c r="C51" s="270">
        <v>251140</v>
      </c>
      <c r="D51" s="270">
        <v>250190</v>
      </c>
      <c r="E51">
        <v>670</v>
      </c>
      <c r="F51" s="137">
        <v>2.7000000000000001E-3</v>
      </c>
      <c r="G51" s="203">
        <v>44385</v>
      </c>
      <c r="H51" t="s">
        <v>6738</v>
      </c>
      <c r="I51" s="40" t="s">
        <v>6717</v>
      </c>
      <c r="L51" s="40" t="str">
        <f t="shared" si="0"/>
        <v>USD,20210708,251070,251140,249490,250190,1,1,1</v>
      </c>
    </row>
    <row r="52" spans="1:12">
      <c r="A52" s="270">
        <v>250490</v>
      </c>
      <c r="B52" s="270">
        <v>250010</v>
      </c>
      <c r="C52" s="270">
        <v>251340</v>
      </c>
      <c r="D52" s="270">
        <v>250860</v>
      </c>
      <c r="E52">
        <v>230</v>
      </c>
      <c r="F52" s="137">
        <v>8.9999999999999998E-4</v>
      </c>
      <c r="G52" s="203">
        <v>44384</v>
      </c>
      <c r="H52" t="s">
        <v>6541</v>
      </c>
      <c r="I52" s="40" t="s">
        <v>6717</v>
      </c>
      <c r="L52" s="40" t="str">
        <f t="shared" si="0"/>
        <v>USD,20210707,250490,251340,250010,250860,1,1,1</v>
      </c>
    </row>
    <row r="53" spans="1:12">
      <c r="A53" s="270">
        <v>250990</v>
      </c>
      <c r="B53" s="270">
        <v>250590</v>
      </c>
      <c r="C53" s="270">
        <v>251640</v>
      </c>
      <c r="D53" s="270">
        <v>251090</v>
      </c>
      <c r="E53">
        <v>1370</v>
      </c>
      <c r="F53" s="137">
        <v>5.4999999999999997E-3</v>
      </c>
      <c r="G53" s="203">
        <v>44383</v>
      </c>
      <c r="H53" t="s">
        <v>6739</v>
      </c>
      <c r="I53" s="40" t="s">
        <v>6717</v>
      </c>
      <c r="L53" s="40" t="str">
        <f t="shared" si="0"/>
        <v>USD,20210706,250990,251640,250590,251090,1,1,1</v>
      </c>
    </row>
    <row r="54" spans="1:12">
      <c r="A54" s="270">
        <v>251220</v>
      </c>
      <c r="B54" s="270">
        <v>249490</v>
      </c>
      <c r="C54" s="270">
        <v>251340</v>
      </c>
      <c r="D54" s="270">
        <v>249720</v>
      </c>
      <c r="E54">
        <v>1790</v>
      </c>
      <c r="F54" s="137">
        <v>7.1999999999999998E-3</v>
      </c>
      <c r="G54" s="203">
        <v>44382</v>
      </c>
      <c r="H54" t="s">
        <v>6740</v>
      </c>
      <c r="I54" s="40" t="s">
        <v>6717</v>
      </c>
      <c r="L54" s="40" t="str">
        <f t="shared" si="0"/>
        <v>USD,20210705,251220,251340,249490,249720,1,1,1</v>
      </c>
    </row>
    <row r="55" spans="1:12">
      <c r="A55" s="270">
        <v>254490</v>
      </c>
      <c r="B55" s="270">
        <v>251090</v>
      </c>
      <c r="C55" s="270">
        <v>254640</v>
      </c>
      <c r="D55" s="270">
        <v>251510</v>
      </c>
      <c r="E55">
        <v>850</v>
      </c>
      <c r="F55" s="137">
        <v>3.3999999999999998E-3</v>
      </c>
      <c r="G55" s="203">
        <v>44381</v>
      </c>
      <c r="H55" t="s">
        <v>6545</v>
      </c>
      <c r="I55" s="40" t="s">
        <v>6717</v>
      </c>
      <c r="L55" s="40" t="str">
        <f t="shared" si="0"/>
        <v>USD,20210704,254490,254640,251090,251510,1,1,1</v>
      </c>
    </row>
    <row r="56" spans="1:12">
      <c r="A56" s="270">
        <v>251600</v>
      </c>
      <c r="B56" s="270">
        <v>251390</v>
      </c>
      <c r="C56" s="270">
        <v>253840</v>
      </c>
      <c r="D56" s="270">
        <v>252360</v>
      </c>
      <c r="E56">
        <v>850</v>
      </c>
      <c r="F56" s="137">
        <v>3.3999999999999998E-3</v>
      </c>
      <c r="G56" s="203">
        <v>44380</v>
      </c>
      <c r="H56" t="s">
        <v>6741</v>
      </c>
      <c r="I56" s="40" t="s">
        <v>6717</v>
      </c>
      <c r="L56" s="40" t="str">
        <f t="shared" si="0"/>
        <v>USD,20210703,251600,253840,251390,252360,1,1,1</v>
      </c>
    </row>
    <row r="57" spans="1:12">
      <c r="A57" s="270">
        <v>253290</v>
      </c>
      <c r="B57" s="270">
        <v>250690</v>
      </c>
      <c r="C57" s="270">
        <v>253440</v>
      </c>
      <c r="D57" s="270">
        <v>251510</v>
      </c>
      <c r="E57">
        <v>2490</v>
      </c>
      <c r="F57" s="137">
        <v>9.9000000000000008E-3</v>
      </c>
      <c r="G57" s="203">
        <v>44378</v>
      </c>
      <c r="H57" t="s">
        <v>6742</v>
      </c>
      <c r="I57" s="40" t="s">
        <v>6717</v>
      </c>
      <c r="L57" s="40" t="str">
        <f t="shared" si="0"/>
        <v>USD,20210701,253290,253440,250690,251510,1,1,1</v>
      </c>
    </row>
    <row r="58" spans="1:12">
      <c r="A58" s="270">
        <v>250020</v>
      </c>
      <c r="B58" s="270">
        <v>249990</v>
      </c>
      <c r="C58" s="270">
        <v>254130</v>
      </c>
      <c r="D58" s="270">
        <v>254000</v>
      </c>
      <c r="E58">
        <v>4350</v>
      </c>
      <c r="F58" s="137">
        <v>1.7399999999999999E-2</v>
      </c>
      <c r="G58" s="203">
        <v>44377</v>
      </c>
      <c r="H58" t="s">
        <v>6743</v>
      </c>
      <c r="I58" s="40" t="s">
        <v>6717</v>
      </c>
      <c r="L58" s="40" t="str">
        <f t="shared" si="0"/>
        <v>USD,20210630,250020,254130,249990,254000,1,1,1</v>
      </c>
    </row>
    <row r="59" spans="1:12">
      <c r="A59" s="270">
        <v>249000</v>
      </c>
      <c r="B59" s="270">
        <v>248890</v>
      </c>
      <c r="C59" s="270">
        <v>252040</v>
      </c>
      <c r="D59" s="270">
        <v>249650</v>
      </c>
      <c r="E59">
        <v>2530</v>
      </c>
      <c r="F59" s="137">
        <v>1.0200000000000001E-2</v>
      </c>
      <c r="G59" s="203">
        <v>44376</v>
      </c>
      <c r="H59" t="s">
        <v>6744</v>
      </c>
      <c r="I59" s="40" t="s">
        <v>6717</v>
      </c>
      <c r="L59" s="40" t="str">
        <f t="shared" si="0"/>
        <v>USD,20210629,249000,252040,248890,249650,1,1,1</v>
      </c>
    </row>
    <row r="60" spans="1:12">
      <c r="A60" s="270">
        <v>246360</v>
      </c>
      <c r="B60" s="270">
        <v>246290</v>
      </c>
      <c r="C60" s="270">
        <v>248640</v>
      </c>
      <c r="D60" s="270">
        <v>247120</v>
      </c>
      <c r="E60">
        <v>350</v>
      </c>
      <c r="F60" s="137">
        <v>1.4E-3</v>
      </c>
      <c r="G60" s="203">
        <v>44375</v>
      </c>
      <c r="H60" t="s">
        <v>6745</v>
      </c>
      <c r="I60" s="40" t="s">
        <v>6717</v>
      </c>
      <c r="L60" s="40" t="str">
        <f t="shared" si="0"/>
        <v>USD,20210628,246360,248640,246290,247120,1,1,1</v>
      </c>
    </row>
    <row r="61" spans="1:12">
      <c r="A61" s="270">
        <v>243490</v>
      </c>
      <c r="B61" s="270">
        <v>243490</v>
      </c>
      <c r="C61" s="270">
        <v>246940</v>
      </c>
      <c r="D61" s="270">
        <v>246770</v>
      </c>
      <c r="E61">
        <v>2230</v>
      </c>
      <c r="F61" s="137">
        <v>9.1000000000000004E-3</v>
      </c>
      <c r="G61" s="203">
        <v>44374</v>
      </c>
      <c r="H61" t="s">
        <v>6746</v>
      </c>
      <c r="I61" s="40" t="s">
        <v>6717</v>
      </c>
      <c r="L61" s="40" t="str">
        <f t="shared" si="0"/>
        <v>USD,20210627,243490,246940,243490,246770,1,1,1</v>
      </c>
    </row>
    <row r="62" spans="1:12">
      <c r="A62" s="270">
        <v>244500</v>
      </c>
      <c r="B62" s="270">
        <v>242290</v>
      </c>
      <c r="C62" s="270">
        <v>245940</v>
      </c>
      <c r="D62" s="270">
        <v>244540</v>
      </c>
      <c r="E62">
        <v>2650</v>
      </c>
      <c r="F62" s="137">
        <v>1.0999999999999999E-2</v>
      </c>
      <c r="G62" s="203">
        <v>44373</v>
      </c>
      <c r="H62" t="s">
        <v>6747</v>
      </c>
      <c r="I62" s="40" t="s">
        <v>6717</v>
      </c>
      <c r="L62" s="40" t="str">
        <f t="shared" si="0"/>
        <v>USD,20210626,244500,245940,242290,244540,1,1,1</v>
      </c>
    </row>
    <row r="63" spans="1:12">
      <c r="A63" s="270">
        <v>241690</v>
      </c>
      <c r="B63" s="270">
        <v>241190</v>
      </c>
      <c r="C63" s="270">
        <v>242440</v>
      </c>
      <c r="D63" s="270">
        <v>241890</v>
      </c>
      <c r="E63">
        <v>100</v>
      </c>
      <c r="F63" s="137">
        <v>4.0000000000000002E-4</v>
      </c>
      <c r="G63" s="203">
        <v>44371</v>
      </c>
      <c r="H63" t="s">
        <v>6748</v>
      </c>
      <c r="I63" s="40" t="s">
        <v>6717</v>
      </c>
      <c r="L63" s="40" t="str">
        <f t="shared" si="0"/>
        <v>USD,20210624,241690,242440,241190,241890,1,1,1</v>
      </c>
    </row>
    <row r="64" spans="1:12">
      <c r="A64" s="270">
        <v>243310</v>
      </c>
      <c r="B64" s="270">
        <v>240790</v>
      </c>
      <c r="C64" s="270">
        <v>243340</v>
      </c>
      <c r="D64" s="270">
        <v>241790</v>
      </c>
      <c r="E64">
        <v>880</v>
      </c>
      <c r="F64" s="137">
        <v>3.5999999999999999E-3</v>
      </c>
      <c r="G64" s="203">
        <v>44370</v>
      </c>
      <c r="H64" t="s">
        <v>6749</v>
      </c>
      <c r="I64" s="40" t="s">
        <v>6717</v>
      </c>
      <c r="L64" s="40" t="str">
        <f t="shared" si="0"/>
        <v>USD,20210623,243310,243340,240790,241790,1,1,1</v>
      </c>
    </row>
    <row r="65" spans="1:12">
      <c r="A65" s="270">
        <v>241190</v>
      </c>
      <c r="B65" s="270">
        <v>241190</v>
      </c>
      <c r="C65" s="270">
        <v>243140</v>
      </c>
      <c r="D65" s="270">
        <v>242670</v>
      </c>
      <c r="E65">
        <v>1680</v>
      </c>
      <c r="F65" s="137">
        <v>7.0000000000000001E-3</v>
      </c>
      <c r="G65" s="203">
        <v>44369</v>
      </c>
      <c r="H65" t="s">
        <v>6750</v>
      </c>
      <c r="I65" s="40" t="s">
        <v>6717</v>
      </c>
      <c r="L65" s="40" t="str">
        <f t="shared" si="0"/>
        <v>USD,20210622,241190,243140,241190,242670,1,1,1</v>
      </c>
    </row>
    <row r="66" spans="1:12">
      <c r="A66" s="270">
        <v>239940</v>
      </c>
      <c r="B66" s="270">
        <v>239190</v>
      </c>
      <c r="C66" s="270">
        <v>241440</v>
      </c>
      <c r="D66" s="270">
        <v>240990</v>
      </c>
      <c r="E66">
        <v>1390</v>
      </c>
      <c r="F66" s="137">
        <v>5.7999999999999996E-3</v>
      </c>
      <c r="G66" s="203">
        <v>44368</v>
      </c>
      <c r="H66" t="s">
        <v>6751</v>
      </c>
      <c r="I66" s="40" t="s">
        <v>6717</v>
      </c>
      <c r="L66" s="40" t="str">
        <f t="shared" si="0"/>
        <v>USD,20210621,239940,241440,239190,240990,1,1,1</v>
      </c>
    </row>
    <row r="67" spans="1:12">
      <c r="A67" s="270">
        <v>234810</v>
      </c>
      <c r="B67" s="270">
        <v>234690</v>
      </c>
      <c r="C67" s="270">
        <v>240440</v>
      </c>
      <c r="D67" s="270">
        <v>239600</v>
      </c>
      <c r="E67">
        <v>4710</v>
      </c>
      <c r="F67" s="137">
        <v>2.01E-2</v>
      </c>
      <c r="G67" s="203">
        <v>44367</v>
      </c>
      <c r="H67" t="s">
        <v>6752</v>
      </c>
      <c r="I67" s="40" t="s">
        <v>6717</v>
      </c>
      <c r="L67" s="40" t="str">
        <f t="shared" si="0"/>
        <v>USD,20210620,234810,240440,234690,239600,1,1,1</v>
      </c>
    </row>
    <row r="68" spans="1:12">
      <c r="A68" s="270">
        <v>244490</v>
      </c>
      <c r="B68" s="270">
        <v>234690</v>
      </c>
      <c r="C68" s="270">
        <v>244640</v>
      </c>
      <c r="D68" s="270">
        <v>234890</v>
      </c>
      <c r="E68">
        <v>9400</v>
      </c>
      <c r="F68" s="417">
        <v>0.04</v>
      </c>
      <c r="G68" s="203">
        <v>44366</v>
      </c>
      <c r="H68" t="s">
        <v>6753</v>
      </c>
      <c r="I68" s="40" t="s">
        <v>6717</v>
      </c>
      <c r="L68" s="40" t="str">
        <f t="shared" si="0"/>
        <v>USD,20210619,244490,244640,234690,234890,1,1,1</v>
      </c>
    </row>
    <row r="69" spans="1:12">
      <c r="A69" s="270">
        <v>242010</v>
      </c>
      <c r="B69" s="270">
        <v>241950</v>
      </c>
      <c r="C69" s="270">
        <v>244640</v>
      </c>
      <c r="D69" s="270">
        <v>244290</v>
      </c>
      <c r="E69">
        <v>2540</v>
      </c>
      <c r="F69" s="137">
        <v>1.0500000000000001E-2</v>
      </c>
      <c r="G69" s="203">
        <v>44364</v>
      </c>
      <c r="H69" t="s">
        <v>6754</v>
      </c>
      <c r="I69" s="40" t="s">
        <v>6717</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6755</v>
      </c>
      <c r="I70" s="40" t="s">
        <v>6717</v>
      </c>
      <c r="L70" s="40" t="str">
        <f t="shared" si="1"/>
        <v>USD,20210616,240470,242250,239450,241750,1,1,1</v>
      </c>
    </row>
    <row r="71" spans="1:12">
      <c r="A71" s="270">
        <v>239970</v>
      </c>
      <c r="B71" s="270">
        <v>239950</v>
      </c>
      <c r="C71" s="270">
        <v>240050</v>
      </c>
      <c r="D71" s="270">
        <v>240490</v>
      </c>
      <c r="E71">
        <v>770</v>
      </c>
      <c r="F71" s="137">
        <v>3.2000000000000002E-3</v>
      </c>
      <c r="G71" s="203">
        <v>44362</v>
      </c>
      <c r="H71" t="s">
        <v>6756</v>
      </c>
      <c r="I71" s="40" t="s">
        <v>6717</v>
      </c>
      <c r="L71" s="40" t="str">
        <f t="shared" si="1"/>
        <v>USD,20210615,239970,240050,239950,240490,1,1,1</v>
      </c>
    </row>
    <row r="72" spans="1:12">
      <c r="A72" s="270">
        <v>240970</v>
      </c>
      <c r="B72" s="270">
        <v>238550</v>
      </c>
      <c r="C72" s="270">
        <v>241050</v>
      </c>
      <c r="D72" s="270">
        <v>239720</v>
      </c>
      <c r="E72">
        <v>1310</v>
      </c>
      <c r="F72" s="137">
        <v>5.4999999999999997E-3</v>
      </c>
      <c r="G72" s="203">
        <v>44361</v>
      </c>
      <c r="H72" t="s">
        <v>6757</v>
      </c>
      <c r="I72" s="40" t="s">
        <v>6717</v>
      </c>
      <c r="L72" s="40" t="str">
        <f t="shared" si="1"/>
        <v>USD,20210614,240970,241050,238550,239720,1,1,1</v>
      </c>
    </row>
    <row r="73" spans="1:12">
      <c r="A73" s="270">
        <v>238970</v>
      </c>
      <c r="B73" s="270">
        <v>238940</v>
      </c>
      <c r="C73" s="270">
        <v>241250</v>
      </c>
      <c r="D73" s="270">
        <v>241030</v>
      </c>
      <c r="E73">
        <v>3280</v>
      </c>
      <c r="F73" s="137">
        <v>1.38E-2</v>
      </c>
      <c r="G73" s="203">
        <v>44360</v>
      </c>
      <c r="H73" t="s">
        <v>6758</v>
      </c>
      <c r="I73" s="40" t="s">
        <v>6717</v>
      </c>
      <c r="L73" s="40" t="str">
        <f t="shared" si="1"/>
        <v>USD,20210613,238970,241250,238940,241030,1,1,1</v>
      </c>
    </row>
    <row r="74" spans="1:12">
      <c r="A74" s="270">
        <v>236830</v>
      </c>
      <c r="B74" s="270">
        <v>236140</v>
      </c>
      <c r="C74" s="270">
        <v>238350</v>
      </c>
      <c r="D74" s="270">
        <v>237750</v>
      </c>
      <c r="E74">
        <v>1480</v>
      </c>
      <c r="F74" s="137">
        <v>6.1999999999999998E-3</v>
      </c>
      <c r="G74" s="203">
        <v>44359</v>
      </c>
      <c r="H74" t="s">
        <v>6759</v>
      </c>
      <c r="I74" s="40" t="s">
        <v>6717</v>
      </c>
      <c r="L74" s="40" t="str">
        <f t="shared" si="1"/>
        <v>USD,20210612,236830,238350,236140,237750,1,1,1</v>
      </c>
    </row>
    <row r="75" spans="1:12">
      <c r="A75" s="270">
        <v>240010</v>
      </c>
      <c r="B75" s="270">
        <v>239140</v>
      </c>
      <c r="C75" s="270">
        <v>240450</v>
      </c>
      <c r="D75" s="270">
        <v>239230</v>
      </c>
      <c r="E75">
        <v>2210</v>
      </c>
      <c r="F75" s="137">
        <v>9.1999999999999998E-3</v>
      </c>
      <c r="G75" s="203">
        <v>44357</v>
      </c>
      <c r="H75" t="s">
        <v>6760</v>
      </c>
      <c r="I75" s="40" t="s">
        <v>6717</v>
      </c>
      <c r="L75" s="40" t="str">
        <f t="shared" si="1"/>
        <v>USD,20210610,240010,240450,239140,239230,1,1,1</v>
      </c>
    </row>
    <row r="76" spans="1:12">
      <c r="A76" s="270">
        <v>235480</v>
      </c>
      <c r="B76" s="270">
        <v>235440</v>
      </c>
      <c r="C76" s="270">
        <v>241550</v>
      </c>
      <c r="D76" s="270">
        <v>241440</v>
      </c>
      <c r="E76">
        <v>5950</v>
      </c>
      <c r="F76" s="137">
        <v>2.53E-2</v>
      </c>
      <c r="G76" s="203">
        <v>44356</v>
      </c>
      <c r="H76" t="s">
        <v>6761</v>
      </c>
      <c r="I76" s="40" t="s">
        <v>6717</v>
      </c>
      <c r="L76" s="40" t="str">
        <f t="shared" si="1"/>
        <v>USD,20210609,235480,241550,235440,241440,1,1,1</v>
      </c>
    </row>
    <row r="77" spans="1:12">
      <c r="A77" s="270">
        <v>235890</v>
      </c>
      <c r="B77" s="270">
        <v>234820</v>
      </c>
      <c r="C77" s="270">
        <v>235960</v>
      </c>
      <c r="D77" s="270">
        <v>235490</v>
      </c>
      <c r="E77">
        <v>460</v>
      </c>
      <c r="F77" s="137">
        <v>2E-3</v>
      </c>
      <c r="G77" s="203">
        <v>44355</v>
      </c>
      <c r="H77" t="s">
        <v>6762</v>
      </c>
      <c r="I77" s="40" t="s">
        <v>6717</v>
      </c>
      <c r="L77" s="40" t="str">
        <f t="shared" si="1"/>
        <v>USD,20210608,235890,235960,234820,235490,1,1,1</v>
      </c>
    </row>
    <row r="78" spans="1:12">
      <c r="A78" s="270">
        <v>234340</v>
      </c>
      <c r="B78" s="270">
        <v>234240</v>
      </c>
      <c r="C78" s="270">
        <v>235960</v>
      </c>
      <c r="D78" s="270">
        <v>235950</v>
      </c>
      <c r="E78">
        <v>1620</v>
      </c>
      <c r="F78" s="137">
        <v>6.8999999999999999E-3</v>
      </c>
      <c r="G78" s="203">
        <v>44354</v>
      </c>
      <c r="H78" t="s">
        <v>6763</v>
      </c>
      <c r="I78" s="40" t="s">
        <v>6717</v>
      </c>
      <c r="L78" s="40" t="str">
        <f t="shared" si="1"/>
        <v>USD,20210607,234340,235960,234240,235950,1,1,1</v>
      </c>
    </row>
    <row r="79" spans="1:12">
      <c r="A79" s="270">
        <v>234330</v>
      </c>
      <c r="B79" s="270">
        <v>233900</v>
      </c>
      <c r="C79" s="270">
        <v>234350</v>
      </c>
      <c r="D79" s="270">
        <v>234330</v>
      </c>
      <c r="E79">
        <v>90</v>
      </c>
      <c r="F79" s="137">
        <v>4.0000000000000002E-4</v>
      </c>
      <c r="G79" s="203">
        <v>44350</v>
      </c>
      <c r="H79" t="s">
        <v>6764</v>
      </c>
      <c r="I79" s="40" t="s">
        <v>6717</v>
      </c>
      <c r="L79" s="40" t="str">
        <f t="shared" si="1"/>
        <v>USD,20210603,234330,234350,233900,234330,1,1,1</v>
      </c>
    </row>
    <row r="80" spans="1:12">
      <c r="A80" s="270">
        <v>234060</v>
      </c>
      <c r="B80" s="270">
        <v>228150</v>
      </c>
      <c r="C80" s="270">
        <v>234360</v>
      </c>
      <c r="D80" s="270">
        <v>234240</v>
      </c>
      <c r="E80">
        <v>80</v>
      </c>
      <c r="F80" s="137">
        <v>2.9999999999999997E-4</v>
      </c>
      <c r="G80" s="203">
        <v>44349</v>
      </c>
      <c r="H80" t="s">
        <v>6765</v>
      </c>
      <c r="I80" s="40" t="s">
        <v>6717</v>
      </c>
      <c r="L80" s="40" t="str">
        <f t="shared" si="1"/>
        <v>USD,20210602,234060,234360,228150,234240,1,1,1</v>
      </c>
    </row>
    <row r="81" spans="1:12">
      <c r="A81" s="270">
        <v>234000</v>
      </c>
      <c r="B81" s="270">
        <v>233970</v>
      </c>
      <c r="C81" s="270">
        <v>238660</v>
      </c>
      <c r="D81" s="270">
        <v>234160</v>
      </c>
      <c r="E81">
        <v>100</v>
      </c>
      <c r="F81" s="137">
        <v>4.0000000000000002E-4</v>
      </c>
      <c r="G81" s="203">
        <v>44348</v>
      </c>
      <c r="H81" t="s">
        <v>6766</v>
      </c>
      <c r="I81" s="40" t="s">
        <v>6717</v>
      </c>
      <c r="L81" s="40" t="str">
        <f t="shared" si="1"/>
        <v>USD,20210601,234000,238660,233970,234160,1,1,1</v>
      </c>
    </row>
    <row r="82" spans="1:12">
      <c r="A82" s="270">
        <v>238590</v>
      </c>
      <c r="B82" s="270">
        <v>232950</v>
      </c>
      <c r="C82" s="270">
        <v>238660</v>
      </c>
      <c r="D82" s="270">
        <v>234060</v>
      </c>
      <c r="E82">
        <v>4510</v>
      </c>
      <c r="F82" s="137">
        <v>1.9300000000000001E-2</v>
      </c>
      <c r="G82" s="203">
        <v>44347</v>
      </c>
      <c r="H82" t="s">
        <v>6767</v>
      </c>
      <c r="I82" s="40" t="s">
        <v>6717</v>
      </c>
      <c r="L82" s="40" t="str">
        <f t="shared" si="1"/>
        <v>USD,20210531,238590,238660,232950,234060,1,1,1</v>
      </c>
    </row>
    <row r="83" spans="1:12">
      <c r="A83" s="270">
        <v>234640</v>
      </c>
      <c r="B83" s="270">
        <v>234550</v>
      </c>
      <c r="C83" s="270">
        <v>238660</v>
      </c>
      <c r="D83" s="270">
        <v>238570</v>
      </c>
      <c r="E83">
        <v>3910</v>
      </c>
      <c r="F83" s="137">
        <v>1.67E-2</v>
      </c>
      <c r="G83" s="203">
        <v>44346</v>
      </c>
      <c r="H83" t="s">
        <v>6768</v>
      </c>
      <c r="I83" s="40" t="s">
        <v>6717</v>
      </c>
      <c r="L83" s="40" t="str">
        <f t="shared" si="1"/>
        <v>USD,20210530,234640,238660,234550,238570,1,1,1</v>
      </c>
    </row>
    <row r="84" spans="1:12">
      <c r="A84" s="270">
        <v>226560</v>
      </c>
      <c r="B84" s="270">
        <v>226460</v>
      </c>
      <c r="C84" s="270">
        <v>234660</v>
      </c>
      <c r="D84" s="270">
        <v>234660</v>
      </c>
      <c r="E84" t="s">
        <v>6711</v>
      </c>
      <c r="F84" t="s">
        <v>6711</v>
      </c>
      <c r="G84" s="203">
        <v>44345</v>
      </c>
      <c r="H84" t="s">
        <v>6769</v>
      </c>
      <c r="I84" s="40" t="s">
        <v>6717</v>
      </c>
      <c r="L84" s="40" t="str">
        <f t="shared" si="1"/>
        <v>USD,20210529,226560,234660,226460,234660,1,1,1</v>
      </c>
    </row>
    <row r="85" spans="1:12">
      <c r="A85" s="270">
        <v>225260</v>
      </c>
      <c r="B85" s="270">
        <v>225170</v>
      </c>
      <c r="C85" s="270">
        <v>231470</v>
      </c>
      <c r="D85" s="270">
        <v>231470</v>
      </c>
      <c r="E85">
        <v>6310</v>
      </c>
      <c r="F85" s="137">
        <v>2.8000000000000001E-2</v>
      </c>
      <c r="G85" s="203">
        <v>44343</v>
      </c>
      <c r="H85" t="s">
        <v>6770</v>
      </c>
      <c r="I85" s="40" t="s">
        <v>6717</v>
      </c>
      <c r="L85" s="40" t="str">
        <f t="shared" si="1"/>
        <v>USD,20210527,225260,231470,225170,231470,1,1,1</v>
      </c>
    </row>
    <row r="86" spans="1:12">
      <c r="A86" s="270">
        <v>224190</v>
      </c>
      <c r="B86" s="270">
        <v>224100</v>
      </c>
      <c r="C86" s="270">
        <v>225270</v>
      </c>
      <c r="D86" s="270">
        <v>225160</v>
      </c>
      <c r="E86">
        <v>1060</v>
      </c>
      <c r="F86" s="137">
        <v>4.7000000000000002E-3</v>
      </c>
      <c r="G86" s="203">
        <v>44342</v>
      </c>
      <c r="H86" t="s">
        <v>6771</v>
      </c>
      <c r="I86" s="40" t="s">
        <v>6717</v>
      </c>
      <c r="L86" s="40" t="str">
        <f t="shared" si="1"/>
        <v>USD,20210526,224190,225270,224100,225160,1,1,1</v>
      </c>
    </row>
    <row r="87" spans="1:12">
      <c r="A87" s="270">
        <v>224120</v>
      </c>
      <c r="B87" s="270">
        <v>223150</v>
      </c>
      <c r="C87" s="270">
        <v>224430</v>
      </c>
      <c r="D87" s="270">
        <v>224100</v>
      </c>
      <c r="E87">
        <v>10</v>
      </c>
      <c r="F87" t="s">
        <v>6711</v>
      </c>
      <c r="G87" s="203">
        <v>44341</v>
      </c>
      <c r="H87" t="s">
        <v>6772</v>
      </c>
      <c r="I87" s="40" t="s">
        <v>6717</v>
      </c>
      <c r="L87" s="40" t="str">
        <f t="shared" si="1"/>
        <v>USD,20210525,224120,224430,223150,224100,1,1,1</v>
      </c>
    </row>
    <row r="88" spans="1:12">
      <c r="A88" s="270">
        <v>223590</v>
      </c>
      <c r="B88" s="270">
        <v>223490</v>
      </c>
      <c r="C88" s="270">
        <v>225110</v>
      </c>
      <c r="D88" s="270">
        <v>224110</v>
      </c>
      <c r="E88">
        <v>600</v>
      </c>
      <c r="F88" s="137">
        <v>2.7000000000000001E-3</v>
      </c>
      <c r="G88" s="203">
        <v>44340</v>
      </c>
      <c r="H88" t="s">
        <v>6773</v>
      </c>
      <c r="I88" s="40" t="s">
        <v>6717</v>
      </c>
      <c r="L88" s="40" t="str">
        <f t="shared" si="1"/>
        <v>USD,20210524,223590,225110,223490,224110,1,1,1</v>
      </c>
    </row>
    <row r="89" spans="1:12">
      <c r="A89" s="270">
        <v>223440</v>
      </c>
      <c r="B89" s="270">
        <v>223390</v>
      </c>
      <c r="C89" s="270">
        <v>223990</v>
      </c>
      <c r="D89" s="270">
        <v>223510</v>
      </c>
      <c r="E89">
        <v>20</v>
      </c>
      <c r="F89" s="137">
        <v>1E-4</v>
      </c>
      <c r="G89" s="203">
        <v>44339</v>
      </c>
      <c r="H89" t="s">
        <v>6774</v>
      </c>
      <c r="I89" s="40" t="s">
        <v>6717</v>
      </c>
      <c r="L89" s="40" t="str">
        <f t="shared" si="1"/>
        <v>USD,20210523,223440,223990,223390,223510,1,1,1</v>
      </c>
    </row>
    <row r="90" spans="1:12">
      <c r="A90" s="270">
        <v>222980</v>
      </c>
      <c r="B90" s="270">
        <v>222930</v>
      </c>
      <c r="C90" s="270">
        <v>223550</v>
      </c>
      <c r="D90" s="270">
        <v>223490</v>
      </c>
      <c r="E90">
        <v>490</v>
      </c>
      <c r="F90" s="137">
        <v>2.2000000000000001E-3</v>
      </c>
      <c r="G90" s="203">
        <v>44338</v>
      </c>
      <c r="H90" t="s">
        <v>6775</v>
      </c>
      <c r="I90" s="40" t="s">
        <v>6717</v>
      </c>
      <c r="L90" s="40" t="str">
        <f t="shared" si="1"/>
        <v>USD,20210522,222980,223550,222930,223490,1,1,1</v>
      </c>
    </row>
    <row r="91" spans="1:12">
      <c r="A91" s="270">
        <v>223990</v>
      </c>
      <c r="B91" s="270">
        <v>222930</v>
      </c>
      <c r="C91" s="270">
        <v>224020</v>
      </c>
      <c r="D91" s="270">
        <v>223000</v>
      </c>
      <c r="E91">
        <v>1210</v>
      </c>
      <c r="F91" s="137">
        <v>5.4999999999999997E-3</v>
      </c>
      <c r="G91" s="203">
        <v>44336</v>
      </c>
      <c r="H91" t="s">
        <v>6776</v>
      </c>
      <c r="I91" s="40" t="s">
        <v>6717</v>
      </c>
      <c r="L91" s="40" t="str">
        <f t="shared" si="1"/>
        <v>USD,20210520,223990,224020,222930,223000,1,1,1</v>
      </c>
    </row>
    <row r="92" spans="1:12">
      <c r="A92" s="270">
        <v>225270</v>
      </c>
      <c r="B92" s="270">
        <v>221720</v>
      </c>
      <c r="C92" s="270">
        <v>225380</v>
      </c>
      <c r="D92" s="270">
        <v>221790</v>
      </c>
      <c r="E92">
        <v>3550</v>
      </c>
      <c r="F92" s="137">
        <v>1.6E-2</v>
      </c>
      <c r="G92" s="203">
        <v>44335</v>
      </c>
      <c r="H92" t="s">
        <v>6777</v>
      </c>
      <c r="I92" s="40" t="s">
        <v>6717</v>
      </c>
      <c r="L92" s="40" t="str">
        <f t="shared" si="1"/>
        <v>USD,20210519,225270,225380,221720,221790,1,1,1</v>
      </c>
    </row>
    <row r="93" spans="1:12">
      <c r="A93" s="270">
        <v>222240</v>
      </c>
      <c r="B93" s="270">
        <v>222140</v>
      </c>
      <c r="C93" s="270">
        <v>225380</v>
      </c>
      <c r="D93" s="270">
        <v>225340</v>
      </c>
      <c r="E93">
        <v>3150</v>
      </c>
      <c r="F93" s="137">
        <v>1.4200000000000001E-2</v>
      </c>
      <c r="G93" s="203">
        <v>44334</v>
      </c>
      <c r="H93" t="s">
        <v>6779</v>
      </c>
      <c r="I93" s="40" t="s">
        <v>6717</v>
      </c>
      <c r="L93" s="40" t="str">
        <f t="shared" si="1"/>
        <v>USD,20210518,222240,225380,222140,225340,1,1,1</v>
      </c>
    </row>
    <row r="94" spans="1:12">
      <c r="A94" s="270">
        <v>224160</v>
      </c>
      <c r="B94" s="270">
        <v>222140</v>
      </c>
      <c r="C94" s="270">
        <v>225270</v>
      </c>
      <c r="D94" s="270">
        <v>222190</v>
      </c>
      <c r="E94">
        <v>1950</v>
      </c>
      <c r="F94" s="137">
        <v>8.8000000000000005E-3</v>
      </c>
      <c r="G94" s="203">
        <v>44333</v>
      </c>
      <c r="H94" t="s">
        <v>6780</v>
      </c>
      <c r="I94" s="40" t="s">
        <v>6717</v>
      </c>
      <c r="L94" s="40" t="str">
        <f t="shared" si="1"/>
        <v>USD,20210517,224160,225270,222140,222190,1,1,1</v>
      </c>
    </row>
    <row r="95" spans="1:12">
      <c r="A95" s="270">
        <v>220520</v>
      </c>
      <c r="B95" s="270">
        <v>220410</v>
      </c>
      <c r="C95" s="270">
        <v>224160</v>
      </c>
      <c r="D95" s="270">
        <v>224140</v>
      </c>
      <c r="E95">
        <v>3640</v>
      </c>
      <c r="F95" s="137">
        <v>1.6500000000000001E-2</v>
      </c>
      <c r="G95" s="203">
        <v>44332</v>
      </c>
      <c r="H95" t="s">
        <v>6781</v>
      </c>
      <c r="I95" s="40" t="s">
        <v>6717</v>
      </c>
      <c r="L95" s="40" t="str">
        <f t="shared" si="1"/>
        <v>USD,20210516,220520,224160,220410,224140,1,1,1</v>
      </c>
    </row>
    <row r="96" spans="1:12">
      <c r="A96" s="270">
        <v>220760</v>
      </c>
      <c r="B96" s="270">
        <v>220410</v>
      </c>
      <c r="C96" s="270">
        <v>221880</v>
      </c>
      <c r="D96" s="270">
        <v>220500</v>
      </c>
      <c r="E96">
        <v>4370</v>
      </c>
      <c r="F96" s="137">
        <v>2.0199999999999999E-2</v>
      </c>
      <c r="G96" s="203">
        <v>44331</v>
      </c>
      <c r="H96" t="s">
        <v>6782</v>
      </c>
      <c r="I96" s="40" t="s">
        <v>6717</v>
      </c>
      <c r="L96" s="40" t="str">
        <f t="shared" si="1"/>
        <v>USD,20210515,220760,221880,220410,220500,1,1,1</v>
      </c>
    </row>
    <row r="97" spans="1:12">
      <c r="A97" s="270">
        <v>219790</v>
      </c>
      <c r="B97" s="270">
        <v>216130</v>
      </c>
      <c r="C97" s="270">
        <v>219860</v>
      </c>
      <c r="D97" s="270">
        <v>216130</v>
      </c>
      <c r="E97">
        <v>3620</v>
      </c>
      <c r="F97" s="137">
        <v>1.67E-2</v>
      </c>
      <c r="G97" s="203">
        <v>44329</v>
      </c>
      <c r="H97" t="s">
        <v>6783</v>
      </c>
      <c r="I97" s="40" t="s">
        <v>6717</v>
      </c>
      <c r="L97" s="40" t="str">
        <f t="shared" si="1"/>
        <v>USD,20210513,219790,219860,216130,216130,1,1,1</v>
      </c>
    </row>
    <row r="98" spans="1:12">
      <c r="A98" s="270">
        <v>221860</v>
      </c>
      <c r="B98" s="270">
        <v>219750</v>
      </c>
      <c r="C98" s="270">
        <v>221950</v>
      </c>
      <c r="D98" s="270">
        <v>219750</v>
      </c>
      <c r="E98">
        <v>2100</v>
      </c>
      <c r="F98" s="137">
        <v>9.5999999999999992E-3</v>
      </c>
      <c r="G98" s="203">
        <v>44328</v>
      </c>
      <c r="H98" t="s">
        <v>6784</v>
      </c>
      <c r="I98" s="40" t="s">
        <v>6717</v>
      </c>
      <c r="L98" s="40" t="str">
        <f t="shared" si="1"/>
        <v>USD,20210512,221860,221950,219750,219750,1,1,1</v>
      </c>
    </row>
    <row r="99" spans="1:12">
      <c r="A99" s="270">
        <v>216080</v>
      </c>
      <c r="B99" s="270">
        <v>216080</v>
      </c>
      <c r="C99" s="270">
        <v>223410</v>
      </c>
      <c r="D99" s="270">
        <v>221850</v>
      </c>
      <c r="E99">
        <v>5720</v>
      </c>
      <c r="F99" s="137">
        <v>2.6499999999999999E-2</v>
      </c>
      <c r="G99" s="203">
        <v>44327</v>
      </c>
      <c r="H99" t="s">
        <v>6785</v>
      </c>
      <c r="I99" s="40" t="s">
        <v>6717</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6786</v>
      </c>
      <c r="I100" s="40" t="s">
        <v>6717</v>
      </c>
      <c r="L100" s="40" t="str">
        <f t="shared" si="1"/>
        <v>USD,20210510,207240,217040,207190,216130,1,1,1</v>
      </c>
    </row>
    <row r="101" spans="1:12">
      <c r="A101" s="270">
        <v>206450</v>
      </c>
      <c r="B101" s="270">
        <v>206370</v>
      </c>
      <c r="C101" s="270">
        <v>207300</v>
      </c>
      <c r="D101" s="270">
        <v>207260</v>
      </c>
      <c r="E101">
        <v>890</v>
      </c>
      <c r="F101" s="137">
        <v>4.3E-3</v>
      </c>
      <c r="G101" s="203">
        <v>44325</v>
      </c>
      <c r="H101" t="s">
        <v>6787</v>
      </c>
      <c r="I101" s="40" t="s">
        <v>6717</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6788</v>
      </c>
      <c r="I102" s="40" t="s">
        <v>6717</v>
      </c>
      <c r="L102" s="40" t="str">
        <f t="shared" si="1"/>
        <v>USD,20210508,206390,206480,206370,206370,1,1,1</v>
      </c>
    </row>
    <row r="103" spans="1:12">
      <c r="A103" s="270">
        <v>206440</v>
      </c>
      <c r="B103" s="270">
        <v>206370</v>
      </c>
      <c r="C103" s="270">
        <v>206480</v>
      </c>
      <c r="D103" s="270">
        <v>206480</v>
      </c>
      <c r="E103">
        <v>2970</v>
      </c>
      <c r="F103" s="137">
        <v>1.44E-2</v>
      </c>
      <c r="G103" s="203">
        <v>44322</v>
      </c>
      <c r="H103" t="s">
        <v>6789</v>
      </c>
      <c r="I103" s="40" t="s">
        <v>6717</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6790</v>
      </c>
      <c r="I104" s="40" t="s">
        <v>6717</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6791</v>
      </c>
      <c r="I105" s="40" t="s">
        <v>6717</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6792</v>
      </c>
      <c r="I106" s="40" t="s">
        <v>6717</v>
      </c>
      <c r="L106" s="40" t="str">
        <f t="shared" si="1"/>
        <v>USD,20210502,229110,229130,218380,218380,1,1,1</v>
      </c>
    </row>
    <row r="107" spans="1:12">
      <c r="A107" s="270">
        <v>232340</v>
      </c>
      <c r="B107" s="270">
        <v>229020</v>
      </c>
      <c r="C107" s="270">
        <v>232420</v>
      </c>
      <c r="D107" s="270">
        <v>229100</v>
      </c>
      <c r="E107">
        <v>3210</v>
      </c>
      <c r="F107" s="137">
        <v>1.4E-2</v>
      </c>
      <c r="G107" s="203">
        <v>44317</v>
      </c>
      <c r="H107" t="s">
        <v>6793</v>
      </c>
      <c r="I107" s="40" t="s">
        <v>6717</v>
      </c>
      <c r="L107" s="40" t="str">
        <f t="shared" si="1"/>
        <v>USD,20210501,232340,232420,229020,229100,1,1,1</v>
      </c>
    </row>
    <row r="108" spans="1:12">
      <c r="A108" s="270">
        <v>232410</v>
      </c>
      <c r="B108" s="270">
        <v>232310</v>
      </c>
      <c r="C108" s="270">
        <v>232420</v>
      </c>
      <c r="D108" s="270">
        <v>232310</v>
      </c>
      <c r="E108">
        <v>20</v>
      </c>
      <c r="F108" s="137">
        <v>1E-4</v>
      </c>
      <c r="G108" s="203">
        <v>44315</v>
      </c>
      <c r="H108" t="s">
        <v>6794</v>
      </c>
      <c r="I108" s="40" t="s">
        <v>6717</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6795</v>
      </c>
      <c r="I109" s="40" t="s">
        <v>6717</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6796</v>
      </c>
      <c r="I110" s="40" t="s">
        <v>6717</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6797</v>
      </c>
      <c r="I111" s="40" t="s">
        <v>6717</v>
      </c>
      <c r="L111" s="40" t="str">
        <f t="shared" si="1"/>
        <v>USD,20210426,233380,233390,232750,232760,1,1,1</v>
      </c>
    </row>
    <row r="112" spans="1:12">
      <c r="A112" s="270">
        <v>233280</v>
      </c>
      <c r="B112" s="270">
        <v>233280</v>
      </c>
      <c r="C112" s="270">
        <v>233390</v>
      </c>
      <c r="D112" s="270">
        <v>233390</v>
      </c>
      <c r="E112">
        <v>20</v>
      </c>
      <c r="F112" s="137">
        <v>1E-4</v>
      </c>
      <c r="G112" s="203">
        <v>44311</v>
      </c>
      <c r="H112" t="s">
        <v>6798</v>
      </c>
      <c r="I112" s="40" t="s">
        <v>6717</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6799</v>
      </c>
      <c r="I113" s="40" t="s">
        <v>6717</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6778</v>
      </c>
      <c r="I114" s="40" t="s">
        <v>6717</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6800</v>
      </c>
      <c r="I115" s="40" t="s">
        <v>6717</v>
      </c>
      <c r="L115" s="40" t="str">
        <f t="shared" si="1"/>
        <v>USD,20210421,233650,233750,233640,233690,1,1,1</v>
      </c>
    </row>
    <row r="116" spans="1:12">
      <c r="A116" s="270">
        <v>238190</v>
      </c>
      <c r="B116" s="270">
        <v>233640</v>
      </c>
      <c r="C116" s="270">
        <v>238280</v>
      </c>
      <c r="D116" s="270">
        <v>233740</v>
      </c>
      <c r="E116">
        <v>4430</v>
      </c>
      <c r="F116" s="137">
        <v>1.9E-2</v>
      </c>
      <c r="G116" s="203">
        <v>44306</v>
      </c>
      <c r="H116" t="s">
        <v>6801</v>
      </c>
      <c r="I116" s="40" t="s">
        <v>6717</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6802</v>
      </c>
      <c r="I117" s="40" t="s">
        <v>6717</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6803</v>
      </c>
      <c r="I118" s="40" t="s">
        <v>6717</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6804</v>
      </c>
      <c r="I119" s="40" t="s">
        <v>6717</v>
      </c>
      <c r="L119" s="40" t="str">
        <f t="shared" si="1"/>
        <v>USD,20210417,239930,240000,239860,239930,1,1,1</v>
      </c>
    </row>
    <row r="120" spans="1:12">
      <c r="A120" s="270">
        <v>240920</v>
      </c>
      <c r="B120" s="270">
        <v>239860</v>
      </c>
      <c r="C120" s="270">
        <v>241010</v>
      </c>
      <c r="D120" s="270">
        <v>239870</v>
      </c>
      <c r="E120">
        <v>2480</v>
      </c>
      <c r="F120" s="137">
        <v>1.03E-2</v>
      </c>
      <c r="G120" s="203">
        <v>44301</v>
      </c>
      <c r="H120" t="s">
        <v>6805</v>
      </c>
      <c r="I120" s="40" t="s">
        <v>6717</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6806</v>
      </c>
      <c r="I121" s="40" t="s">
        <v>6717</v>
      </c>
      <c r="L121" s="40" t="str">
        <f t="shared" si="1"/>
        <v>USD,20210414,240800,242390,240790,242350,1,1,1</v>
      </c>
    </row>
    <row r="122" spans="1:12">
      <c r="A122" s="270">
        <v>243020</v>
      </c>
      <c r="B122" s="270">
        <v>240790</v>
      </c>
      <c r="C122" s="270">
        <v>243060</v>
      </c>
      <c r="D122" s="270">
        <v>240900</v>
      </c>
      <c r="E122">
        <v>2060</v>
      </c>
      <c r="F122" s="137">
        <v>8.6E-3</v>
      </c>
      <c r="G122" s="203">
        <v>44299</v>
      </c>
      <c r="H122" t="s">
        <v>6807</v>
      </c>
      <c r="I122" s="40" t="s">
        <v>6717</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6808</v>
      </c>
      <c r="I123" s="40" t="s">
        <v>6717</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6809</v>
      </c>
      <c r="I124" s="40" t="s">
        <v>6717</v>
      </c>
      <c r="L124" s="40" t="str">
        <f t="shared" si="1"/>
        <v>USD,20210411,241950,243930,241860,242850,1,1,1</v>
      </c>
    </row>
    <row r="125" spans="1:12">
      <c r="A125" s="270">
        <v>242890</v>
      </c>
      <c r="B125" s="270">
        <v>241860</v>
      </c>
      <c r="C125" s="270">
        <v>243570</v>
      </c>
      <c r="D125" s="270">
        <v>241880</v>
      </c>
      <c r="E125">
        <v>2780</v>
      </c>
      <c r="F125" s="137">
        <v>1.15E-2</v>
      </c>
      <c r="G125" s="203">
        <v>44296</v>
      </c>
      <c r="H125" t="s">
        <v>6810</v>
      </c>
      <c r="I125" s="40" t="s">
        <v>6717</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6811</v>
      </c>
      <c r="I126" s="40" t="s">
        <v>6717</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6812</v>
      </c>
      <c r="I127" s="40" t="s">
        <v>6717</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6813</v>
      </c>
      <c r="I128" s="40" t="s">
        <v>6717</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6814</v>
      </c>
      <c r="I129" s="40" t="s">
        <v>6717</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6815</v>
      </c>
      <c r="I130" s="40" t="s">
        <v>6717</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6816</v>
      </c>
      <c r="I131" s="40" t="s">
        <v>6717</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6817</v>
      </c>
      <c r="I132" s="40" t="s">
        <v>6717</v>
      </c>
      <c r="L132" s="40" t="str">
        <f t="shared" si="1"/>
        <v>USD,20210401,252040,252100,251990,252100,1,1,1</v>
      </c>
    </row>
    <row r="133" spans="1:12">
      <c r="A133" s="270">
        <v>252550</v>
      </c>
      <c r="B133" s="270">
        <v>251990</v>
      </c>
      <c r="C133" s="270">
        <v>252550</v>
      </c>
      <c r="D133" s="270">
        <v>252040</v>
      </c>
      <c r="E133">
        <v>500</v>
      </c>
      <c r="F133" s="137">
        <v>2E-3</v>
      </c>
      <c r="G133" s="203">
        <v>44286</v>
      </c>
      <c r="H133" t="s">
        <v>6818</v>
      </c>
      <c r="I133" s="40" t="s">
        <v>6717</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6819</v>
      </c>
      <c r="I134" s="40" t="s">
        <v>6717</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6820</v>
      </c>
      <c r="I135" s="40" t="s">
        <v>6717</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6821</v>
      </c>
      <c r="I136" s="40" t="s">
        <v>6717</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6822</v>
      </c>
      <c r="I137" s="40" t="s">
        <v>6717</v>
      </c>
      <c r="L137" s="40" t="str">
        <f t="shared" si="2"/>
        <v>USD,20210318,240410,240430,239550,239630,1,1,1</v>
      </c>
    </row>
    <row r="138" spans="1:12">
      <c r="A138" s="270">
        <v>240920</v>
      </c>
      <c r="B138" s="270">
        <v>240320</v>
      </c>
      <c r="C138" s="270">
        <v>240950</v>
      </c>
      <c r="D138" s="270">
        <v>240400</v>
      </c>
      <c r="E138">
        <v>490</v>
      </c>
      <c r="F138" s="137">
        <v>2E-3</v>
      </c>
      <c r="G138" s="203">
        <v>44272</v>
      </c>
      <c r="H138" t="s">
        <v>6823</v>
      </c>
      <c r="I138" s="40" t="s">
        <v>6717</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6372</v>
      </c>
      <c r="I139" s="40" t="s">
        <v>6717</v>
      </c>
      <c r="L139" s="40" t="str">
        <f t="shared" si="2"/>
        <v>USD,20210316,239200,241380,239100,240890,1,1,1</v>
      </c>
    </row>
    <row r="140" spans="1:12">
      <c r="A140" s="270">
        <v>239200</v>
      </c>
      <c r="B140" s="270">
        <v>239100</v>
      </c>
      <c r="C140" s="270">
        <v>239210</v>
      </c>
      <c r="D140" s="270">
        <v>239170</v>
      </c>
      <c r="E140" t="s">
        <v>6711</v>
      </c>
      <c r="F140" t="s">
        <v>6711</v>
      </c>
      <c r="G140" s="203">
        <v>44270</v>
      </c>
      <c r="H140" t="s">
        <v>6383</v>
      </c>
      <c r="I140" s="40" t="s">
        <v>6717</v>
      </c>
      <c r="L140" s="40" t="str">
        <f t="shared" si="2"/>
        <v>USD,20210315,239200,239210,239100,239170,1,1,1</v>
      </c>
    </row>
    <row r="141" spans="1:12">
      <c r="A141" s="270">
        <v>241810</v>
      </c>
      <c r="B141" s="270">
        <v>239100</v>
      </c>
      <c r="C141" s="270">
        <v>241880</v>
      </c>
      <c r="D141" s="270">
        <v>239170</v>
      </c>
      <c r="E141">
        <v>2600</v>
      </c>
      <c r="F141" s="137">
        <v>1.09E-2</v>
      </c>
      <c r="G141" s="203">
        <v>44269</v>
      </c>
      <c r="H141" t="s">
        <v>6824</v>
      </c>
      <c r="I141" s="40" t="s">
        <v>6717</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6825</v>
      </c>
      <c r="I142" s="40" t="s">
        <v>6717</v>
      </c>
      <c r="L142" s="40" t="str">
        <f t="shared" si="2"/>
        <v>USD,20210313,242400,243850,241770,241770,1,1,1</v>
      </c>
    </row>
    <row r="143" spans="1:12">
      <c r="A143" s="270">
        <v>242100</v>
      </c>
      <c r="B143" s="270">
        <v>241240</v>
      </c>
      <c r="C143" s="270">
        <v>242710</v>
      </c>
      <c r="D143" s="270">
        <v>242420</v>
      </c>
      <c r="E143">
        <v>350</v>
      </c>
      <c r="F143" s="137">
        <v>1.4E-3</v>
      </c>
      <c r="G143" s="203">
        <v>44265</v>
      </c>
      <c r="H143" t="s">
        <v>6378</v>
      </c>
      <c r="I143" s="40" t="s">
        <v>6717</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6552</v>
      </c>
      <c r="I144" s="40" t="s">
        <v>6717</v>
      </c>
      <c r="L144" s="40" t="str">
        <f t="shared" si="2"/>
        <v>USD,20210309,243240,244280,241050,242070,1,1,1</v>
      </c>
    </row>
    <row r="145" spans="1:12">
      <c r="A145" s="270">
        <v>239960</v>
      </c>
      <c r="B145" s="270">
        <v>239850</v>
      </c>
      <c r="C145" s="270">
        <v>244610</v>
      </c>
      <c r="D145" s="270">
        <v>243210</v>
      </c>
      <c r="E145">
        <v>3310</v>
      </c>
      <c r="F145" s="137">
        <v>1.38E-2</v>
      </c>
      <c r="G145" s="203">
        <v>44263</v>
      </c>
      <c r="H145" t="s">
        <v>6826</v>
      </c>
      <c r="I145" s="40" t="s">
        <v>6717</v>
      </c>
      <c r="L145" s="40" t="str">
        <f t="shared" si="2"/>
        <v>USD,20210308,239960,244610,239850,243210,1,1,1</v>
      </c>
    </row>
    <row r="146" spans="1:12">
      <c r="A146" s="270">
        <v>242800</v>
      </c>
      <c r="B146" s="270">
        <v>239850</v>
      </c>
      <c r="C146" s="270">
        <v>242810</v>
      </c>
      <c r="D146" s="270">
        <v>239900</v>
      </c>
      <c r="E146">
        <v>2810</v>
      </c>
      <c r="F146" s="137">
        <v>1.17E-2</v>
      </c>
      <c r="G146" s="203">
        <v>44262</v>
      </c>
      <c r="H146" t="s">
        <v>6827</v>
      </c>
      <c r="I146" s="40" t="s">
        <v>6717</v>
      </c>
      <c r="L146" s="40" t="str">
        <f t="shared" si="2"/>
        <v>USD,20210307,242800,242810,239850,239900,1,1,1</v>
      </c>
    </row>
    <row r="147" spans="1:12">
      <c r="A147" s="270">
        <v>246580</v>
      </c>
      <c r="B147" s="270">
        <v>242700</v>
      </c>
      <c r="C147" s="270">
        <v>246770</v>
      </c>
      <c r="D147" s="270">
        <v>242710</v>
      </c>
      <c r="E147">
        <v>3900</v>
      </c>
      <c r="F147" s="137">
        <v>1.61E-2</v>
      </c>
      <c r="G147" s="203">
        <v>44261</v>
      </c>
      <c r="H147" t="s">
        <v>6828</v>
      </c>
      <c r="I147" s="40" t="s">
        <v>6717</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6829</v>
      </c>
      <c r="I148" s="40" t="s">
        <v>6717</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6830</v>
      </c>
      <c r="I149" s="40" t="s">
        <v>6717</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6831</v>
      </c>
      <c r="I150" s="40" t="s">
        <v>6717</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6832</v>
      </c>
      <c r="I151" s="40" t="s">
        <v>6717</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6833</v>
      </c>
      <c r="I152" s="40" t="s">
        <v>6717</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6834</v>
      </c>
      <c r="I153" s="40" t="s">
        <v>6717</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6835</v>
      </c>
      <c r="I154" s="40" t="s">
        <v>6717</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6836</v>
      </c>
      <c r="I155" s="40" t="s">
        <v>6717</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6837</v>
      </c>
      <c r="I156" s="40" t="s">
        <v>6717</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6838</v>
      </c>
      <c r="I157" s="40" t="s">
        <v>6717</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6839</v>
      </c>
      <c r="I158" s="40" t="s">
        <v>6717</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6840</v>
      </c>
      <c r="I159" s="40" t="s">
        <v>6717</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6841</v>
      </c>
      <c r="I160" s="40" t="s">
        <v>6717</v>
      </c>
      <c r="L160" s="40" t="str">
        <f t="shared" si="2"/>
        <v>USD,20210217,249780,251850,249740,251750,1,1,1</v>
      </c>
    </row>
    <row r="161" spans="1:12">
      <c r="A161" s="270">
        <v>249820</v>
      </c>
      <c r="B161" s="270">
        <v>249740</v>
      </c>
      <c r="C161" s="270">
        <v>249850</v>
      </c>
      <c r="D161" s="270">
        <v>249740</v>
      </c>
      <c r="E161" t="s">
        <v>6711</v>
      </c>
      <c r="F161" t="s">
        <v>6711</v>
      </c>
      <c r="G161" s="203">
        <v>44243</v>
      </c>
      <c r="H161" t="s">
        <v>6842</v>
      </c>
      <c r="I161" s="40" t="s">
        <v>6717</v>
      </c>
      <c r="L161" s="40" t="str">
        <f t="shared" si="2"/>
        <v>USD,20210216,249820,249850,249740,249740,1,1,1</v>
      </c>
    </row>
    <row r="162" spans="1:12">
      <c r="A162" s="270">
        <v>249780</v>
      </c>
      <c r="B162" s="270">
        <v>249740</v>
      </c>
      <c r="C162" s="270">
        <v>249850</v>
      </c>
      <c r="D162" s="270">
        <v>249740</v>
      </c>
      <c r="E162">
        <v>30</v>
      </c>
      <c r="F162" s="137">
        <v>1E-4</v>
      </c>
      <c r="G162" s="203">
        <v>44242</v>
      </c>
      <c r="H162" t="s">
        <v>6843</v>
      </c>
      <c r="I162" s="40" t="s">
        <v>6717</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6844</v>
      </c>
      <c r="I163" s="40" t="s">
        <v>6717</v>
      </c>
      <c r="L163" s="40" t="str">
        <f t="shared" si="2"/>
        <v>USD,20210214,249830,249850,249740,249770,1,1,1</v>
      </c>
    </row>
    <row r="164" spans="1:12">
      <c r="A164" s="270">
        <v>247040</v>
      </c>
      <c r="B164" s="270">
        <v>246940</v>
      </c>
      <c r="C164" s="270">
        <v>249850</v>
      </c>
      <c r="D164" s="270">
        <v>249810</v>
      </c>
      <c r="E164">
        <v>2850</v>
      </c>
      <c r="F164" s="137">
        <v>1.15E-2</v>
      </c>
      <c r="G164" s="203">
        <v>44240</v>
      </c>
      <c r="H164" t="s">
        <v>6845</v>
      </c>
      <c r="I164" s="40" t="s">
        <v>6717</v>
      </c>
      <c r="L164" s="40" t="str">
        <f t="shared" si="2"/>
        <v>USD,20210213,247040,249850,246940,249810,1,1,1</v>
      </c>
    </row>
    <row r="165" spans="1:12">
      <c r="A165" s="270">
        <v>245960</v>
      </c>
      <c r="B165" s="270">
        <v>245940</v>
      </c>
      <c r="C165" s="270">
        <v>247050</v>
      </c>
      <c r="D165" s="270">
        <v>246960</v>
      </c>
      <c r="E165">
        <v>5930</v>
      </c>
      <c r="F165" s="137">
        <v>2.46E-2</v>
      </c>
      <c r="G165" s="203">
        <v>44238</v>
      </c>
      <c r="H165" t="s">
        <v>6846</v>
      </c>
      <c r="I165" s="40" t="s">
        <v>6717</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6847</v>
      </c>
      <c r="I166" s="40" t="s">
        <v>6717</v>
      </c>
      <c r="L166" s="40" t="str">
        <f t="shared" si="2"/>
        <v>USD,20210209,238970,241050,238940,241030,1,1,1</v>
      </c>
    </row>
    <row r="167" spans="1:12">
      <c r="A167" s="270">
        <v>237050</v>
      </c>
      <c r="B167" s="270">
        <v>236940</v>
      </c>
      <c r="C167" s="270">
        <v>237050</v>
      </c>
      <c r="D167" s="270">
        <v>236940</v>
      </c>
      <c r="E167">
        <v>20</v>
      </c>
      <c r="F167" s="137">
        <v>1E-4</v>
      </c>
      <c r="G167" s="203">
        <v>44235</v>
      </c>
      <c r="H167" t="s">
        <v>6848</v>
      </c>
      <c r="I167" s="40" t="s">
        <v>6717</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6849</v>
      </c>
      <c r="I168" s="40" t="s">
        <v>6717</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6850</v>
      </c>
      <c r="I169" s="40" t="s">
        <v>6717</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6851</v>
      </c>
      <c r="I170" s="40" t="s">
        <v>6717</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6852</v>
      </c>
      <c r="I171" s="40" t="s">
        <v>6717</v>
      </c>
      <c r="L171" s="40" t="str">
        <f t="shared" si="2"/>
        <v>USD,20210203,238680,238750,237640,237660,1,1,1</v>
      </c>
    </row>
    <row r="172" spans="1:12">
      <c r="A172" s="270">
        <v>238650</v>
      </c>
      <c r="B172" s="270">
        <v>238640</v>
      </c>
      <c r="C172" s="270">
        <v>238750</v>
      </c>
      <c r="D172" s="270">
        <v>238710</v>
      </c>
      <c r="E172">
        <v>10</v>
      </c>
      <c r="F172" t="s">
        <v>6711</v>
      </c>
      <c r="G172" s="203">
        <v>44229</v>
      </c>
      <c r="H172" t="s">
        <v>6853</v>
      </c>
      <c r="I172" s="40" t="s">
        <v>6717</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6854</v>
      </c>
      <c r="I173" s="40" t="s">
        <v>6717</v>
      </c>
      <c r="L173" s="40" t="str">
        <f t="shared" si="2"/>
        <v>USD,20210201,239170,239170,238640,238720,1,1,1</v>
      </c>
    </row>
    <row r="174" spans="1:12">
      <c r="A174" s="270">
        <v>237180</v>
      </c>
      <c r="B174" s="270">
        <v>237140</v>
      </c>
      <c r="C174" s="270">
        <v>239250</v>
      </c>
      <c r="D174" s="270">
        <v>239210</v>
      </c>
      <c r="E174">
        <v>2040</v>
      </c>
      <c r="F174" s="137">
        <v>8.6E-3</v>
      </c>
      <c r="G174" s="203">
        <v>44227</v>
      </c>
      <c r="H174" t="s">
        <v>6855</v>
      </c>
      <c r="I174" s="40" t="s">
        <v>6717</v>
      </c>
      <c r="L174" s="40" t="str">
        <f t="shared" si="2"/>
        <v>USD,20210131,237180,239250,237140,239210,1,1,1</v>
      </c>
    </row>
    <row r="175" spans="1:12">
      <c r="A175" s="270">
        <v>232050</v>
      </c>
      <c r="B175" s="270">
        <v>232040</v>
      </c>
      <c r="C175" s="270">
        <v>237250</v>
      </c>
      <c r="D175" s="270">
        <v>237170</v>
      </c>
      <c r="E175">
        <v>5060</v>
      </c>
      <c r="F175" s="137">
        <v>2.18E-2</v>
      </c>
      <c r="G175" s="203">
        <v>44226</v>
      </c>
      <c r="H175" t="s">
        <v>6856</v>
      </c>
      <c r="I175" s="40" t="s">
        <v>6717</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6857</v>
      </c>
      <c r="I176" s="40" t="s">
        <v>6717</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6858</v>
      </c>
      <c r="I177" s="40" t="s">
        <v>6717</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6859</v>
      </c>
      <c r="I178" s="40" t="s">
        <v>6717</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6860</v>
      </c>
      <c r="I179" s="40" t="s">
        <v>6717</v>
      </c>
      <c r="L179" s="40" t="str">
        <f t="shared" si="2"/>
        <v>USD,20210125,224250,229750,224240,229660,1,1,1</v>
      </c>
    </row>
    <row r="180" spans="1:12">
      <c r="A180" s="270">
        <v>224340</v>
      </c>
      <c r="B180" s="270">
        <v>224240</v>
      </c>
      <c r="C180" s="270">
        <v>224350</v>
      </c>
      <c r="D180" s="270">
        <v>224340</v>
      </c>
      <c r="E180">
        <v>20</v>
      </c>
      <c r="F180" s="137">
        <v>1E-4</v>
      </c>
      <c r="G180" s="203">
        <v>44220</v>
      </c>
      <c r="H180" t="s">
        <v>6861</v>
      </c>
      <c r="I180" s="40" t="s">
        <v>6717</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6862</v>
      </c>
      <c r="I181" s="40" t="s">
        <v>6717</v>
      </c>
      <c r="L181" s="40" t="str">
        <f t="shared" si="2"/>
        <v>USD,20210123,226530,226530,224240,224320,1,1,1</v>
      </c>
    </row>
    <row r="182" spans="1:12">
      <c r="A182" s="270">
        <v>226510</v>
      </c>
      <c r="B182" s="270">
        <v>226440</v>
      </c>
      <c r="C182" s="270">
        <v>226550</v>
      </c>
      <c r="D182" s="270">
        <v>226550</v>
      </c>
      <c r="E182">
        <v>970</v>
      </c>
      <c r="F182" s="137">
        <v>4.3E-3</v>
      </c>
      <c r="G182" s="203">
        <v>44217</v>
      </c>
      <c r="H182" t="s">
        <v>6863</v>
      </c>
      <c r="I182" s="40" t="s">
        <v>6717</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6864</v>
      </c>
      <c r="I183" s="40" t="s">
        <v>6717</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6865</v>
      </c>
      <c r="I184" s="40" t="s">
        <v>6717</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6866</v>
      </c>
      <c r="I185" s="40" t="s">
        <v>6717</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6867</v>
      </c>
      <c r="I186" s="40" t="s">
        <v>6717</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6868</v>
      </c>
      <c r="I187" s="40" t="s">
        <v>6717</v>
      </c>
      <c r="L187" s="40" t="str">
        <f t="shared" si="2"/>
        <v>USD,20210114,242870,242950,239440,239530,1,1,1</v>
      </c>
    </row>
    <row r="188" spans="1:12">
      <c r="A188" s="270">
        <v>248520</v>
      </c>
      <c r="B188" s="270">
        <v>244940</v>
      </c>
      <c r="C188" s="270">
        <v>248550</v>
      </c>
      <c r="D188" s="270">
        <v>244980</v>
      </c>
      <c r="E188">
        <v>3460</v>
      </c>
      <c r="F188" s="137">
        <v>1.41E-2</v>
      </c>
      <c r="G188" s="203">
        <v>44209</v>
      </c>
      <c r="H188" t="s">
        <v>6869</v>
      </c>
      <c r="I188" s="40" t="s">
        <v>6717</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6870</v>
      </c>
      <c r="I189" s="40" t="s">
        <v>6717</v>
      </c>
      <c r="L189" s="40" t="str">
        <f t="shared" si="2"/>
        <v>USD,20210112,248540,248550,248440,248440,1,1,1</v>
      </c>
    </row>
    <row r="190" spans="1:12">
      <c r="A190" s="270">
        <v>248450</v>
      </c>
      <c r="B190" s="270">
        <v>248440</v>
      </c>
      <c r="C190" s="270">
        <v>249550</v>
      </c>
      <c r="D190" s="270">
        <v>248490</v>
      </c>
      <c r="E190">
        <v>30</v>
      </c>
      <c r="F190" s="137">
        <v>1E-4</v>
      </c>
      <c r="G190" s="203">
        <v>44207</v>
      </c>
      <c r="H190" t="s">
        <v>6871</v>
      </c>
      <c r="I190" s="40" t="s">
        <v>6717</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6872</v>
      </c>
      <c r="I191" s="40" t="s">
        <v>6717</v>
      </c>
      <c r="L191" s="40" t="str">
        <f t="shared" si="2"/>
        <v>USD,20210110,248690,248690,245840,248520,1,1,1</v>
      </c>
    </row>
    <row r="192" spans="1:12">
      <c r="A192" s="270">
        <v>255550</v>
      </c>
      <c r="B192" s="270">
        <v>248640</v>
      </c>
      <c r="C192" s="270">
        <v>255550</v>
      </c>
      <c r="D192" s="270">
        <v>248660</v>
      </c>
      <c r="E192">
        <v>6850</v>
      </c>
      <c r="F192" s="137">
        <v>2.75E-2</v>
      </c>
      <c r="G192" s="203">
        <v>44205</v>
      </c>
      <c r="H192" t="s">
        <v>6873</v>
      </c>
      <c r="I192" s="40" t="s">
        <v>6717</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6874</v>
      </c>
      <c r="I193" s="40" t="s">
        <v>6717</v>
      </c>
      <c r="L193" s="40" t="str">
        <f t="shared" si="2"/>
        <v>USD,20210107,257530,257550,255440,255510,1,1,1</v>
      </c>
    </row>
    <row r="194" spans="1:12">
      <c r="A194" s="270">
        <v>259030</v>
      </c>
      <c r="B194" s="270">
        <v>258440</v>
      </c>
      <c r="C194" s="270">
        <v>259050</v>
      </c>
      <c r="D194" s="270">
        <v>258540</v>
      </c>
      <c r="E194">
        <v>480</v>
      </c>
      <c r="F194" s="137">
        <v>1.9E-3</v>
      </c>
      <c r="G194" s="203">
        <v>44202</v>
      </c>
      <c r="H194" t="s">
        <v>6875</v>
      </c>
      <c r="I194" s="40" t="s">
        <v>6717</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6876</v>
      </c>
      <c r="I195" s="40" t="s">
        <v>6717</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6554</v>
      </c>
      <c r="I196" s="40" t="s">
        <v>6717</v>
      </c>
      <c r="L196" s="40" t="str">
        <f t="shared" si="2"/>
        <v>USD,20210104,255650,257750,255640,257640,1,1,1</v>
      </c>
    </row>
    <row r="197" spans="1:12">
      <c r="A197" s="270">
        <v>256160</v>
      </c>
      <c r="B197" s="270">
        <v>255640</v>
      </c>
      <c r="C197" s="270">
        <v>256250</v>
      </c>
      <c r="D197" s="270">
        <v>255670</v>
      </c>
      <c r="E197">
        <v>520</v>
      </c>
      <c r="F197" s="137">
        <v>2E-3</v>
      </c>
      <c r="G197" s="203">
        <v>44199</v>
      </c>
      <c r="H197" t="s">
        <v>6877</v>
      </c>
      <c r="I197" s="40" t="s">
        <v>6717</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6878</v>
      </c>
      <c r="I198" s="40" t="s">
        <v>6717</v>
      </c>
      <c r="L198" s="40" t="str">
        <f t="shared" si="3"/>
        <v>USD,20210102,256990,257050,256140,256190,1,1,1</v>
      </c>
    </row>
    <row r="199" spans="1:12">
      <c r="A199" s="270">
        <v>257020</v>
      </c>
      <c r="B199" s="270">
        <v>256940</v>
      </c>
      <c r="C199" s="270">
        <v>257050</v>
      </c>
      <c r="D199" s="270">
        <v>257010</v>
      </c>
      <c r="E199">
        <v>30</v>
      </c>
      <c r="F199" s="137">
        <v>1E-4</v>
      </c>
      <c r="G199" s="203">
        <v>44196</v>
      </c>
      <c r="H199" t="s">
        <v>6879</v>
      </c>
      <c r="I199" s="40" t="s">
        <v>6717</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6880</v>
      </c>
      <c r="I200" s="40" t="s">
        <v>6717</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6881</v>
      </c>
      <c r="I201" s="40" t="s">
        <v>6717</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6882</v>
      </c>
      <c r="I202" s="40" t="s">
        <v>6717</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6883</v>
      </c>
      <c r="I203" s="40" t="s">
        <v>6717</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6884</v>
      </c>
      <c r="I204" s="40" t="s">
        <v>6717</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6885</v>
      </c>
      <c r="I205" s="40" t="s">
        <v>6717</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6886</v>
      </c>
      <c r="I206" s="40" t="s">
        <v>6717</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6887</v>
      </c>
      <c r="I207" s="40" t="s">
        <v>6717</v>
      </c>
      <c r="L207" s="40" t="str">
        <f t="shared" si="3"/>
        <v>USD,20201222,254460,255250,254440,255160,1,1,1</v>
      </c>
    </row>
    <row r="208" spans="1:12">
      <c r="A208" s="270">
        <v>253940</v>
      </c>
      <c r="B208" s="270">
        <v>252940</v>
      </c>
      <c r="C208" s="270">
        <v>254550</v>
      </c>
      <c r="D208" s="270">
        <v>254470</v>
      </c>
      <c r="E208">
        <v>510</v>
      </c>
      <c r="F208" s="137">
        <v>2E-3</v>
      </c>
      <c r="G208" s="203">
        <v>44186</v>
      </c>
      <c r="H208" t="s">
        <v>6888</v>
      </c>
      <c r="I208" s="40" t="s">
        <v>6717</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6373</v>
      </c>
      <c r="I209" s="40" t="s">
        <v>6717</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6889</v>
      </c>
      <c r="I210" s="40" t="s">
        <v>6717</v>
      </c>
      <c r="L210" s="40" t="str">
        <f t="shared" si="3"/>
        <v>USD,20201219,257440,257550,254940,254990,1,1,1</v>
      </c>
    </row>
    <row r="211" spans="1:12">
      <c r="A211" s="270">
        <v>258040</v>
      </c>
      <c r="B211" s="270">
        <v>257940</v>
      </c>
      <c r="C211" s="270">
        <v>258050</v>
      </c>
      <c r="D211" s="270">
        <v>258020</v>
      </c>
      <c r="E211">
        <v>10</v>
      </c>
      <c r="F211" t="s">
        <v>6711</v>
      </c>
      <c r="G211" s="203">
        <v>44182</v>
      </c>
      <c r="H211" t="s">
        <v>6890</v>
      </c>
      <c r="I211" s="40" t="s">
        <v>6717</v>
      </c>
      <c r="L211" s="40" t="str">
        <f t="shared" si="3"/>
        <v>USD,20201217,258040,258050,257940,258020,1,1,1</v>
      </c>
    </row>
    <row r="212" spans="1:12">
      <c r="A212" s="270">
        <v>258480</v>
      </c>
      <c r="B212" s="270">
        <v>257940</v>
      </c>
      <c r="C212" s="270">
        <v>259550</v>
      </c>
      <c r="D212" s="270">
        <v>258030</v>
      </c>
      <c r="E212">
        <v>510</v>
      </c>
      <c r="F212" s="137">
        <v>2E-3</v>
      </c>
      <c r="G212" s="203">
        <v>44181</v>
      </c>
      <c r="H212" t="s">
        <v>6891</v>
      </c>
      <c r="I212" s="40" t="s">
        <v>6717</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6893</v>
      </c>
      <c r="I213" s="40" t="s">
        <v>6717</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6894</v>
      </c>
      <c r="I214" s="40" t="s">
        <v>6717</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6895</v>
      </c>
      <c r="I215" s="40" t="s">
        <v>6717</v>
      </c>
      <c r="L215" s="40" t="str">
        <f t="shared" si="3"/>
        <v>USD,20201213,259960,260050,257940,258040,1,1,1</v>
      </c>
    </row>
    <row r="216" spans="1:12">
      <c r="A216" s="270">
        <v>260750</v>
      </c>
      <c r="B216" s="270">
        <v>259940</v>
      </c>
      <c r="C216" s="270">
        <v>260750</v>
      </c>
      <c r="D216" s="270">
        <v>260050</v>
      </c>
      <c r="E216">
        <v>600</v>
      </c>
      <c r="F216" s="137">
        <v>2.3E-3</v>
      </c>
      <c r="G216" s="203">
        <v>44177</v>
      </c>
      <c r="H216" t="s">
        <v>6896</v>
      </c>
      <c r="I216" s="40" t="s">
        <v>6717</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6897</v>
      </c>
      <c r="I217" s="40" t="s">
        <v>6717</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6898</v>
      </c>
      <c r="I218" s="40" t="s">
        <v>6717</v>
      </c>
      <c r="L218" s="40" t="str">
        <f t="shared" si="3"/>
        <v>USD,20201209,255970,259850,255940,259770,1,1,1</v>
      </c>
    </row>
    <row r="219" spans="1:12">
      <c r="A219" s="270">
        <v>255980</v>
      </c>
      <c r="B219" s="270">
        <v>255940</v>
      </c>
      <c r="C219" s="270">
        <v>256050</v>
      </c>
      <c r="D219" s="270">
        <v>255940</v>
      </c>
      <c r="E219">
        <v>10</v>
      </c>
      <c r="F219" t="s">
        <v>6711</v>
      </c>
      <c r="G219" s="203">
        <v>44173</v>
      </c>
      <c r="H219" t="s">
        <v>6899</v>
      </c>
      <c r="I219" s="40" t="s">
        <v>6717</v>
      </c>
      <c r="L219" s="40" t="str">
        <f t="shared" si="3"/>
        <v>USD,20201208,255980,256050,255940,255940,1,1,1</v>
      </c>
    </row>
    <row r="220" spans="1:12">
      <c r="A220" s="270">
        <v>256010</v>
      </c>
      <c r="B220" s="270">
        <v>255940</v>
      </c>
      <c r="C220" s="270">
        <v>256050</v>
      </c>
      <c r="D220" s="270">
        <v>255950</v>
      </c>
      <c r="E220" t="s">
        <v>6711</v>
      </c>
      <c r="F220" t="s">
        <v>6711</v>
      </c>
      <c r="G220" s="203">
        <v>44172</v>
      </c>
      <c r="H220" t="s">
        <v>6900</v>
      </c>
      <c r="I220" s="40" t="s">
        <v>6717</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6901</v>
      </c>
      <c r="I221" s="40" t="s">
        <v>6717</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6902</v>
      </c>
      <c r="I222" s="40" t="s">
        <v>6717</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6903</v>
      </c>
      <c r="I223" s="40" t="s">
        <v>6717</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6904</v>
      </c>
      <c r="I224" s="40" t="s">
        <v>6717</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6905</v>
      </c>
      <c r="I225" s="40" t="s">
        <v>6717</v>
      </c>
      <c r="L225" s="40" t="str">
        <f t="shared" si="3"/>
        <v>USD,20201201,250070,256270,245160,256160,1,1,1</v>
      </c>
    </row>
    <row r="226" spans="1:12">
      <c r="A226" s="270">
        <v>245490</v>
      </c>
      <c r="B226" s="270">
        <v>245460</v>
      </c>
      <c r="C226" s="270">
        <v>253050</v>
      </c>
      <c r="D226" s="270">
        <v>250030</v>
      </c>
      <c r="E226">
        <v>4520</v>
      </c>
      <c r="F226" s="137">
        <v>1.84E-2</v>
      </c>
      <c r="G226" s="203">
        <v>44165</v>
      </c>
      <c r="H226" t="s">
        <v>6906</v>
      </c>
      <c r="I226" s="40" t="s">
        <v>6717</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6907</v>
      </c>
      <c r="I227" s="40" t="s">
        <v>6717</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6908</v>
      </c>
      <c r="I228" s="40" t="s">
        <v>6717</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6909</v>
      </c>
      <c r="I229" s="40" t="s">
        <v>6717</v>
      </c>
      <c r="L229" s="40" t="str">
        <f t="shared" si="3"/>
        <v>USD,20201126,248500,248570,247460,247570,1,1,1</v>
      </c>
    </row>
    <row r="230" spans="1:12">
      <c r="A230" s="270">
        <v>250490</v>
      </c>
      <c r="B230" s="270">
        <v>249500</v>
      </c>
      <c r="C230" s="270">
        <v>250570</v>
      </c>
      <c r="D230" s="270">
        <v>249500</v>
      </c>
      <c r="E230">
        <v>960</v>
      </c>
      <c r="F230" s="137">
        <v>3.8E-3</v>
      </c>
      <c r="G230" s="203">
        <v>44160</v>
      </c>
      <c r="H230" t="s">
        <v>6910</v>
      </c>
      <c r="I230" s="40" t="s">
        <v>6717</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6911</v>
      </c>
      <c r="I231" s="40" t="s">
        <v>6717</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6912</v>
      </c>
      <c r="I232" s="40" t="s">
        <v>6717</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6892</v>
      </c>
      <c r="I233" s="40" t="s">
        <v>6717</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6913</v>
      </c>
      <c r="I234" s="40" t="s">
        <v>6717</v>
      </c>
      <c r="L234" s="40" t="str">
        <f t="shared" si="3"/>
        <v>USD,20201121,256250,260560,256150,259550,1,1,1</v>
      </c>
    </row>
    <row r="235" spans="1:12">
      <c r="A235" s="270">
        <v>256170</v>
      </c>
      <c r="B235" s="270">
        <v>256150</v>
      </c>
      <c r="C235" s="270">
        <v>256260</v>
      </c>
      <c r="D235" s="270">
        <v>256200</v>
      </c>
      <c r="E235">
        <v>20</v>
      </c>
      <c r="F235" s="137">
        <v>1E-4</v>
      </c>
      <c r="G235" s="203">
        <v>44154</v>
      </c>
      <c r="H235" t="s">
        <v>6914</v>
      </c>
      <c r="I235" s="40" t="s">
        <v>6717</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6915</v>
      </c>
      <c r="I236" s="40" t="s">
        <v>6717</v>
      </c>
      <c r="L236" s="40" t="str">
        <f t="shared" si="3"/>
        <v>USD,20201118,259020,259020,256150,256220,1,1,1</v>
      </c>
    </row>
    <row r="237" spans="1:12">
      <c r="A237" s="270">
        <v>258960</v>
      </c>
      <c r="B237" s="270">
        <v>258950</v>
      </c>
      <c r="C237" s="270">
        <v>262060</v>
      </c>
      <c r="D237" s="270">
        <v>258970</v>
      </c>
      <c r="E237">
        <v>10</v>
      </c>
      <c r="F237" t="s">
        <v>6711</v>
      </c>
      <c r="G237" s="203">
        <v>44152</v>
      </c>
      <c r="H237" t="s">
        <v>6916</v>
      </c>
      <c r="I237" s="40" t="s">
        <v>6717</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6917</v>
      </c>
      <c r="I238" s="40" t="s">
        <v>6717</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6918</v>
      </c>
      <c r="I239" s="40" t="s">
        <v>6717</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6919</v>
      </c>
      <c r="I240" s="40" t="s">
        <v>6717</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6920</v>
      </c>
      <c r="I241" s="40" t="s">
        <v>6717</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6921</v>
      </c>
      <c r="I242" s="40" t="s">
        <v>6717</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6922</v>
      </c>
      <c r="I243" s="40" t="s">
        <v>6717</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6923</v>
      </c>
      <c r="I244" s="40" t="s">
        <v>6717</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6924</v>
      </c>
      <c r="I245" s="40" t="s">
        <v>6717</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6925</v>
      </c>
      <c r="I246" s="40" t="s">
        <v>6717</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6926</v>
      </c>
      <c r="I247" s="40" t="s">
        <v>6717</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6927</v>
      </c>
      <c r="I248" s="40" t="s">
        <v>6717</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6928</v>
      </c>
      <c r="I249" s="40" t="s">
        <v>6717</v>
      </c>
      <c r="L249" s="40" t="str">
        <f t="shared" si="3"/>
        <v>USD,20201102,272020,282460,271950,282420,1,1,1</v>
      </c>
    </row>
    <row r="250" spans="1:12">
      <c r="A250" s="270">
        <v>268670</v>
      </c>
      <c r="B250" s="270">
        <v>266950</v>
      </c>
      <c r="C250" s="270">
        <v>272060</v>
      </c>
      <c r="D250" s="270">
        <v>272060</v>
      </c>
      <c r="E250">
        <v>3340</v>
      </c>
      <c r="F250" s="137">
        <v>1.24E-2</v>
      </c>
      <c r="G250" s="203">
        <v>44136</v>
      </c>
      <c r="H250" t="s">
        <v>6929</v>
      </c>
      <c r="I250" s="40" t="s">
        <v>6717</v>
      </c>
      <c r="L250" s="40" t="str">
        <f t="shared" si="3"/>
        <v>USD,20201101,268670,272060,266950,272060,1,1,1</v>
      </c>
    </row>
    <row r="251" spans="1:12">
      <c r="A251" s="270">
        <v>277260</v>
      </c>
      <c r="B251" s="270">
        <v>268650</v>
      </c>
      <c r="C251" s="270">
        <v>277260</v>
      </c>
      <c r="D251" s="270">
        <v>268720</v>
      </c>
      <c r="E251">
        <v>8780</v>
      </c>
      <c r="F251" s="137">
        <v>3.27E-2</v>
      </c>
      <c r="G251" s="203">
        <v>44135</v>
      </c>
      <c r="H251" t="s">
        <v>6930</v>
      </c>
      <c r="I251" s="40" t="s">
        <v>6717</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6931</v>
      </c>
      <c r="I252" s="40" t="s">
        <v>6717</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6932</v>
      </c>
      <c r="I253" s="40" t="s">
        <v>6717</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6933</v>
      </c>
      <c r="I254" s="40" t="s">
        <v>6717</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6934</v>
      </c>
      <c r="I255" s="40" t="s">
        <v>6717</v>
      </c>
      <c r="L255" s="40" t="str">
        <f t="shared" si="3"/>
        <v>USD,20201026,289960,289990,279750,279860,1,1,1</v>
      </c>
    </row>
    <row r="256" spans="1:12">
      <c r="A256" s="270">
        <v>293820</v>
      </c>
      <c r="B256" s="270">
        <v>289950</v>
      </c>
      <c r="C256" s="270">
        <v>293860</v>
      </c>
      <c r="D256" s="270">
        <v>290000</v>
      </c>
      <c r="E256">
        <v>3750</v>
      </c>
      <c r="F256" s="137">
        <v>1.29E-2</v>
      </c>
      <c r="G256" s="203">
        <v>44128</v>
      </c>
      <c r="H256" t="s">
        <v>6935</v>
      </c>
      <c r="I256" s="40" t="s">
        <v>6717</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6936</v>
      </c>
      <c r="I257" s="40" t="s">
        <v>6717</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6937</v>
      </c>
      <c r="I258" s="40" t="s">
        <v>6717</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6938</v>
      </c>
      <c r="I259" s="40" t="s">
        <v>6717</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6939</v>
      </c>
      <c r="I260" s="40" t="s">
        <v>6717</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6940</v>
      </c>
      <c r="I261" s="40" t="s">
        <v>6717</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6941</v>
      </c>
      <c r="I262" s="40" t="s">
        <v>6717</v>
      </c>
      <c r="L262" s="40" t="str">
        <f t="shared" si="4"/>
        <v>USD,20201015,317000,317060,316950,317040,1,1,1</v>
      </c>
    </row>
    <row r="263" spans="1:12">
      <c r="A263" s="270">
        <v>312990</v>
      </c>
      <c r="B263" s="270">
        <v>312950</v>
      </c>
      <c r="C263" s="270">
        <v>315860</v>
      </c>
      <c r="D263" s="270">
        <v>315000</v>
      </c>
      <c r="E263">
        <v>1980</v>
      </c>
      <c r="F263" s="137">
        <v>6.3E-3</v>
      </c>
      <c r="G263" s="203">
        <v>44118</v>
      </c>
      <c r="H263" t="s">
        <v>6942</v>
      </c>
      <c r="I263" s="40" t="s">
        <v>6717</v>
      </c>
      <c r="L263" s="40" t="str">
        <f t="shared" si="4"/>
        <v>USD,20201014,312990,315860,312950,315000,1,1,1</v>
      </c>
    </row>
    <row r="264" spans="1:12">
      <c r="A264" s="270">
        <v>304040</v>
      </c>
      <c r="B264" s="270">
        <v>303950</v>
      </c>
      <c r="C264" s="270">
        <v>315060</v>
      </c>
      <c r="D264" s="270">
        <v>313020</v>
      </c>
      <c r="E264">
        <v>9060</v>
      </c>
      <c r="F264" s="137">
        <v>2.98E-2</v>
      </c>
      <c r="G264" s="203">
        <v>44117</v>
      </c>
      <c r="H264" t="s">
        <v>6943</v>
      </c>
      <c r="I264" s="40" t="s">
        <v>6717</v>
      </c>
      <c r="L264" s="40" t="str">
        <f t="shared" si="4"/>
        <v>USD,20201013,304040,315060,303950,313020,1,1,1</v>
      </c>
    </row>
    <row r="265" spans="1:12">
      <c r="A265" s="270">
        <v>311520</v>
      </c>
      <c r="B265" s="270">
        <v>301950</v>
      </c>
      <c r="C265" s="270">
        <v>311560</v>
      </c>
      <c r="D265" s="270">
        <v>303960</v>
      </c>
      <c r="E265">
        <v>7490</v>
      </c>
      <c r="F265" s="137">
        <v>2.46E-2</v>
      </c>
      <c r="G265" s="203">
        <v>44116</v>
      </c>
      <c r="H265" t="s">
        <v>6944</v>
      </c>
      <c r="I265" s="40" t="s">
        <v>6717</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6945</v>
      </c>
      <c r="I266" s="40" t="s">
        <v>6717</v>
      </c>
      <c r="L266" s="40" t="str">
        <f t="shared" si="4"/>
        <v>USD,20201011,299480,311560,299450,311450,1,1,1</v>
      </c>
    </row>
    <row r="267" spans="1:12">
      <c r="A267" s="270">
        <v>291970</v>
      </c>
      <c r="B267" s="270">
        <v>291950</v>
      </c>
      <c r="C267" s="270">
        <v>299560</v>
      </c>
      <c r="D267" s="270">
        <v>299560</v>
      </c>
      <c r="E267">
        <v>7540</v>
      </c>
      <c r="F267" s="137">
        <v>2.58E-2</v>
      </c>
      <c r="G267" s="203">
        <v>44114</v>
      </c>
      <c r="H267" t="s">
        <v>6946</v>
      </c>
      <c r="I267" s="40" t="s">
        <v>6717</v>
      </c>
      <c r="L267" s="40" t="str">
        <f t="shared" si="4"/>
        <v>USD,20201010,291970,299560,291950,299560,1,1,1</v>
      </c>
    </row>
    <row r="268" spans="1:12">
      <c r="A268" s="270">
        <v>291990</v>
      </c>
      <c r="B268" s="270">
        <v>291950</v>
      </c>
      <c r="C268" s="270">
        <v>292060</v>
      </c>
      <c r="D268" s="270">
        <v>292020</v>
      </c>
      <c r="E268">
        <v>20</v>
      </c>
      <c r="F268" s="137">
        <v>1E-4</v>
      </c>
      <c r="G268" s="203">
        <v>44111</v>
      </c>
      <c r="H268" t="s">
        <v>6947</v>
      </c>
      <c r="I268" s="40" t="s">
        <v>6717</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6948</v>
      </c>
      <c r="I269" s="40" t="s">
        <v>6717</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6949</v>
      </c>
      <c r="I270" s="40" t="s">
        <v>6717</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6950</v>
      </c>
      <c r="I271" s="40" t="s">
        <v>6717</v>
      </c>
      <c r="L271" s="40" t="str">
        <f t="shared" si="4"/>
        <v>USD,20201004,284550,284560,269950,269950,1,1,1</v>
      </c>
    </row>
    <row r="272" spans="1:12">
      <c r="A272" s="270">
        <v>289030</v>
      </c>
      <c r="B272" s="270">
        <v>284450</v>
      </c>
      <c r="C272" s="270">
        <v>289060</v>
      </c>
      <c r="D272" s="270">
        <v>284490</v>
      </c>
      <c r="E272">
        <v>4550</v>
      </c>
      <c r="F272" s="137">
        <v>1.6E-2</v>
      </c>
      <c r="G272" s="203">
        <v>44107</v>
      </c>
      <c r="H272" t="s">
        <v>6951</v>
      </c>
      <c r="I272" s="40" t="s">
        <v>6717</v>
      </c>
      <c r="L272" s="40" t="str">
        <f t="shared" si="4"/>
        <v>USD,20201003,289030,289060,284450,284490,1,1,1</v>
      </c>
    </row>
    <row r="273" spans="1:12">
      <c r="A273" s="270">
        <v>287990</v>
      </c>
      <c r="B273" s="270">
        <v>287990</v>
      </c>
      <c r="C273" s="270">
        <v>289060</v>
      </c>
      <c r="D273" s="270">
        <v>289040</v>
      </c>
      <c r="E273">
        <v>1520</v>
      </c>
      <c r="F273" s="137">
        <v>5.3E-3</v>
      </c>
      <c r="G273" s="203">
        <v>44105</v>
      </c>
      <c r="H273" t="s">
        <v>6953</v>
      </c>
      <c r="I273" s="40" t="s">
        <v>6717</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6954</v>
      </c>
      <c r="I274" s="40" t="s">
        <v>6717</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6955</v>
      </c>
      <c r="I275" s="40" t="s">
        <v>6717</v>
      </c>
      <c r="L275" s="40" t="str">
        <f t="shared" si="4"/>
        <v>USD,20200929,289450,289560,284950,285020,1,1,1</v>
      </c>
    </row>
    <row r="276" spans="1:12">
      <c r="A276" s="270">
        <v>287060</v>
      </c>
      <c r="B276" s="270">
        <v>286950</v>
      </c>
      <c r="C276" s="270">
        <v>289560</v>
      </c>
      <c r="D276" s="270">
        <v>289470</v>
      </c>
      <c r="E276">
        <v>2470</v>
      </c>
      <c r="F276" s="137">
        <v>8.6E-3</v>
      </c>
      <c r="G276" s="203">
        <v>44102</v>
      </c>
      <c r="H276" t="s">
        <v>6956</v>
      </c>
      <c r="I276" s="40" t="s">
        <v>6717</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6957</v>
      </c>
      <c r="I277" s="40" t="s">
        <v>6717</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6958</v>
      </c>
      <c r="I278" s="40" t="s">
        <v>6717</v>
      </c>
      <c r="L278" s="40" t="str">
        <f t="shared" si="4"/>
        <v>USD,20200926,278030,287560,277950,285060,1,1,1</v>
      </c>
    </row>
    <row r="279" spans="1:12">
      <c r="A279" s="270">
        <v>278000</v>
      </c>
      <c r="B279" s="270">
        <v>277950</v>
      </c>
      <c r="C279" s="270">
        <v>278060</v>
      </c>
      <c r="D279" s="270">
        <v>277970</v>
      </c>
      <c r="E279">
        <v>10</v>
      </c>
      <c r="F279" t="s">
        <v>6711</v>
      </c>
      <c r="G279" s="203">
        <v>44098</v>
      </c>
      <c r="H279" t="s">
        <v>6959</v>
      </c>
      <c r="I279" s="40" t="s">
        <v>6717</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6960</v>
      </c>
      <c r="I280" s="40" t="s">
        <v>6717</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6952</v>
      </c>
      <c r="I281" s="40" t="s">
        <v>6717</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6961</v>
      </c>
      <c r="I282" s="40" t="s">
        <v>6717</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6962</v>
      </c>
      <c r="I283" s="40" t="s">
        <v>6717</v>
      </c>
      <c r="L283" s="40" t="str">
        <f t="shared" si="4"/>
        <v>USD,20200920,264500,273060,264450,272980,1,1,1</v>
      </c>
    </row>
    <row r="284" spans="1:12">
      <c r="A284" s="270">
        <v>267990</v>
      </c>
      <c r="B284" s="270">
        <v>264450</v>
      </c>
      <c r="C284" s="270">
        <v>268060</v>
      </c>
      <c r="D284" s="270">
        <v>264480</v>
      </c>
      <c r="E284">
        <v>3490</v>
      </c>
      <c r="F284" s="137">
        <v>1.32E-2</v>
      </c>
      <c r="G284" s="203">
        <v>44093</v>
      </c>
      <c r="H284" t="s">
        <v>6963</v>
      </c>
      <c r="I284" s="40" t="s">
        <v>6717</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6964</v>
      </c>
      <c r="I285" s="40" t="s">
        <v>6717</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6965</v>
      </c>
      <c r="I286" s="40" t="s">
        <v>6717</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6966</v>
      </c>
      <c r="I287" s="40" t="s">
        <v>6717</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6573</v>
      </c>
      <c r="I288" s="40" t="s">
        <v>6717</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6967</v>
      </c>
      <c r="I289" s="40" t="s">
        <v>6717</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6968</v>
      </c>
      <c r="I290" s="40" t="s">
        <v>6717</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6969</v>
      </c>
      <c r="I291" s="40" t="s">
        <v>6717</v>
      </c>
      <c r="L291" s="40" t="str">
        <f t="shared" si="4"/>
        <v>USD,20200910,227910,228020,227910,228000,1,1,1</v>
      </c>
    </row>
    <row r="292" spans="1:12">
      <c r="A292" s="270">
        <v>227460</v>
      </c>
      <c r="B292" s="270">
        <v>227410</v>
      </c>
      <c r="C292" s="270">
        <v>227520</v>
      </c>
      <c r="D292" s="270">
        <v>227490</v>
      </c>
      <c r="E292">
        <v>30</v>
      </c>
      <c r="F292" s="137">
        <v>1E-4</v>
      </c>
      <c r="G292" s="203">
        <v>44083</v>
      </c>
      <c r="H292" t="s">
        <v>6970</v>
      </c>
      <c r="I292" s="40" t="s">
        <v>6717</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6971</v>
      </c>
      <c r="I293" s="40" t="s">
        <v>6717</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6972</v>
      </c>
      <c r="I294" s="40" t="s">
        <v>6717</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6973</v>
      </c>
      <c r="I295" s="40" t="s">
        <v>6717</v>
      </c>
      <c r="L295" s="40" t="str">
        <f t="shared" si="4"/>
        <v>USD,20200906,224450,226020,224410,226020,1,1,1</v>
      </c>
    </row>
    <row r="296" spans="1:12">
      <c r="A296" s="270">
        <v>224450</v>
      </c>
      <c r="B296" s="270">
        <v>224410</v>
      </c>
      <c r="C296" s="270">
        <v>224520</v>
      </c>
      <c r="D296" s="270">
        <v>224520</v>
      </c>
      <c r="E296" t="s">
        <v>6711</v>
      </c>
      <c r="F296" t="s">
        <v>6711</v>
      </c>
      <c r="G296" s="203">
        <v>44079</v>
      </c>
      <c r="H296" t="s">
        <v>6974</v>
      </c>
      <c r="I296" s="40" t="s">
        <v>6717</v>
      </c>
      <c r="L296" s="40" t="str">
        <f t="shared" si="4"/>
        <v>USD,20200905,224450,224520,224410,224520,1,1,1</v>
      </c>
    </row>
    <row r="297" spans="1:12">
      <c r="A297" s="270">
        <v>225020</v>
      </c>
      <c r="B297" s="270">
        <v>224410</v>
      </c>
      <c r="C297" s="270">
        <v>225020</v>
      </c>
      <c r="D297" s="270">
        <v>224520</v>
      </c>
      <c r="E297">
        <v>2440</v>
      </c>
      <c r="F297" s="137">
        <v>1.09E-2</v>
      </c>
      <c r="G297" s="203">
        <v>44077</v>
      </c>
      <c r="H297" t="s">
        <v>6975</v>
      </c>
      <c r="I297" s="40" t="s">
        <v>6717</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6976</v>
      </c>
      <c r="I298" s="40" t="s">
        <v>6717</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6977</v>
      </c>
      <c r="I299" s="40" t="s">
        <v>6717</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6978</v>
      </c>
      <c r="I300" s="40" t="s">
        <v>6717</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6979</v>
      </c>
      <c r="I301" s="40" t="s">
        <v>6717</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6980</v>
      </c>
      <c r="I302" s="40" t="s">
        <v>6717</v>
      </c>
      <c r="L302" s="40" t="str">
        <f t="shared" si="4"/>
        <v>USD,20200827,231020,231020,230910,231020,1,1,1</v>
      </c>
    </row>
    <row r="303" spans="1:12">
      <c r="A303" s="270">
        <v>224710</v>
      </c>
      <c r="B303" s="270">
        <v>224710</v>
      </c>
      <c r="C303" s="270">
        <v>230020</v>
      </c>
      <c r="D303" s="270">
        <v>229960</v>
      </c>
      <c r="E303">
        <v>5170</v>
      </c>
      <c r="F303" s="137">
        <v>2.3E-2</v>
      </c>
      <c r="G303" s="203">
        <v>44069</v>
      </c>
      <c r="H303" t="s">
        <v>6981</v>
      </c>
      <c r="I303" s="40" t="s">
        <v>6717</v>
      </c>
      <c r="L303" s="40" t="str">
        <f t="shared" si="4"/>
        <v>USD,20200826,224710,230020,224710,229960,1,1,1</v>
      </c>
    </row>
    <row r="304" spans="1:12">
      <c r="A304" s="270">
        <v>224790</v>
      </c>
      <c r="B304" s="270">
        <v>224710</v>
      </c>
      <c r="C304" s="270">
        <v>224820</v>
      </c>
      <c r="D304" s="270">
        <v>224790</v>
      </c>
      <c r="E304">
        <v>30</v>
      </c>
      <c r="F304" s="137">
        <v>1E-4</v>
      </c>
      <c r="G304" s="203">
        <v>44068</v>
      </c>
      <c r="H304" t="s">
        <v>6982</v>
      </c>
      <c r="I304" s="40" t="s">
        <v>6717</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6983</v>
      </c>
      <c r="I305" s="40" t="s">
        <v>6717</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6984</v>
      </c>
      <c r="I306" s="40" t="s">
        <v>6717</v>
      </c>
      <c r="L306" s="40" t="str">
        <f t="shared" si="4"/>
        <v>USD,20200823,224940,225020,224910,224970,1,1,1</v>
      </c>
    </row>
    <row r="307" spans="1:12">
      <c r="A307" s="270">
        <v>224970</v>
      </c>
      <c r="B307" s="270">
        <v>224910</v>
      </c>
      <c r="C307" s="270">
        <v>225020</v>
      </c>
      <c r="D307" s="270">
        <v>225020</v>
      </c>
      <c r="E307" t="s">
        <v>6711</v>
      </c>
      <c r="F307" t="s">
        <v>6711</v>
      </c>
      <c r="G307" s="203">
        <v>44065</v>
      </c>
      <c r="H307" t="s">
        <v>6985</v>
      </c>
      <c r="I307" s="40" t="s">
        <v>6717</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6986</v>
      </c>
      <c r="I308" s="40" t="s">
        <v>6717</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6987</v>
      </c>
      <c r="I309" s="40" t="s">
        <v>6717</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6988</v>
      </c>
      <c r="I310" s="40" t="s">
        <v>6717</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6989</v>
      </c>
      <c r="I311" s="40" t="s">
        <v>6717</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6990</v>
      </c>
      <c r="I312" s="40" t="s">
        <v>6717</v>
      </c>
      <c r="L312" s="40" t="str">
        <f t="shared" si="4"/>
        <v>USD,20200816,218970,219020,218910,219020,1,1,1</v>
      </c>
    </row>
    <row r="313" spans="1:12">
      <c r="A313" s="270">
        <v>220520</v>
      </c>
      <c r="B313" s="270">
        <v>220410</v>
      </c>
      <c r="C313" s="270">
        <v>220520</v>
      </c>
      <c r="D313" s="270">
        <v>220520</v>
      </c>
      <c r="E313">
        <v>20</v>
      </c>
      <c r="F313" s="137">
        <v>1E-4</v>
      </c>
      <c r="G313" s="203">
        <v>44058</v>
      </c>
      <c r="H313" t="s">
        <v>6991</v>
      </c>
      <c r="I313" s="40" t="s">
        <v>6717</v>
      </c>
      <c r="L313" s="40" t="str">
        <f t="shared" si="4"/>
        <v>USD,20200815,220520,220520,220410,220520,1,1,1</v>
      </c>
    </row>
    <row r="314" spans="1:12">
      <c r="A314" s="270">
        <v>219520</v>
      </c>
      <c r="B314" s="270">
        <v>219410</v>
      </c>
      <c r="C314" s="270">
        <v>220520</v>
      </c>
      <c r="D314" s="270">
        <v>220500</v>
      </c>
      <c r="E314">
        <v>2480</v>
      </c>
      <c r="F314" s="137">
        <v>1.14E-2</v>
      </c>
      <c r="G314" s="203">
        <v>44056</v>
      </c>
      <c r="H314" t="s">
        <v>6992</v>
      </c>
      <c r="I314" s="40" t="s">
        <v>6717</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6993</v>
      </c>
      <c r="I315" s="40" t="s">
        <v>6717</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6994</v>
      </c>
      <c r="I316" s="40" t="s">
        <v>6717</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6995</v>
      </c>
      <c r="I317" s="40" t="s">
        <v>6717</v>
      </c>
      <c r="L317" s="40" t="str">
        <f t="shared" si="4"/>
        <v>USD,20200810,217960,218020,207910,209910,1,1,1</v>
      </c>
    </row>
    <row r="318" spans="1:12">
      <c r="A318" s="270">
        <v>229980</v>
      </c>
      <c r="B318" s="270">
        <v>217910</v>
      </c>
      <c r="C318" s="270">
        <v>230020</v>
      </c>
      <c r="D318" s="270">
        <v>218020</v>
      </c>
      <c r="E318">
        <v>12000</v>
      </c>
      <c r="F318" s="137">
        <v>5.5E-2</v>
      </c>
      <c r="G318" s="203">
        <v>44052</v>
      </c>
      <c r="H318" t="s">
        <v>6996</v>
      </c>
      <c r="I318" s="40" t="s">
        <v>6717</v>
      </c>
      <c r="L318" s="40" t="str">
        <f t="shared" si="4"/>
        <v>USD,20200809,229980,230020,217910,218020,1,1,1</v>
      </c>
    </row>
    <row r="319" spans="1:12">
      <c r="A319" s="270">
        <v>229970</v>
      </c>
      <c r="B319" s="270">
        <v>229910</v>
      </c>
      <c r="C319" s="270">
        <v>230020</v>
      </c>
      <c r="D319" s="270">
        <v>230020</v>
      </c>
      <c r="E319">
        <v>3000</v>
      </c>
      <c r="F319" s="137">
        <v>1.32E-2</v>
      </c>
      <c r="G319" s="203">
        <v>44049</v>
      </c>
      <c r="H319" t="s">
        <v>6997</v>
      </c>
      <c r="I319" s="40" t="s">
        <v>6717</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6576</v>
      </c>
      <c r="I320" s="40" t="s">
        <v>6717</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6998</v>
      </c>
      <c r="I321" s="40" t="s">
        <v>6717</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6999</v>
      </c>
      <c r="I322" s="40" t="s">
        <v>6717</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7000</v>
      </c>
      <c r="I323" s="40" t="s">
        <v>6717</v>
      </c>
      <c r="L323" s="40" t="str">
        <f t="shared" si="4"/>
        <v>USD,20200802,212940,217020,212910,217020,1,1,1</v>
      </c>
    </row>
    <row r="324" spans="1:12">
      <c r="A324" s="270">
        <v>207940</v>
      </c>
      <c r="B324" s="270">
        <v>207910</v>
      </c>
      <c r="C324" s="270">
        <v>213020</v>
      </c>
      <c r="D324" s="270">
        <v>213020</v>
      </c>
      <c r="E324">
        <v>5000</v>
      </c>
      <c r="F324" s="137">
        <v>2.4E-2</v>
      </c>
      <c r="G324" s="203">
        <v>44044</v>
      </c>
      <c r="H324" t="s">
        <v>7001</v>
      </c>
      <c r="I324" s="40" t="s">
        <v>6717</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7002</v>
      </c>
      <c r="I325" s="40" t="s">
        <v>6717</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7003</v>
      </c>
      <c r="I326" s="40" t="s">
        <v>6717</v>
      </c>
      <c r="L326" s="40" t="str">
        <f t="shared" si="5"/>
        <v>USD,20200729,204930,205020,204910,204990,1,1,1</v>
      </c>
    </row>
    <row r="327" spans="1:12">
      <c r="A327" s="270">
        <v>205020</v>
      </c>
      <c r="B327" s="270">
        <v>204910</v>
      </c>
      <c r="C327" s="270">
        <v>205020</v>
      </c>
      <c r="D327" s="270">
        <v>204920</v>
      </c>
      <c r="E327">
        <v>10</v>
      </c>
      <c r="F327" t="s">
        <v>6711</v>
      </c>
      <c r="G327" s="203">
        <v>44040</v>
      </c>
      <c r="H327" t="s">
        <v>7004</v>
      </c>
      <c r="I327" s="40" t="s">
        <v>6717</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7005</v>
      </c>
      <c r="I328" s="40" t="s">
        <v>6717</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7006</v>
      </c>
      <c r="I329" s="40" t="s">
        <v>6717</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7007</v>
      </c>
      <c r="I330" s="40" t="s">
        <v>6717</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7008</v>
      </c>
      <c r="I331" s="40" t="s">
        <v>6717</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7009</v>
      </c>
      <c r="I332" s="40" t="s">
        <v>6717</v>
      </c>
      <c r="L332" s="40" t="str">
        <f t="shared" si="5"/>
        <v>USD,20200722,204430,204520,203410,203430,1,1,1</v>
      </c>
    </row>
    <row r="333" spans="1:12">
      <c r="A333" s="270">
        <v>225920</v>
      </c>
      <c r="B333" s="270">
        <v>204410</v>
      </c>
      <c r="C333" s="270">
        <v>226020</v>
      </c>
      <c r="D333" s="270">
        <v>204520</v>
      </c>
      <c r="E333">
        <v>21500</v>
      </c>
      <c r="F333" s="137">
        <v>0.1051</v>
      </c>
      <c r="G333" s="203">
        <v>44033</v>
      </c>
      <c r="H333" t="s">
        <v>7010</v>
      </c>
      <c r="I333" s="40" t="s">
        <v>6717</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7"/>
  <sheetViews>
    <sheetView tabSelected="1" topLeftCell="P109" zoomScale="85" zoomScaleNormal="85" workbookViewId="0">
      <selection activeCell="Z131" sqref="Z131:Z13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4330</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4265</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4329</v>
      </c>
      <c r="V19" s="71" t="s">
        <v>4331</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167">
        <v>9268987</v>
      </c>
      <c r="R20" s="166" t="s">
        <v>4149</v>
      </c>
      <c r="S20" s="189">
        <f>S115</f>
        <v>1100</v>
      </c>
      <c r="T20" s="166" t="s">
        <v>4280</v>
      </c>
      <c r="U20" s="166">
        <v>192.1</v>
      </c>
      <c r="V20" s="166">
        <f t="shared" ref="V20:V51" si="6">U20*(1+$R$111+$Q$15*S20/36500)</f>
        <v>357.12074191780823</v>
      </c>
      <c r="W20" s="32">
        <f t="shared" ref="W20:W26" si="7">V20*(1+$W$19/100)</f>
        <v>364.26315675616439</v>
      </c>
      <c r="X20" s="32">
        <f t="shared" ref="X20:X26" si="8">V20*(1+$X$19/100)</f>
        <v>371.40557159452055</v>
      </c>
      <c r="Y20" s="113">
        <v>48028</v>
      </c>
      <c r="Z20" s="113"/>
      <c r="AH20" s="97">
        <v>1</v>
      </c>
      <c r="AI20" s="111" t="s">
        <v>1090</v>
      </c>
      <c r="AJ20" s="111">
        <v>18000000</v>
      </c>
      <c r="AK20" s="97">
        <v>1</v>
      </c>
      <c r="AL20" s="97">
        <f>AL21+AK20</f>
        <v>1184</v>
      </c>
      <c r="AM20" s="111">
        <f>AJ20*AL20</f>
        <v>21312000000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6501</v>
      </c>
      <c r="N21" s="111">
        <f t="shared" ref="N21:N26" si="9">O21*P21</f>
        <v>0</v>
      </c>
      <c r="O21" s="97">
        <v>0</v>
      </c>
      <c r="P21" s="183">
        <v>1</v>
      </c>
      <c r="Q21" s="167">
        <v>1353959</v>
      </c>
      <c r="R21" s="166" t="s">
        <v>4388</v>
      </c>
      <c r="S21" s="195">
        <f>S20-59</f>
        <v>1041</v>
      </c>
      <c r="T21" s="19" t="s">
        <v>4422</v>
      </c>
      <c r="U21" s="166">
        <v>192.2</v>
      </c>
      <c r="V21" s="166">
        <f t="shared" si="6"/>
        <v>348.60762082191786</v>
      </c>
      <c r="W21" s="32">
        <f t="shared" si="7"/>
        <v>355.57977323835621</v>
      </c>
      <c r="X21" s="32">
        <f t="shared" si="8"/>
        <v>362.55192565479462</v>
      </c>
      <c r="Y21" s="113">
        <v>7012</v>
      </c>
      <c r="Z21" s="113"/>
      <c r="AH21" s="97">
        <v>2</v>
      </c>
      <c r="AI21" s="111" t="s">
        <v>1092</v>
      </c>
      <c r="AJ21" s="111">
        <v>2500000</v>
      </c>
      <c r="AK21" s="97">
        <v>1</v>
      </c>
      <c r="AL21" s="97">
        <f t="shared" ref="AL21:AL63" si="10">AL22+AK21</f>
        <v>1183</v>
      </c>
      <c r="AM21" s="111">
        <f t="shared" ref="AM21:AM120" si="11">AJ21*AL21</f>
        <v>2957500000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3908294676</v>
      </c>
      <c r="O22" s="97">
        <v>2569556</v>
      </c>
      <c r="P22" s="183">
        <f>P48</f>
        <v>1521</v>
      </c>
      <c r="Q22" s="167">
        <v>1614398</v>
      </c>
      <c r="R22" s="166" t="s">
        <v>4394</v>
      </c>
      <c r="S22" s="166">
        <f>S21-3</f>
        <v>1038</v>
      </c>
      <c r="T22" s="19" t="s">
        <v>5600</v>
      </c>
      <c r="U22" s="166">
        <v>184.6</v>
      </c>
      <c r="V22" s="166">
        <f t="shared" si="6"/>
        <v>334.39809534246575</v>
      </c>
      <c r="W22" s="32">
        <f t="shared" si="7"/>
        <v>341.08605724931505</v>
      </c>
      <c r="X22" s="32">
        <f t="shared" si="8"/>
        <v>347.7740191561644</v>
      </c>
      <c r="Y22" s="113">
        <v>8705</v>
      </c>
      <c r="Z22" s="113"/>
      <c r="AH22" s="97">
        <v>3</v>
      </c>
      <c r="AI22" s="111" t="s">
        <v>1101</v>
      </c>
      <c r="AJ22" s="111">
        <v>8000000</v>
      </c>
      <c r="AK22" s="97">
        <v>1</v>
      </c>
      <c r="AL22" s="97">
        <f t="shared" si="10"/>
        <v>1182</v>
      </c>
      <c r="AM22" s="111">
        <f t="shared" si="11"/>
        <v>9456000000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187537796</v>
      </c>
      <c r="O23" s="97">
        <v>123218</v>
      </c>
      <c r="P23" s="183">
        <f>P51</f>
        <v>1522</v>
      </c>
      <c r="Q23" s="167">
        <v>133576</v>
      </c>
      <c r="R23" s="166" t="s">
        <v>4459</v>
      </c>
      <c r="S23" s="194">
        <f>S22-22</f>
        <v>1016</v>
      </c>
      <c r="T23" s="166" t="s">
        <v>4460</v>
      </c>
      <c r="U23" s="166">
        <v>166.2</v>
      </c>
      <c r="V23" s="166">
        <f t="shared" si="6"/>
        <v>298.26206465753421</v>
      </c>
      <c r="W23" s="32">
        <f t="shared" si="7"/>
        <v>304.22730595068492</v>
      </c>
      <c r="X23" s="32">
        <f t="shared" si="8"/>
        <v>310.19254724383558</v>
      </c>
      <c r="Y23" s="120">
        <v>800</v>
      </c>
      <c r="Z23" s="94"/>
      <c r="AH23" s="97">
        <v>4</v>
      </c>
      <c r="AI23" s="111" t="s">
        <v>4036</v>
      </c>
      <c r="AJ23" s="111">
        <v>-79552</v>
      </c>
      <c r="AK23" s="97">
        <v>1</v>
      </c>
      <c r="AL23" s="97">
        <f t="shared" si="10"/>
        <v>1181</v>
      </c>
      <c r="AM23" s="111">
        <f t="shared" si="11"/>
        <v>-93950912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L65</f>
        <v>-23338162.046971798</v>
      </c>
      <c r="G24" s="93">
        <f t="shared" si="0"/>
        <v>303644507.42891043</v>
      </c>
      <c r="H24" s="11"/>
      <c r="I24" s="94"/>
      <c r="J24" s="94"/>
      <c r="K24" s="206"/>
      <c r="L24" s="115"/>
      <c r="M24" s="206" t="s">
        <v>5870</v>
      </c>
      <c r="N24" s="111">
        <f t="shared" si="9"/>
        <v>0</v>
      </c>
      <c r="O24" s="97">
        <v>0</v>
      </c>
      <c r="P24" s="183">
        <f>P49</f>
        <v>3000</v>
      </c>
      <c r="Q24" s="167">
        <v>220803</v>
      </c>
      <c r="R24" s="166" t="s">
        <v>4204</v>
      </c>
      <c r="S24" s="194">
        <f>S23-1</f>
        <v>1015</v>
      </c>
      <c r="T24" s="166" t="s">
        <v>4466</v>
      </c>
      <c r="U24" s="166">
        <v>166</v>
      </c>
      <c r="V24" s="166">
        <f t="shared" si="6"/>
        <v>297.77580273972603</v>
      </c>
      <c r="W24" s="32">
        <f t="shared" si="7"/>
        <v>303.73131879452058</v>
      </c>
      <c r="X24" s="32">
        <f t="shared" si="8"/>
        <v>309.68683484931506</v>
      </c>
      <c r="Y24" s="120">
        <v>1326</v>
      </c>
      <c r="Z24" s="94"/>
      <c r="AH24" s="97">
        <v>5</v>
      </c>
      <c r="AI24" s="111" t="s">
        <v>1113</v>
      </c>
      <c r="AJ24" s="111">
        <v>165500</v>
      </c>
      <c r="AK24" s="97">
        <v>12</v>
      </c>
      <c r="AL24" s="97">
        <f t="shared" si="10"/>
        <v>1180</v>
      </c>
      <c r="AM24" s="111">
        <f t="shared" si="11"/>
        <v>195290000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21300</v>
      </c>
      <c r="Q25" s="167">
        <v>1023940</v>
      </c>
      <c r="R25" s="166" t="s">
        <v>4467</v>
      </c>
      <c r="S25" s="194">
        <f>S24-2</f>
        <v>1013</v>
      </c>
      <c r="T25" s="166" t="s">
        <v>4473</v>
      </c>
      <c r="U25" s="166">
        <v>160.19999999999999</v>
      </c>
      <c r="V25" s="166">
        <f t="shared" si="6"/>
        <v>287.12580164383559</v>
      </c>
      <c r="W25" s="32">
        <f t="shared" si="7"/>
        <v>292.86831767671231</v>
      </c>
      <c r="X25" s="32">
        <f t="shared" si="8"/>
        <v>298.61083370958903</v>
      </c>
      <c r="Y25" s="120">
        <v>6362</v>
      </c>
      <c r="Z25" s="94" t="s">
        <v>25</v>
      </c>
      <c r="AH25" s="97">
        <v>6</v>
      </c>
      <c r="AI25" s="111" t="s">
        <v>1138</v>
      </c>
      <c r="AJ25" s="111">
        <v>-28830327</v>
      </c>
      <c r="AK25" s="97">
        <v>6</v>
      </c>
      <c r="AL25" s="97">
        <f t="shared" si="10"/>
        <v>1168</v>
      </c>
      <c r="AM25" s="111">
        <f t="shared" si="11"/>
        <v>-33673821936</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5840</v>
      </c>
      <c r="N26" s="111">
        <f t="shared" si="9"/>
        <v>0</v>
      </c>
      <c r="O26" s="97">
        <v>0</v>
      </c>
      <c r="P26" s="183">
        <f>P50</f>
        <v>8133</v>
      </c>
      <c r="Q26" s="167">
        <v>168846</v>
      </c>
      <c r="R26" s="166" t="s">
        <v>3673</v>
      </c>
      <c r="S26" s="194">
        <f>S25-28</f>
        <v>985</v>
      </c>
      <c r="T26" s="166" t="s">
        <v>4547</v>
      </c>
      <c r="U26" s="166">
        <v>172.2</v>
      </c>
      <c r="V26" s="166">
        <f t="shared" si="6"/>
        <v>304.93459068493155</v>
      </c>
      <c r="W26" s="32">
        <f t="shared" si="7"/>
        <v>311.03328249863017</v>
      </c>
      <c r="X26" s="32">
        <f t="shared" si="8"/>
        <v>317.13197431232885</v>
      </c>
      <c r="Y26" s="120">
        <v>976</v>
      </c>
      <c r="Z26" s="94"/>
      <c r="AH26" s="97">
        <v>7</v>
      </c>
      <c r="AI26" s="111" t="s">
        <v>1163</v>
      </c>
      <c r="AJ26" s="111">
        <v>18500000</v>
      </c>
      <c r="AK26" s="97">
        <v>1</v>
      </c>
      <c r="AL26" s="97">
        <f t="shared" si="10"/>
        <v>1162</v>
      </c>
      <c r="AM26" s="111">
        <f t="shared" si="11"/>
        <v>21497000000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7024</v>
      </c>
      <c r="L27" s="115">
        <f>-'فروردین 98'!D176</f>
        <v>1786463</v>
      </c>
      <c r="M27" s="166"/>
      <c r="N27" s="111"/>
      <c r="O27" s="67"/>
      <c r="P27" s="97"/>
      <c r="Q27" s="167">
        <v>1563192</v>
      </c>
      <c r="R27" s="206" t="s">
        <v>4643</v>
      </c>
      <c r="S27" s="194">
        <f>S26-33</f>
        <v>952</v>
      </c>
      <c r="T27" s="206" t="s">
        <v>4644</v>
      </c>
      <c r="U27" s="206">
        <v>168.8</v>
      </c>
      <c r="V27" s="206">
        <f t="shared" si="6"/>
        <v>294.64063123287679</v>
      </c>
      <c r="W27" s="32">
        <f t="shared" ref="W27:W30" si="13">V27*(1+$W$19/100)</f>
        <v>300.53344385753434</v>
      </c>
      <c r="X27" s="32">
        <f t="shared" ref="X27:X30" si="14">V27*(1+$X$19/100)</f>
        <v>306.42625648219189</v>
      </c>
      <c r="Y27" s="120">
        <v>9222</v>
      </c>
      <c r="Z27" s="94"/>
      <c r="AH27" s="97">
        <v>8</v>
      </c>
      <c r="AI27" s="111" t="s">
        <v>1172</v>
      </c>
      <c r="AJ27" s="111">
        <v>-18550000</v>
      </c>
      <c r="AK27" s="97">
        <v>1</v>
      </c>
      <c r="AL27" s="97">
        <f t="shared" si="10"/>
        <v>1161</v>
      </c>
      <c r="AM27" s="111">
        <f t="shared" si="11"/>
        <v>-21536550000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t="s">
        <v>4420</v>
      </c>
      <c r="L28" s="115">
        <f>-W163</f>
        <v>-3130997.0469717979</v>
      </c>
      <c r="M28" s="187" t="s">
        <v>4415</v>
      </c>
      <c r="N28" s="111">
        <v>169</v>
      </c>
      <c r="O28" s="253"/>
      <c r="P28" s="97" t="s">
        <v>25</v>
      </c>
      <c r="Q28" s="167">
        <v>1204691</v>
      </c>
      <c r="R28" s="206" t="s">
        <v>4849</v>
      </c>
      <c r="S28" s="194">
        <f>S27-76</f>
        <v>876</v>
      </c>
      <c r="T28" s="206" t="s">
        <v>4850</v>
      </c>
      <c r="U28" s="206">
        <v>218.5</v>
      </c>
      <c r="V28" s="206">
        <f t="shared" si="6"/>
        <v>368.65320000000008</v>
      </c>
      <c r="W28" s="32">
        <f t="shared" si="13"/>
        <v>376.02626400000008</v>
      </c>
      <c r="X28" s="32">
        <f t="shared" si="14"/>
        <v>383.39932800000008</v>
      </c>
      <c r="Y28" s="120">
        <v>5488</v>
      </c>
      <c r="Z28" s="94"/>
      <c r="AH28" s="97">
        <v>9</v>
      </c>
      <c r="AI28" s="111" t="s">
        <v>1179</v>
      </c>
      <c r="AJ28" s="111">
        <v>-64961</v>
      </c>
      <c r="AK28" s="97">
        <v>5</v>
      </c>
      <c r="AL28" s="97">
        <f t="shared" si="10"/>
        <v>1160</v>
      </c>
      <c r="AM28" s="111">
        <f t="shared" si="11"/>
        <v>-75354760</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6501</v>
      </c>
      <c r="N29" s="111">
        <f>O29*P29</f>
        <v>0</v>
      </c>
      <c r="O29" s="253">
        <v>0</v>
      </c>
      <c r="P29" s="97">
        <v>1</v>
      </c>
      <c r="Q29" s="167">
        <v>15011877</v>
      </c>
      <c r="R29" s="206" t="s">
        <v>4852</v>
      </c>
      <c r="S29" s="194">
        <f>S28-3</f>
        <v>873</v>
      </c>
      <c r="T29" s="206" t="s">
        <v>4856</v>
      </c>
      <c r="U29" s="206">
        <v>197.1</v>
      </c>
      <c r="V29" s="206">
        <f t="shared" si="6"/>
        <v>332.09352000000001</v>
      </c>
      <c r="W29" s="32">
        <f t="shared" si="13"/>
        <v>338.73539040000003</v>
      </c>
      <c r="X29" s="32">
        <f t="shared" si="14"/>
        <v>345.37726080000004</v>
      </c>
      <c r="Y29" s="120">
        <v>75812</v>
      </c>
      <c r="Z29" s="94"/>
      <c r="AH29" s="97">
        <v>10</v>
      </c>
      <c r="AI29" s="111" t="s">
        <v>1195</v>
      </c>
      <c r="AJ29" s="111">
        <v>6400000</v>
      </c>
      <c r="AK29" s="97">
        <v>1</v>
      </c>
      <c r="AL29" s="97">
        <f t="shared" si="10"/>
        <v>1155</v>
      </c>
      <c r="AM29" s="111">
        <f t="shared" si="11"/>
        <v>7392000000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40880920</v>
      </c>
      <c r="O30" s="67">
        <v>26860</v>
      </c>
      <c r="P30" s="97">
        <f>P51</f>
        <v>1522</v>
      </c>
      <c r="Q30" s="167">
        <v>7046042.5001907032</v>
      </c>
      <c r="R30" s="206" t="s">
        <v>4863</v>
      </c>
      <c r="S30" s="194">
        <f>S29-5</f>
        <v>868</v>
      </c>
      <c r="T30" s="206" t="s">
        <v>5565</v>
      </c>
      <c r="U30" s="206">
        <v>194.4</v>
      </c>
      <c r="V30" s="206">
        <f t="shared" si="6"/>
        <v>326.79864986301374</v>
      </c>
      <c r="W30" s="32">
        <f t="shared" si="13"/>
        <v>333.33462286027401</v>
      </c>
      <c r="X30" s="32">
        <f t="shared" si="14"/>
        <v>339.87059585753428</v>
      </c>
      <c r="Y30" s="120">
        <v>36073</v>
      </c>
      <c r="Z30" s="94"/>
      <c r="AH30" s="97">
        <v>11</v>
      </c>
      <c r="AI30" s="111" t="s">
        <v>4037</v>
      </c>
      <c r="AJ30" s="111">
        <v>-170000</v>
      </c>
      <c r="AK30" s="97">
        <v>5</v>
      </c>
      <c r="AL30" s="97">
        <f t="shared" si="10"/>
        <v>1154</v>
      </c>
      <c r="AM30" s="111">
        <f t="shared" si="11"/>
        <v>-196180000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5870</v>
      </c>
      <c r="N31" s="111">
        <f>O31*P31</f>
        <v>0</v>
      </c>
      <c r="O31" s="67">
        <v>0</v>
      </c>
      <c r="P31" s="97">
        <f>P49</f>
        <v>3000</v>
      </c>
      <c r="Q31" s="167">
        <v>5368238</v>
      </c>
      <c r="R31" s="206" t="s">
        <v>5572</v>
      </c>
      <c r="S31" s="194">
        <f>S30-465</f>
        <v>403</v>
      </c>
      <c r="T31" s="206" t="s">
        <v>5573</v>
      </c>
      <c r="U31" s="206">
        <v>1843</v>
      </c>
      <c r="V31" s="206">
        <f t="shared" si="6"/>
        <v>2440.7783123287672</v>
      </c>
      <c r="W31" s="32">
        <f t="shared" ref="W31:W34" si="15">V31*(1+$W$19/100)</f>
        <v>2489.5938785753428</v>
      </c>
      <c r="X31" s="32">
        <f t="shared" ref="X31:X34" si="16">V31*(1+$X$19/100)</f>
        <v>2538.409444821918</v>
      </c>
      <c r="Y31">
        <v>2902</v>
      </c>
      <c r="AA31" s="94"/>
      <c r="AH31" s="97">
        <v>12</v>
      </c>
      <c r="AI31" s="111" t="s">
        <v>1215</v>
      </c>
      <c r="AJ31" s="111">
        <v>-6300000</v>
      </c>
      <c r="AK31" s="97">
        <v>1</v>
      </c>
      <c r="AL31" s="97">
        <f>AL32+AK31</f>
        <v>1149</v>
      </c>
      <c r="AM31" s="111">
        <f t="shared" si="11"/>
        <v>-7238700000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21300</v>
      </c>
      <c r="Q32" s="167">
        <v>40195775</v>
      </c>
      <c r="R32" s="206" t="s">
        <v>5574</v>
      </c>
      <c r="S32" s="194">
        <f>S31-3</f>
        <v>400</v>
      </c>
      <c r="T32" s="206" t="s">
        <v>5575</v>
      </c>
      <c r="U32" s="206">
        <v>1751</v>
      </c>
      <c r="V32" s="206">
        <f t="shared" si="6"/>
        <v>2314.908350684932</v>
      </c>
      <c r="W32" s="32">
        <f t="shared" si="15"/>
        <v>2361.2065176986307</v>
      </c>
      <c r="X32" s="32">
        <f t="shared" si="16"/>
        <v>2407.5046847123294</v>
      </c>
      <c r="Y32">
        <v>22871</v>
      </c>
      <c r="AH32" s="97">
        <v>13</v>
      </c>
      <c r="AI32" s="111" t="s">
        <v>1224</v>
      </c>
      <c r="AJ32" s="111">
        <v>-52015</v>
      </c>
      <c r="AK32" s="97">
        <v>16</v>
      </c>
      <c r="AL32" s="97">
        <f t="shared" si="10"/>
        <v>1148</v>
      </c>
      <c r="AM32" s="111">
        <f t="shared" si="11"/>
        <v>-59713220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505139310</v>
      </c>
      <c r="O33" s="67">
        <v>332110</v>
      </c>
      <c r="P33" s="97">
        <f>P48</f>
        <v>1521</v>
      </c>
      <c r="Q33" s="167">
        <v>16176504</v>
      </c>
      <c r="R33" s="206" t="s">
        <v>5576</v>
      </c>
      <c r="S33" s="194">
        <f>S32-1</f>
        <v>399</v>
      </c>
      <c r="T33" s="206" t="s">
        <v>5577</v>
      </c>
      <c r="U33" s="206">
        <v>1730</v>
      </c>
      <c r="V33" s="206">
        <f t="shared" si="6"/>
        <v>2285.818191780822</v>
      </c>
      <c r="W33" s="32">
        <f t="shared" si="15"/>
        <v>2331.5345556164384</v>
      </c>
      <c r="X33" s="32">
        <f t="shared" si="16"/>
        <v>2377.2509194520549</v>
      </c>
      <c r="Y33">
        <v>9316</v>
      </c>
      <c r="Z33" t="s">
        <v>25</v>
      </c>
      <c r="AA33" s="94"/>
      <c r="AH33" s="97">
        <v>14</v>
      </c>
      <c r="AI33" s="111" t="s">
        <v>3690</v>
      </c>
      <c r="AJ33" s="111">
        <v>20017400</v>
      </c>
      <c r="AK33" s="97">
        <v>0</v>
      </c>
      <c r="AL33" s="97">
        <f t="shared" si="10"/>
        <v>1132</v>
      </c>
      <c r="AM33" s="111">
        <f t="shared" si="11"/>
        <v>22659696800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5583</v>
      </c>
      <c r="S34" s="194">
        <f>S33-8</f>
        <v>391</v>
      </c>
      <c r="T34" s="206" t="s">
        <v>5587</v>
      </c>
      <c r="U34" s="206">
        <v>1737.1</v>
      </c>
      <c r="V34" s="206">
        <f t="shared" si="6"/>
        <v>2284.538736438356</v>
      </c>
      <c r="W34" s="32">
        <f t="shared" si="15"/>
        <v>2330.2295111671233</v>
      </c>
      <c r="X34" s="32">
        <f t="shared" si="16"/>
        <v>2375.9202858958902</v>
      </c>
      <c r="Y34">
        <v>27461</v>
      </c>
      <c r="AA34" s="94"/>
      <c r="AH34" s="97">
        <v>15</v>
      </c>
      <c r="AI34" s="111" t="s">
        <v>3690</v>
      </c>
      <c r="AJ34" s="111">
        <v>1014466</v>
      </c>
      <c r="AK34" s="97">
        <v>12</v>
      </c>
      <c r="AL34" s="97">
        <f t="shared" si="10"/>
        <v>1132</v>
      </c>
      <c r="AM34" s="111">
        <f t="shared" si="11"/>
        <v>1148375512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5586</v>
      </c>
      <c r="S35" s="194">
        <f>S34-1</f>
        <v>390</v>
      </c>
      <c r="T35" s="206" t="s">
        <v>5590</v>
      </c>
      <c r="U35" s="206">
        <v>1730.1</v>
      </c>
      <c r="V35" s="206">
        <f t="shared" si="6"/>
        <v>2274.0055200000002</v>
      </c>
      <c r="W35" s="32">
        <f t="shared" ref="W35:W36" si="17">V35*(1+$W$19/100)</f>
        <v>2319.4856304</v>
      </c>
      <c r="X35" s="32">
        <f t="shared" ref="X35:X36" si="18">V35*(1+$X$19/100)</f>
        <v>2364.9657408000003</v>
      </c>
      <c r="Y35">
        <v>28136</v>
      </c>
      <c r="Z35" t="s">
        <v>25</v>
      </c>
      <c r="AA35" s="94" t="s">
        <v>25</v>
      </c>
      <c r="AH35" s="97">
        <v>16</v>
      </c>
      <c r="AI35" s="111" t="s">
        <v>1126</v>
      </c>
      <c r="AJ35" s="111">
        <v>360000</v>
      </c>
      <c r="AK35" s="97">
        <v>2</v>
      </c>
      <c r="AL35" s="97">
        <f t="shared" si="10"/>
        <v>1120</v>
      </c>
      <c r="AM35" s="111">
        <f t="shared" si="11"/>
        <v>403200000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6670</v>
      </c>
      <c r="L36" s="115">
        <v>-34500000</v>
      </c>
      <c r="M36" s="166"/>
      <c r="N36" s="111"/>
      <c r="P36" t="s">
        <v>25</v>
      </c>
      <c r="Q36" s="167">
        <v>38191823</v>
      </c>
      <c r="R36" s="206" t="s">
        <v>5588</v>
      </c>
      <c r="S36" s="194">
        <f>S35-1</f>
        <v>389</v>
      </c>
      <c r="T36" s="206" t="s">
        <v>5589</v>
      </c>
      <c r="U36" s="206">
        <v>1646</v>
      </c>
      <c r="V36" s="206">
        <f t="shared" si="6"/>
        <v>2162.2036383561644</v>
      </c>
      <c r="W36" s="32">
        <f t="shared" si="17"/>
        <v>2205.4477111232877</v>
      </c>
      <c r="X36" s="32">
        <f t="shared" si="18"/>
        <v>2248.691783890411</v>
      </c>
      <c r="Y36">
        <v>23117</v>
      </c>
      <c r="AA36" s="94"/>
      <c r="AH36" s="97">
        <v>17</v>
      </c>
      <c r="AI36" s="111" t="s">
        <v>3750</v>
      </c>
      <c r="AJ36" s="111">
        <v>-350000</v>
      </c>
      <c r="AK36" s="97">
        <v>0</v>
      </c>
      <c r="AL36" s="97">
        <f t="shared" si="10"/>
        <v>1118</v>
      </c>
      <c r="AM36" s="111">
        <f t="shared" si="11"/>
        <v>-391300000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5591</v>
      </c>
      <c r="S37" s="194">
        <f>S36-3</f>
        <v>386</v>
      </c>
      <c r="T37" s="206" t="s">
        <v>5595</v>
      </c>
      <c r="U37" s="206">
        <v>1674.7</v>
      </c>
      <c r="V37" s="206">
        <f t="shared" si="6"/>
        <v>2196.0501687671235</v>
      </c>
      <c r="W37" s="32">
        <f t="shared" ref="W37:W40" si="19">V37*(1+$W$19/100)</f>
        <v>2239.971172142466</v>
      </c>
      <c r="X37" s="32">
        <f t="shared" ref="X37:X40" si="20">V37*(1+$X$19/100)</f>
        <v>2283.8921755178085</v>
      </c>
      <c r="Y37">
        <v>41747</v>
      </c>
      <c r="Z37" t="s">
        <v>25</v>
      </c>
      <c r="AA37" s="94"/>
      <c r="AH37" s="97">
        <v>18</v>
      </c>
      <c r="AI37" s="111" t="s">
        <v>3750</v>
      </c>
      <c r="AJ37" s="111">
        <v>1000</v>
      </c>
      <c r="AK37" s="97">
        <v>1</v>
      </c>
      <c r="AL37" s="97">
        <f t="shared" si="10"/>
        <v>1118</v>
      </c>
      <c r="AM37" s="111">
        <f t="shared" si="11"/>
        <v>1118000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5593</v>
      </c>
      <c r="S38" s="194">
        <f>S37-2</f>
        <v>384</v>
      </c>
      <c r="T38" s="206" t="s">
        <v>5594</v>
      </c>
      <c r="U38" s="206">
        <v>1663</v>
      </c>
      <c r="V38" s="206">
        <f t="shared" si="6"/>
        <v>2178.156394520548</v>
      </c>
      <c r="W38" s="32">
        <f t="shared" si="19"/>
        <v>2221.7195224109591</v>
      </c>
      <c r="X38" s="32">
        <f t="shared" si="20"/>
        <v>2265.2826503013698</v>
      </c>
      <c r="Y38">
        <v>13949</v>
      </c>
      <c r="Z38" t="s">
        <v>25</v>
      </c>
      <c r="AA38" s="94"/>
      <c r="AH38" s="97">
        <v>19</v>
      </c>
      <c r="AI38" s="111" t="s">
        <v>3754</v>
      </c>
      <c r="AJ38" s="111">
        <v>33610000</v>
      </c>
      <c r="AK38" s="97">
        <v>4</v>
      </c>
      <c r="AL38" s="97">
        <f t="shared" si="10"/>
        <v>1117</v>
      </c>
      <c r="AM38" s="111">
        <f t="shared" si="11"/>
        <v>37542370000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5596</v>
      </c>
      <c r="S39" s="194">
        <f>S38-1</f>
        <v>383</v>
      </c>
      <c r="T39" s="206" t="s">
        <v>5601</v>
      </c>
      <c r="U39" s="206">
        <v>1580</v>
      </c>
      <c r="V39" s="206">
        <f t="shared" si="6"/>
        <v>2068.2329863013701</v>
      </c>
      <c r="W39" s="32">
        <f t="shared" si="19"/>
        <v>2109.5976460273978</v>
      </c>
      <c r="X39" s="32">
        <f t="shared" si="20"/>
        <v>2150.962305753425</v>
      </c>
      <c r="Y39">
        <v>1016</v>
      </c>
      <c r="AA39" s="94" t="s">
        <v>25</v>
      </c>
      <c r="AB39" s="94"/>
      <c r="AC39" s="94"/>
      <c r="AD39" s="94"/>
      <c r="AH39" s="97">
        <v>20</v>
      </c>
      <c r="AI39" s="111" t="s">
        <v>4038</v>
      </c>
      <c r="AJ39" s="111">
        <v>-15600000</v>
      </c>
      <c r="AK39" s="97">
        <v>3</v>
      </c>
      <c r="AL39" s="97">
        <f t="shared" si="10"/>
        <v>1113</v>
      </c>
      <c r="AM39" s="111">
        <f t="shared" si="11"/>
        <v>-17362800000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5603</v>
      </c>
      <c r="S40" s="194">
        <f>S39-5</f>
        <v>378</v>
      </c>
      <c r="T40" s="206" t="s">
        <v>5605</v>
      </c>
      <c r="U40" s="206">
        <v>1560.1</v>
      </c>
      <c r="V40" s="206">
        <f t="shared" si="6"/>
        <v>2036.1997775342466</v>
      </c>
      <c r="W40" s="32">
        <f t="shared" si="19"/>
        <v>2076.9237730849313</v>
      </c>
      <c r="X40" s="32">
        <f t="shared" si="20"/>
        <v>2117.6477686356166</v>
      </c>
      <c r="Y40">
        <v>360127</v>
      </c>
      <c r="Z40" s="113"/>
      <c r="AB40" s="94"/>
      <c r="AC40" s="94"/>
      <c r="AD40" s="94"/>
      <c r="AH40" s="97">
        <v>21</v>
      </c>
      <c r="AI40" s="111" t="s">
        <v>3768</v>
      </c>
      <c r="AJ40" s="111">
        <v>7500000</v>
      </c>
      <c r="AK40" s="97">
        <v>4</v>
      </c>
      <c r="AL40" s="97">
        <f t="shared" si="10"/>
        <v>1110</v>
      </c>
      <c r="AM40" s="111">
        <f t="shared" si="11"/>
        <v>8325000000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6669</v>
      </c>
      <c r="L41" s="115">
        <v>-43000000</v>
      </c>
      <c r="M41" s="166" t="s">
        <v>6672</v>
      </c>
      <c r="N41" s="111">
        <v>-14000000</v>
      </c>
      <c r="O41" t="s">
        <v>25</v>
      </c>
      <c r="P41" t="s">
        <v>25</v>
      </c>
      <c r="Q41" s="167">
        <v>814638349</v>
      </c>
      <c r="R41" s="206" t="s">
        <v>5610</v>
      </c>
      <c r="S41" s="194">
        <f>S40-8</f>
        <v>370</v>
      </c>
      <c r="T41" s="206" t="s">
        <v>5611</v>
      </c>
      <c r="U41" s="206">
        <v>1667</v>
      </c>
      <c r="V41" s="206">
        <f t="shared" si="6"/>
        <v>2165.49237260274</v>
      </c>
      <c r="W41" s="32">
        <f t="shared" ref="W41:W42" si="21">V41*(1+$W$19/100)</f>
        <v>2208.8022200547948</v>
      </c>
      <c r="X41" s="32">
        <f t="shared" ref="X41:X42" si="22">V41*(1+$X$19/100)</f>
        <v>2252.1120675068496</v>
      </c>
      <c r="Y41">
        <v>486878</v>
      </c>
      <c r="Z41" s="113"/>
      <c r="AB41" s="94"/>
      <c r="AC41" s="94"/>
      <c r="AD41" s="94"/>
      <c r="AH41" s="97">
        <v>22</v>
      </c>
      <c r="AI41" s="111" t="s">
        <v>4039</v>
      </c>
      <c r="AJ41" s="111">
        <v>-98000</v>
      </c>
      <c r="AK41" s="97">
        <v>1</v>
      </c>
      <c r="AL41" s="97">
        <f t="shared" si="10"/>
        <v>1106</v>
      </c>
      <c r="AM41" s="111">
        <f t="shared" si="11"/>
        <v>-108388000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206"/>
      <c r="L42" s="115"/>
      <c r="M42" s="166" t="s">
        <v>6673</v>
      </c>
      <c r="N42" s="111">
        <v>-34200000</v>
      </c>
      <c r="O42" s="275"/>
      <c r="P42" s="94" t="s">
        <v>25</v>
      </c>
      <c r="Q42" s="167">
        <v>2537951</v>
      </c>
      <c r="R42" s="206" t="s">
        <v>5625</v>
      </c>
      <c r="S42" s="194">
        <f>S41-5</f>
        <v>365</v>
      </c>
      <c r="T42" s="206" t="s">
        <v>5626</v>
      </c>
      <c r="U42" s="206">
        <v>1768.2</v>
      </c>
      <c r="V42" s="206">
        <f t="shared" si="6"/>
        <v>2290.1726400000002</v>
      </c>
      <c r="W42" s="32">
        <f t="shared" si="21"/>
        <v>2335.9760928000001</v>
      </c>
      <c r="X42" s="32">
        <f t="shared" si="22"/>
        <v>2381.7795456000003</v>
      </c>
      <c r="Y42">
        <v>1430</v>
      </c>
      <c r="Z42" s="113"/>
      <c r="AB42" s="113"/>
      <c r="AC42" s="113"/>
      <c r="AD42" s="113"/>
      <c r="AE42" s="113"/>
      <c r="AF42" s="113"/>
      <c r="AH42" s="97">
        <v>23</v>
      </c>
      <c r="AI42" s="111" t="s">
        <v>4033</v>
      </c>
      <c r="AJ42" s="111">
        <v>-26000000</v>
      </c>
      <c r="AK42" s="97">
        <v>0</v>
      </c>
      <c r="AL42" s="97">
        <f t="shared" si="10"/>
        <v>1105</v>
      </c>
      <c r="AM42" s="111">
        <f t="shared" si="11"/>
        <v>-28730000000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5634</v>
      </c>
      <c r="S43" s="194">
        <f>S42-3</f>
        <v>362</v>
      </c>
      <c r="T43" s="206" t="s">
        <v>5641</v>
      </c>
      <c r="U43" s="206">
        <v>1582.3</v>
      </c>
      <c r="V43" s="206">
        <f t="shared" si="6"/>
        <v>2045.7535024657536</v>
      </c>
      <c r="W43" s="32">
        <f t="shared" ref="W43:W44" si="23">V43*(1+$W$19/100)</f>
        <v>2086.6685725150687</v>
      </c>
      <c r="X43" s="32">
        <f t="shared" ref="X43:X44" si="24">V43*(1+$X$19/100)</f>
        <v>2127.5836425643838</v>
      </c>
      <c r="Y43" s="94">
        <v>42448</v>
      </c>
      <c r="Z43" s="120"/>
      <c r="AB43" s="113"/>
      <c r="AC43" s="113"/>
      <c r="AD43" s="113"/>
      <c r="AE43" s="113"/>
      <c r="AF43" s="113"/>
      <c r="AH43" s="97">
        <v>24</v>
      </c>
      <c r="AI43" s="111" t="s">
        <v>4033</v>
      </c>
      <c r="AJ43" s="111">
        <v>25000000</v>
      </c>
      <c r="AK43" s="97">
        <v>1</v>
      </c>
      <c r="AL43" s="97">
        <f t="shared" si="10"/>
        <v>1105</v>
      </c>
      <c r="AM43" s="111">
        <f t="shared" si="11"/>
        <v>27625000000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6651</v>
      </c>
      <c r="L44" s="115">
        <v>20000000</v>
      </c>
      <c r="M44" s="166" t="s">
        <v>4414</v>
      </c>
      <c r="N44" s="326">
        <v>62</v>
      </c>
      <c r="O44" s="112"/>
      <c r="P44" t="s">
        <v>25</v>
      </c>
      <c r="Q44" s="167">
        <v>23400057</v>
      </c>
      <c r="R44" s="206" t="s">
        <v>5638</v>
      </c>
      <c r="S44" s="194">
        <f>S43-1</f>
        <v>361</v>
      </c>
      <c r="T44" s="206" t="s">
        <v>5642</v>
      </c>
      <c r="U44" s="206">
        <v>1610.6</v>
      </c>
      <c r="V44" s="206">
        <f t="shared" si="6"/>
        <v>2081.1070049315067</v>
      </c>
      <c r="W44" s="32">
        <f t="shared" si="23"/>
        <v>2122.7291450301368</v>
      </c>
      <c r="X44" s="32">
        <f t="shared" si="24"/>
        <v>2164.3512851287669</v>
      </c>
      <c r="Y44" s="94">
        <v>14475</v>
      </c>
      <c r="Z44" s="120" t="s">
        <v>25</v>
      </c>
      <c r="AB44" s="113"/>
      <c r="AC44" s="113"/>
      <c r="AD44" s="113" t="s">
        <v>25</v>
      </c>
      <c r="AE44" s="113"/>
      <c r="AF44" s="113"/>
      <c r="AH44" s="97">
        <v>25</v>
      </c>
      <c r="AI44" s="111" t="s">
        <v>4034</v>
      </c>
      <c r="AJ44" s="111">
        <v>110000</v>
      </c>
      <c r="AK44" s="97">
        <v>1</v>
      </c>
      <c r="AL44" s="97">
        <f t="shared" si="10"/>
        <v>1104</v>
      </c>
      <c r="AM44" s="111">
        <f t="shared" si="11"/>
        <v>121440000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6686</v>
      </c>
      <c r="L45" s="115">
        <v>25000000</v>
      </c>
      <c r="M45" s="166" t="s">
        <v>6501</v>
      </c>
      <c r="N45" s="111">
        <f>O45*P45</f>
        <v>0</v>
      </c>
      <c r="O45" s="97">
        <v>0</v>
      </c>
      <c r="P45" s="97">
        <v>1</v>
      </c>
      <c r="Q45" s="167"/>
      <c r="R45" s="206" t="s">
        <v>5644</v>
      </c>
      <c r="S45" s="194">
        <f>S44-4</f>
        <v>357</v>
      </c>
      <c r="T45" s="206" t="s">
        <v>5645</v>
      </c>
      <c r="U45" s="206">
        <v>1582</v>
      </c>
      <c r="V45" s="206">
        <f t="shared" si="6"/>
        <v>2039.2976876712332</v>
      </c>
      <c r="W45" s="32">
        <f t="shared" ref="W45:W46" si="25">V45*(1+$W$19/100)</f>
        <v>2080.0836414246578</v>
      </c>
      <c r="X45" s="32">
        <f t="shared" ref="X45:X46" si="26">V45*(1+$X$19/100)</f>
        <v>2120.8695951780828</v>
      </c>
      <c r="Y45" s="94">
        <v>71983</v>
      </c>
      <c r="Z45" s="120"/>
      <c r="AA45" s="94"/>
      <c r="AB45" s="113"/>
      <c r="AC45" s="113" t="s">
        <v>25</v>
      </c>
      <c r="AD45" s="113" t="s">
        <v>25</v>
      </c>
      <c r="AE45" s="113"/>
      <c r="AF45" s="113" t="s">
        <v>25</v>
      </c>
      <c r="AH45" s="97">
        <v>26</v>
      </c>
      <c r="AI45" s="111" t="s">
        <v>3783</v>
      </c>
      <c r="AJ45" s="111">
        <v>380000</v>
      </c>
      <c r="AK45" s="97">
        <v>7</v>
      </c>
      <c r="AL45" s="97">
        <f t="shared" si="10"/>
        <v>1103</v>
      </c>
      <c r="AM45" s="111">
        <f t="shared" si="11"/>
        <v>419140000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21300</v>
      </c>
      <c r="Q46" s="167"/>
      <c r="R46" s="206" t="s">
        <v>5646</v>
      </c>
      <c r="S46" s="194">
        <f>S45-1</f>
        <v>356</v>
      </c>
      <c r="T46" s="206" t="s">
        <v>5647</v>
      </c>
      <c r="U46" s="206">
        <v>1530</v>
      </c>
      <c r="V46" s="206">
        <f t="shared" si="6"/>
        <v>1971.0927123287672</v>
      </c>
      <c r="W46" s="32">
        <f t="shared" si="25"/>
        <v>2010.5145665753425</v>
      </c>
      <c r="X46" s="32">
        <f t="shared" si="26"/>
        <v>2049.9364208219181</v>
      </c>
      <c r="Y46" s="94">
        <v>2971</v>
      </c>
      <c r="Z46" s="120"/>
      <c r="AA46" s="94"/>
      <c r="AB46" s="113"/>
      <c r="AC46" s="113"/>
      <c r="AD46" s="113"/>
      <c r="AE46" s="113"/>
      <c r="AF46" s="113"/>
      <c r="AH46" s="97">
        <v>27</v>
      </c>
      <c r="AI46" s="111" t="s">
        <v>3869</v>
      </c>
      <c r="AJ46" s="111">
        <v>450000</v>
      </c>
      <c r="AK46" s="97">
        <v>6</v>
      </c>
      <c r="AL46" s="97">
        <f t="shared" si="10"/>
        <v>1096</v>
      </c>
      <c r="AM46" s="111">
        <f t="shared" si="11"/>
        <v>493200000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26700</v>
      </c>
      <c r="Q47" s="167"/>
      <c r="R47" s="206" t="s">
        <v>5649</v>
      </c>
      <c r="S47" s="194">
        <f>S46-2</f>
        <v>354</v>
      </c>
      <c r="T47" s="206" t="s">
        <v>5650</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1090</v>
      </c>
      <c r="AM47" s="111">
        <f t="shared" si="11"/>
        <v>3052000000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5171400000</v>
      </c>
      <c r="O48" s="97">
        <v>3400000</v>
      </c>
      <c r="P48" s="97">
        <v>1521</v>
      </c>
      <c r="Q48" s="167"/>
      <c r="R48" s="206" t="s">
        <v>5665</v>
      </c>
      <c r="S48" s="194">
        <f>S47-19</f>
        <v>335</v>
      </c>
      <c r="T48" s="206" t="s">
        <v>5666</v>
      </c>
      <c r="U48" s="206">
        <v>1160</v>
      </c>
      <c r="V48" s="206">
        <f t="shared" si="6"/>
        <v>1475.7361095890412</v>
      </c>
      <c r="W48" s="32">
        <f t="shared" si="28"/>
        <v>1505.2508317808222</v>
      </c>
      <c r="X48" s="32">
        <f t="shared" si="29"/>
        <v>1534.7655539726029</v>
      </c>
      <c r="Y48" s="94">
        <v>53136</v>
      </c>
      <c r="Z48" s="120"/>
      <c r="AA48" s="94"/>
      <c r="AB48" s="113" t="s">
        <v>25</v>
      </c>
      <c r="AC48" s="113"/>
      <c r="AD48" s="113"/>
      <c r="AE48" s="113"/>
      <c r="AF48" s="113"/>
      <c r="AH48" s="97">
        <v>29</v>
      </c>
      <c r="AI48" s="111" t="s">
        <v>3894</v>
      </c>
      <c r="AJ48" s="111">
        <v>-1500000</v>
      </c>
      <c r="AK48" s="97">
        <v>0</v>
      </c>
      <c r="AL48" s="97">
        <f t="shared" si="10"/>
        <v>1089</v>
      </c>
      <c r="AM48" s="111">
        <f t="shared" si="11"/>
        <v>-1633500000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t="s">
        <v>6652</v>
      </c>
      <c r="L49" s="115">
        <f>-20*P53</f>
        <v>-23300000</v>
      </c>
      <c r="M49" s="19" t="s">
        <v>5870</v>
      </c>
      <c r="N49" s="111">
        <f>O49*P49</f>
        <v>0</v>
      </c>
      <c r="O49" s="97">
        <v>0</v>
      </c>
      <c r="P49" s="97">
        <v>3000</v>
      </c>
      <c r="Q49" s="167"/>
      <c r="R49" s="206" t="s">
        <v>5667</v>
      </c>
      <c r="S49" s="194">
        <f>S48-1</f>
        <v>334</v>
      </c>
      <c r="T49" s="206" t="s">
        <v>5668</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1089</v>
      </c>
      <c r="AM49" s="111">
        <f t="shared" si="11"/>
        <v>3321450000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97"/>
      <c r="I50" s="191"/>
      <c r="J50" s="126"/>
      <c r="K50" s="206"/>
      <c r="L50" s="115"/>
      <c r="M50" s="19" t="s">
        <v>5840</v>
      </c>
      <c r="N50" s="111">
        <f>O50*P50</f>
        <v>0</v>
      </c>
      <c r="O50" s="97">
        <v>0</v>
      </c>
      <c r="P50" s="97">
        <v>8133</v>
      </c>
      <c r="Q50" s="167"/>
      <c r="R50" s="206" t="s">
        <v>5669</v>
      </c>
      <c r="S50" s="194">
        <f>S49-1</f>
        <v>333</v>
      </c>
      <c r="T50" s="206" t="s">
        <v>5670</v>
      </c>
      <c r="U50" s="206"/>
      <c r="V50" s="206">
        <f t="shared" si="6"/>
        <v>0</v>
      </c>
      <c r="W50" s="32">
        <f t="shared" si="28"/>
        <v>0</v>
      </c>
      <c r="X50" s="32">
        <f t="shared" si="29"/>
        <v>0</v>
      </c>
      <c r="Y50" s="94">
        <v>173628</v>
      </c>
      <c r="Z50" s="120"/>
      <c r="AA50" s="94"/>
      <c r="AH50" s="97">
        <v>31</v>
      </c>
      <c r="AI50" s="111" t="s">
        <v>3918</v>
      </c>
      <c r="AJ50" s="111">
        <v>-8299612</v>
      </c>
      <c r="AK50" s="97">
        <v>2</v>
      </c>
      <c r="AL50" s="97">
        <f t="shared" si="10"/>
        <v>1086</v>
      </c>
      <c r="AM50" s="111">
        <f t="shared" si="11"/>
        <v>-9013378632</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97"/>
      <c r="I51" s="191"/>
      <c r="J51" s="126"/>
      <c r="K51" s="242" t="s">
        <v>6684</v>
      </c>
      <c r="L51" s="115">
        <f>-10*P53</f>
        <v>-11650000</v>
      </c>
      <c r="M51" s="19" t="s">
        <v>5267</v>
      </c>
      <c r="N51" s="111">
        <f t="shared" si="27"/>
        <v>1882045842</v>
      </c>
      <c r="O51" s="97">
        <v>1236561</v>
      </c>
      <c r="P51" s="97">
        <v>1522</v>
      </c>
      <c r="Q51" s="167"/>
      <c r="R51" s="206" t="s">
        <v>5671</v>
      </c>
      <c r="S51" s="194">
        <f>S50-3</f>
        <v>330</v>
      </c>
      <c r="T51" s="206" t="s">
        <v>5672</v>
      </c>
      <c r="U51" s="206"/>
      <c r="V51" s="206">
        <f t="shared" si="6"/>
        <v>0</v>
      </c>
      <c r="W51" s="32">
        <f t="shared" si="28"/>
        <v>0</v>
      </c>
      <c r="X51" s="32">
        <f t="shared" si="29"/>
        <v>0</v>
      </c>
      <c r="Y51" s="94">
        <v>79504</v>
      </c>
      <c r="Z51" s="120"/>
      <c r="AA51" s="94"/>
      <c r="AH51" s="97">
        <v>32</v>
      </c>
      <c r="AI51" s="111" t="s">
        <v>3913</v>
      </c>
      <c r="AJ51" s="111">
        <v>5000000</v>
      </c>
      <c r="AK51" s="97">
        <v>14</v>
      </c>
      <c r="AL51" s="97">
        <f t="shared" si="10"/>
        <v>1084</v>
      </c>
      <c r="AM51" s="111">
        <f t="shared" si="11"/>
        <v>5420000000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97"/>
      <c r="I52" s="191"/>
      <c r="J52" s="126"/>
      <c r="K52" s="206" t="s">
        <v>6685</v>
      </c>
      <c r="L52" s="115">
        <v>80060</v>
      </c>
      <c r="M52" s="19" t="s">
        <v>5812</v>
      </c>
      <c r="N52" s="111">
        <f t="shared" si="27"/>
        <v>0</v>
      </c>
      <c r="O52" s="97">
        <v>0</v>
      </c>
      <c r="P52" s="97">
        <v>1340</v>
      </c>
      <c r="Q52" s="167"/>
      <c r="R52" s="206" t="s">
        <v>5674</v>
      </c>
      <c r="S52" s="194">
        <f>S51-2</f>
        <v>328</v>
      </c>
      <c r="T52" s="206" t="s">
        <v>5675</v>
      </c>
      <c r="U52" s="206"/>
      <c r="V52" s="206">
        <f t="shared" ref="V52:V75" si="30">U52*(1+$R$111+$Q$15*S52/36500)</f>
        <v>0</v>
      </c>
      <c r="W52" s="32">
        <f t="shared" si="28"/>
        <v>0</v>
      </c>
      <c r="X52" s="32">
        <f t="shared" si="29"/>
        <v>0</v>
      </c>
      <c r="Y52" s="94">
        <v>19196</v>
      </c>
      <c r="Z52" s="120"/>
      <c r="AA52" s="94"/>
      <c r="AH52" s="97">
        <v>33</v>
      </c>
      <c r="AI52" s="111" t="s">
        <v>973</v>
      </c>
      <c r="AJ52" s="111">
        <v>-90000</v>
      </c>
      <c r="AK52" s="97">
        <v>1</v>
      </c>
      <c r="AL52" s="97">
        <f t="shared" si="10"/>
        <v>1070</v>
      </c>
      <c r="AM52" s="111">
        <f t="shared" si="11"/>
        <v>-96300000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11650000</v>
      </c>
      <c r="O53" s="67">
        <v>10</v>
      </c>
      <c r="P53" s="67">
        <v>1165000</v>
      </c>
      <c r="Q53" s="167" t="s">
        <v>25</v>
      </c>
      <c r="R53" s="206" t="s">
        <v>5677</v>
      </c>
      <c r="S53" s="194">
        <f>S52-7</f>
        <v>321</v>
      </c>
      <c r="T53" s="206" t="s">
        <v>6496</v>
      </c>
      <c r="U53" s="206">
        <v>1100</v>
      </c>
      <c r="V53" s="206">
        <f t="shared" si="30"/>
        <v>1387.5912328767126</v>
      </c>
      <c r="W53" s="32">
        <f t="shared" si="28"/>
        <v>1415.343057534247</v>
      </c>
      <c r="X53" s="32">
        <f t="shared" si="29"/>
        <v>1443.0948821917812</v>
      </c>
      <c r="Y53" s="94">
        <v>101322</v>
      </c>
      <c r="Z53" s="120"/>
      <c r="AA53" s="94"/>
      <c r="AH53" s="97">
        <v>34</v>
      </c>
      <c r="AI53" s="111" t="s">
        <v>4035</v>
      </c>
      <c r="AJ53" s="111">
        <v>5600000</v>
      </c>
      <c r="AK53" s="97">
        <v>4</v>
      </c>
      <c r="AL53" s="97">
        <f t="shared" si="10"/>
        <v>1069</v>
      </c>
      <c r="AM53" s="111">
        <f t="shared" si="11"/>
        <v>5986400000</v>
      </c>
      <c r="AN53" s="97"/>
    </row>
    <row r="54" spans="1:45">
      <c r="A54" s="61">
        <v>1400</v>
      </c>
      <c r="B54" s="11">
        <v>52</v>
      </c>
      <c r="C54" s="47">
        <f t="shared" si="4"/>
        <v>5380547.1560366414</v>
      </c>
      <c r="D54" s="3">
        <f t="shared" si="5"/>
        <v>4370773.2377119577</v>
      </c>
      <c r="E54" s="3">
        <f t="shared" si="12"/>
        <v>542808580.73450804</v>
      </c>
      <c r="F54" s="3"/>
      <c r="G54" s="11"/>
      <c r="H54" s="97"/>
      <c r="I54" s="191"/>
      <c r="J54" s="126"/>
      <c r="K54" s="206"/>
      <c r="L54" s="115"/>
      <c r="M54" s="71" t="s">
        <v>5055</v>
      </c>
      <c r="N54" s="115">
        <f t="shared" si="27"/>
        <v>0</v>
      </c>
      <c r="O54" s="67">
        <v>0</v>
      </c>
      <c r="P54" s="67">
        <v>27500</v>
      </c>
      <c r="Q54" s="167"/>
      <c r="R54" s="206" t="s">
        <v>963</v>
      </c>
      <c r="S54" s="284">
        <f>S53-20</f>
        <v>301</v>
      </c>
      <c r="T54" s="206" t="s">
        <v>5699</v>
      </c>
      <c r="U54" s="206"/>
      <c r="V54" s="206">
        <f t="shared" si="30"/>
        <v>0</v>
      </c>
      <c r="W54" s="32">
        <f t="shared" si="28"/>
        <v>0</v>
      </c>
      <c r="X54" s="32">
        <f t="shared" si="29"/>
        <v>0</v>
      </c>
      <c r="Y54" s="94">
        <v>948</v>
      </c>
      <c r="Z54" s="120"/>
      <c r="AA54" s="94"/>
      <c r="AH54" s="97">
        <v>35</v>
      </c>
      <c r="AI54" s="111" t="s">
        <v>3963</v>
      </c>
      <c r="AJ54" s="111">
        <v>750000</v>
      </c>
      <c r="AK54" s="97">
        <v>2</v>
      </c>
      <c r="AL54" s="97">
        <f t="shared" si="10"/>
        <v>1065</v>
      </c>
      <c r="AM54" s="111">
        <f t="shared" si="11"/>
        <v>798750000</v>
      </c>
      <c r="AN54" s="97"/>
    </row>
    <row r="55" spans="1:45">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Q55" s="167" t="s">
        <v>25</v>
      </c>
      <c r="R55" s="206" t="s">
        <v>5736</v>
      </c>
      <c r="S55" s="194">
        <f>S54-22</f>
        <v>279</v>
      </c>
      <c r="T55" s="206" t="s">
        <v>5737</v>
      </c>
      <c r="U55" s="206">
        <v>1302</v>
      </c>
      <c r="V55" s="206">
        <f t="shared" si="30"/>
        <v>1600.4540712328769</v>
      </c>
      <c r="W55" s="32">
        <f t="shared" si="28"/>
        <v>1632.4631526575345</v>
      </c>
      <c r="X55" s="32">
        <f t="shared" si="29"/>
        <v>1664.472234082192</v>
      </c>
      <c r="Y55">
        <v>483004</v>
      </c>
      <c r="Z55" s="120" t="s">
        <v>25</v>
      </c>
      <c r="AA55" s="94"/>
      <c r="AH55" s="169">
        <v>36</v>
      </c>
      <c r="AI55" s="168" t="s">
        <v>3973</v>
      </c>
      <c r="AJ55" s="168">
        <v>-4242000</v>
      </c>
      <c r="AK55" s="169">
        <v>2</v>
      </c>
      <c r="AL55" s="169">
        <f t="shared" si="10"/>
        <v>1063</v>
      </c>
      <c r="AM55" s="168">
        <f t="shared" si="11"/>
        <v>-4509246000</v>
      </c>
      <c r="AN55" s="169" t="s">
        <v>4044</v>
      </c>
    </row>
    <row r="56" spans="1:45">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Q56" s="167"/>
      <c r="R56" s="206" t="s">
        <v>5742</v>
      </c>
      <c r="S56" s="194">
        <f>S55-1</f>
        <v>278</v>
      </c>
      <c r="T56" s="206" t="s">
        <v>5743</v>
      </c>
      <c r="U56" s="206">
        <v>1250</v>
      </c>
      <c r="V56" s="206">
        <f t="shared" si="30"/>
        <v>1535.5753424657537</v>
      </c>
      <c r="W56" s="32">
        <f t="shared" ref="W56:W67" si="31">V56*(1+$W$19/100)</f>
        <v>1566.2868493150688</v>
      </c>
      <c r="X56" s="32">
        <f t="shared" ref="X56:X67" si="32">V56*(1+$X$19/100)</f>
        <v>1596.9983561643839</v>
      </c>
      <c r="Y56" s="120">
        <v>20399</v>
      </c>
      <c r="Z56" s="120"/>
      <c r="AA56" s="94"/>
      <c r="AH56" s="97">
        <v>37</v>
      </c>
      <c r="AI56" s="111" t="s">
        <v>3973</v>
      </c>
      <c r="AJ56" s="111">
        <v>4100000</v>
      </c>
      <c r="AK56" s="97">
        <v>0</v>
      </c>
      <c r="AL56" s="97">
        <f t="shared" si="10"/>
        <v>1061</v>
      </c>
      <c r="AM56" s="111">
        <f t="shared" si="11"/>
        <v>4350100000</v>
      </c>
      <c r="AN56" s="97"/>
    </row>
    <row r="57" spans="1:45">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O48-697049</f>
        <v>2702951</v>
      </c>
      <c r="P57" s="113"/>
      <c r="Q57" s="167"/>
      <c r="R57" s="206" t="s">
        <v>5746</v>
      </c>
      <c r="S57" s="194">
        <f>S56-4</f>
        <v>274</v>
      </c>
      <c r="T57" s="206" t="s">
        <v>5747</v>
      </c>
      <c r="U57" s="206">
        <v>1195</v>
      </c>
      <c r="V57" s="206">
        <f t="shared" si="30"/>
        <v>1464.3431780821918</v>
      </c>
      <c r="W57" s="32">
        <f t="shared" si="31"/>
        <v>1493.6300416438357</v>
      </c>
      <c r="X57" s="32">
        <f t="shared" si="32"/>
        <v>1522.9169052054795</v>
      </c>
      <c r="Y57" s="120">
        <v>3122</v>
      </c>
      <c r="Z57" s="120"/>
      <c r="AA57" s="94"/>
      <c r="AH57" s="97">
        <v>38</v>
      </c>
      <c r="AI57" s="111" t="s">
        <v>3979</v>
      </c>
      <c r="AJ57" s="111">
        <v>4100000</v>
      </c>
      <c r="AK57" s="97">
        <v>1</v>
      </c>
      <c r="AL57" s="97">
        <f t="shared" si="10"/>
        <v>1061</v>
      </c>
      <c r="AM57" s="111">
        <f t="shared" si="11"/>
        <v>4350100000</v>
      </c>
      <c r="AN57" s="97"/>
    </row>
    <row r="58" spans="1:45" ht="18.75">
      <c r="A58" s="61">
        <v>1400</v>
      </c>
      <c r="B58" s="11">
        <v>56</v>
      </c>
      <c r="C58" s="48">
        <f t="shared" si="4"/>
        <v>5599018.9465658255</v>
      </c>
      <c r="D58" s="3">
        <f t="shared" si="5"/>
        <v>4548244.1579637462</v>
      </c>
      <c r="E58" s="3">
        <f t="shared" si="12"/>
        <v>591819398.97808707</v>
      </c>
      <c r="F58" s="3"/>
      <c r="G58" s="11"/>
      <c r="H58" s="97"/>
      <c r="I58" s="410"/>
      <c r="J58" s="411"/>
      <c r="K58" s="206"/>
      <c r="L58" s="115"/>
      <c r="M58" s="166"/>
      <c r="N58" s="111"/>
      <c r="P58" t="s">
        <v>25</v>
      </c>
      <c r="Q58" s="167"/>
      <c r="R58" s="206" t="s">
        <v>5753</v>
      </c>
      <c r="S58" s="194">
        <f>S57-4</f>
        <v>270</v>
      </c>
      <c r="T58" s="206" t="s">
        <v>5757</v>
      </c>
      <c r="U58" s="206">
        <v>1190</v>
      </c>
      <c r="V58" s="206">
        <f t="shared" si="30"/>
        <v>1454.5647123287672</v>
      </c>
      <c r="W58" s="32">
        <f t="shared" si="31"/>
        <v>1483.6560065753426</v>
      </c>
      <c r="X58" s="32">
        <f t="shared" si="32"/>
        <v>1512.7473008219179</v>
      </c>
      <c r="Y58" s="120">
        <v>129</v>
      </c>
      <c r="Z58" s="120"/>
      <c r="AA58" s="94"/>
      <c r="AH58" s="97">
        <v>39</v>
      </c>
      <c r="AI58" s="111" t="s">
        <v>3988</v>
      </c>
      <c r="AJ58" s="111">
        <v>790000</v>
      </c>
      <c r="AK58" s="97">
        <v>15</v>
      </c>
      <c r="AL58" s="97">
        <f t="shared" si="10"/>
        <v>1060</v>
      </c>
      <c r="AM58" s="111">
        <f t="shared" si="11"/>
        <v>837400000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Q59" s="167"/>
      <c r="R59" s="206" t="s">
        <v>5755</v>
      </c>
      <c r="S59" s="194">
        <f>S57-7</f>
        <v>267</v>
      </c>
      <c r="T59" s="206" t="s">
        <v>5756</v>
      </c>
      <c r="U59" s="206">
        <v>1147</v>
      </c>
      <c r="V59" s="206">
        <f t="shared" si="30"/>
        <v>1399.3651397260276</v>
      </c>
      <c r="W59" s="32">
        <f t="shared" si="31"/>
        <v>1427.352442520548</v>
      </c>
      <c r="X59" s="32">
        <f t="shared" si="32"/>
        <v>1455.3397453150687</v>
      </c>
      <c r="Y59" s="120">
        <v>27849</v>
      </c>
      <c r="Z59" s="120"/>
      <c r="AA59" s="94"/>
      <c r="AB59" s="94"/>
      <c r="AC59" s="94"/>
      <c r="AH59" s="169">
        <v>40</v>
      </c>
      <c r="AI59" s="168" t="s">
        <v>4019</v>
      </c>
      <c r="AJ59" s="168">
        <v>-3865000</v>
      </c>
      <c r="AK59" s="169">
        <v>6</v>
      </c>
      <c r="AL59" s="169">
        <f t="shared" si="10"/>
        <v>1045</v>
      </c>
      <c r="AM59" s="170">
        <f t="shared" si="11"/>
        <v>-4038925000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115"/>
      <c r="M60" s="166"/>
      <c r="N60" s="111"/>
      <c r="O60">
        <f>O51+672591</f>
        <v>1909152</v>
      </c>
      <c r="P60" t="s">
        <v>25</v>
      </c>
      <c r="Q60" s="167"/>
      <c r="R60" s="206" t="s">
        <v>5759</v>
      </c>
      <c r="S60" s="194">
        <f>S59-2</f>
        <v>265</v>
      </c>
      <c r="T60" s="206" t="s">
        <v>5872</v>
      </c>
      <c r="U60" s="206">
        <v>1170</v>
      </c>
      <c r="V60" s="206">
        <f t="shared" si="30"/>
        <v>1425.630575342466</v>
      </c>
      <c r="W60" s="32">
        <f t="shared" si="31"/>
        <v>1454.1431868493155</v>
      </c>
      <c r="X60" s="32">
        <f t="shared" si="32"/>
        <v>1482.6557983561647</v>
      </c>
      <c r="Y60" s="120">
        <v>17228</v>
      </c>
      <c r="Z60" s="120"/>
      <c r="AA60" s="94"/>
      <c r="AB60" s="94"/>
      <c r="AC60" s="94"/>
      <c r="AH60" s="20">
        <v>41</v>
      </c>
      <c r="AI60" s="115" t="s">
        <v>4049</v>
      </c>
      <c r="AJ60" s="115">
        <v>18800000</v>
      </c>
      <c r="AK60" s="20">
        <v>3</v>
      </c>
      <c r="AL60" s="97">
        <f t="shared" si="10"/>
        <v>1039</v>
      </c>
      <c r="AM60" s="111">
        <f t="shared" si="11"/>
        <v>19533200000</v>
      </c>
      <c r="AN60" s="20"/>
    </row>
    <row r="61" spans="1:45">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-W156</f>
        <v>-131693408.99311154</v>
      </c>
      <c r="P61" t="s">
        <v>25</v>
      </c>
      <c r="Q61" s="167"/>
      <c r="R61" s="206" t="s">
        <v>6414</v>
      </c>
      <c r="S61" s="194">
        <f>S60-107</f>
        <v>158</v>
      </c>
      <c r="T61" s="206" t="s">
        <v>6415</v>
      </c>
      <c r="U61" s="206">
        <v>1017</v>
      </c>
      <c r="V61" s="206">
        <f t="shared" si="30"/>
        <v>1155.7243726027398</v>
      </c>
      <c r="W61" s="32">
        <f t="shared" si="31"/>
        <v>1178.8388600547946</v>
      </c>
      <c r="X61" s="32">
        <f t="shared" si="32"/>
        <v>1201.9533475068495</v>
      </c>
      <c r="Y61" s="120">
        <v>5185</v>
      </c>
      <c r="Z61" s="120"/>
      <c r="AA61" s="94"/>
      <c r="AB61" s="94"/>
      <c r="AC61" s="94"/>
      <c r="AH61" s="20">
        <v>42</v>
      </c>
      <c r="AI61" s="115" t="s">
        <v>4065</v>
      </c>
      <c r="AJ61" s="115">
        <v>500000</v>
      </c>
      <c r="AK61" s="20">
        <v>1</v>
      </c>
      <c r="AL61" s="97">
        <f t="shared" si="10"/>
        <v>1036</v>
      </c>
      <c r="AM61" s="111">
        <f t="shared" si="11"/>
        <v>518000000</v>
      </c>
      <c r="AN61" s="20"/>
    </row>
    <row r="62" spans="1:45" ht="30">
      <c r="A62" s="61">
        <v>1400</v>
      </c>
      <c r="B62" s="11">
        <v>60</v>
      </c>
      <c r="C62" s="3">
        <f t="shared" si="4"/>
        <v>5826361.5678623738</v>
      </c>
      <c r="D62" s="3">
        <f t="shared" si="5"/>
        <v>4732921.1092361463</v>
      </c>
      <c r="E62" s="46">
        <f t="shared" si="12"/>
        <v>645043498.87861323</v>
      </c>
      <c r="F62" s="3"/>
      <c r="G62" s="11"/>
      <c r="H62" s="11"/>
      <c r="K62" s="242" t="s">
        <v>5527</v>
      </c>
      <c r="L62" s="115">
        <v>-1605910</v>
      </c>
      <c r="M62" s="166"/>
      <c r="N62" s="111"/>
      <c r="O62">
        <v>1455</v>
      </c>
      <c r="P62" t="s">
        <v>25</v>
      </c>
      <c r="Q62" s="167"/>
      <c r="R62" s="206" t="s">
        <v>6416</v>
      </c>
      <c r="S62" s="194">
        <f>S61-3</f>
        <v>155</v>
      </c>
      <c r="T62" s="206" t="s">
        <v>6417</v>
      </c>
      <c r="U62" s="206">
        <v>990</v>
      </c>
      <c r="V62" s="206">
        <f t="shared" si="30"/>
        <v>1122.7630684931507</v>
      </c>
      <c r="W62" s="32">
        <f t="shared" si="31"/>
        <v>1145.2183298630139</v>
      </c>
      <c r="X62" s="32">
        <f t="shared" si="32"/>
        <v>1167.6735912328768</v>
      </c>
      <c r="Y62" s="120">
        <v>5969</v>
      </c>
      <c r="Z62" s="120"/>
      <c r="AA62" s="94"/>
      <c r="AB62" s="94"/>
      <c r="AC62" s="94"/>
      <c r="AH62" s="20">
        <v>43</v>
      </c>
      <c r="AI62" s="115" t="s">
        <v>4069</v>
      </c>
      <c r="AJ62" s="115">
        <v>200000</v>
      </c>
      <c r="AK62" s="20">
        <v>3</v>
      </c>
      <c r="AL62" s="97">
        <f>AL63+AK62</f>
        <v>1035</v>
      </c>
      <c r="AM62" s="111">
        <f t="shared" si="11"/>
        <v>207000000</v>
      </c>
      <c r="AN62" s="20"/>
    </row>
    <row r="63" spans="1:45">
      <c r="E63" s="26"/>
      <c r="J63" s="112"/>
      <c r="K63" s="206"/>
      <c r="L63" s="115"/>
      <c r="M63" s="166"/>
      <c r="N63" s="111"/>
      <c r="Q63" s="167"/>
      <c r="R63" s="206" t="s">
        <v>6418</v>
      </c>
      <c r="S63" s="194">
        <f>S62-1</f>
        <v>154</v>
      </c>
      <c r="T63" s="206" t="s">
        <v>6419</v>
      </c>
      <c r="U63" s="206">
        <v>966</v>
      </c>
      <c r="V63" s="206">
        <f t="shared" si="30"/>
        <v>1094.8035287671235</v>
      </c>
      <c r="W63" s="32">
        <f t="shared" si="31"/>
        <v>1116.6995993424659</v>
      </c>
      <c r="X63" s="32">
        <f t="shared" si="32"/>
        <v>1138.5956699178084</v>
      </c>
      <c r="Y63" s="120">
        <v>6038</v>
      </c>
      <c r="Z63" s="120"/>
      <c r="AA63" s="94"/>
      <c r="AB63" s="94"/>
      <c r="AC63" s="94"/>
      <c r="AH63" s="20">
        <v>44</v>
      </c>
      <c r="AI63" s="115" t="s">
        <v>4076</v>
      </c>
      <c r="AJ63" s="115">
        <v>1000000</v>
      </c>
      <c r="AK63" s="20">
        <v>3</v>
      </c>
      <c r="AL63" s="97">
        <f t="shared" si="10"/>
        <v>1032</v>
      </c>
      <c r="AM63" s="111">
        <f t="shared" si="11"/>
        <v>1032000000</v>
      </c>
      <c r="AN63" s="20"/>
    </row>
    <row r="64" spans="1:45">
      <c r="E64" s="26"/>
      <c r="J64" s="112">
        <f>J55+J56</f>
        <v>0</v>
      </c>
      <c r="K64" s="206"/>
      <c r="L64" s="115"/>
      <c r="M64" s="166"/>
      <c r="N64" s="111">
        <f>SUM(N16:N63)</f>
        <v>11531452521.006889</v>
      </c>
      <c r="P64" t="s">
        <v>25</v>
      </c>
      <c r="Q64" s="167"/>
      <c r="R64" s="206" t="s">
        <v>6420</v>
      </c>
      <c r="S64" s="194">
        <f>S63-1</f>
        <v>153</v>
      </c>
      <c r="T64" s="206" t="s">
        <v>6421</v>
      </c>
      <c r="U64" s="206">
        <v>993</v>
      </c>
      <c r="V64" s="206">
        <f t="shared" si="30"/>
        <v>1124.6418739726028</v>
      </c>
      <c r="W64" s="32">
        <f t="shared" si="31"/>
        <v>1147.1347114520547</v>
      </c>
      <c r="X64" s="32">
        <f t="shared" si="32"/>
        <v>1169.6275489315069</v>
      </c>
      <c r="Y64" s="120">
        <v>12133</v>
      </c>
      <c r="Z64" s="120"/>
      <c r="AA64" s="94" t="s">
        <v>25</v>
      </c>
      <c r="AB64" s="94"/>
      <c r="AC64" s="94"/>
      <c r="AH64" s="20">
        <v>45</v>
      </c>
      <c r="AI64" s="115" t="s">
        <v>4088</v>
      </c>
      <c r="AJ64" s="115">
        <v>1300000</v>
      </c>
      <c r="AK64" s="20">
        <v>0</v>
      </c>
      <c r="AL64" s="97">
        <f>AL65+AK64</f>
        <v>1029</v>
      </c>
      <c r="AM64" s="111">
        <f t="shared" si="11"/>
        <v>1337700000</v>
      </c>
      <c r="AN64" s="20"/>
    </row>
    <row r="65" spans="1:40">
      <c r="J65" s="112"/>
      <c r="K65" s="206" t="s">
        <v>592</v>
      </c>
      <c r="L65" s="111">
        <f>SUM(L16:L46)</f>
        <v>-23338162.046971798</v>
      </c>
      <c r="M65" s="166"/>
      <c r="N65" s="111">
        <f>N16+N17+N37</f>
        <v>141053</v>
      </c>
      <c r="P65" t="s">
        <v>25</v>
      </c>
      <c r="Q65" s="167"/>
      <c r="R65" s="206" t="s">
        <v>6423</v>
      </c>
      <c r="S65" s="194">
        <f>S64-2</f>
        <v>151</v>
      </c>
      <c r="T65" s="206" t="s">
        <v>6424</v>
      </c>
      <c r="U65" s="206">
        <v>1028</v>
      </c>
      <c r="V65" s="206">
        <f t="shared" si="30"/>
        <v>1162.7046136986301</v>
      </c>
      <c r="W65" s="32">
        <f t="shared" si="31"/>
        <v>1185.9587059726027</v>
      </c>
      <c r="X65" s="32">
        <f t="shared" si="32"/>
        <v>1209.2127982465754</v>
      </c>
      <c r="Y65" s="120">
        <v>48358</v>
      </c>
      <c r="Z65" s="120"/>
      <c r="AA65" s="94"/>
      <c r="AB65" s="94"/>
      <c r="AC65" s="94"/>
      <c r="AH65" s="20">
        <v>45</v>
      </c>
      <c r="AI65" s="115" t="s">
        <v>4088</v>
      </c>
      <c r="AJ65" s="115">
        <v>995000</v>
      </c>
      <c r="AK65" s="20">
        <v>2</v>
      </c>
      <c r="AL65" s="97">
        <f t="shared" ref="AL65:AL92" si="33">AL66+AK65</f>
        <v>1029</v>
      </c>
      <c r="AM65" s="111">
        <f t="shared" si="11"/>
        <v>1023855000</v>
      </c>
      <c r="AN65" s="20"/>
    </row>
    <row r="66" spans="1:40">
      <c r="K66" s="206" t="s">
        <v>593</v>
      </c>
      <c r="L66" s="111">
        <f>L16+L17+L28</f>
        <v>1575374.9530282021</v>
      </c>
      <c r="M66" s="111"/>
      <c r="N66" s="166"/>
      <c r="O66" s="113"/>
      <c r="P66" s="113" t="s">
        <v>25</v>
      </c>
      <c r="Q66" s="167"/>
      <c r="R66" s="206" t="s">
        <v>6474</v>
      </c>
      <c r="S66" s="194">
        <f>S65-49</f>
        <v>102</v>
      </c>
      <c r="T66" s="206" t="s">
        <v>6492</v>
      </c>
      <c r="U66" s="206">
        <v>1036</v>
      </c>
      <c r="V66" s="206">
        <f t="shared" si="30"/>
        <v>1132.8106520547947</v>
      </c>
      <c r="W66" s="32">
        <f t="shared" si="31"/>
        <v>1155.4668650958906</v>
      </c>
      <c r="X66" s="32">
        <f t="shared" si="32"/>
        <v>1178.1230781369866</v>
      </c>
      <c r="Y66" s="120">
        <v>13012</v>
      </c>
      <c r="Z66" s="120"/>
      <c r="AA66" s="94"/>
      <c r="AB66" s="94"/>
      <c r="AC66" s="94"/>
      <c r="AH66" s="20">
        <v>46</v>
      </c>
      <c r="AI66" s="115" t="s">
        <v>4097</v>
      </c>
      <c r="AJ66" s="115">
        <v>13000000</v>
      </c>
      <c r="AK66" s="20">
        <v>2</v>
      </c>
      <c r="AL66" s="97">
        <f t="shared" si="33"/>
        <v>1027</v>
      </c>
      <c r="AM66" s="111">
        <f t="shared" si="11"/>
        <v>13351000000</v>
      </c>
      <c r="AN66" s="20"/>
    </row>
    <row r="67" spans="1:40">
      <c r="A67" t="s">
        <v>25</v>
      </c>
      <c r="F67" t="s">
        <v>310</v>
      </c>
      <c r="G67" t="s">
        <v>4080</v>
      </c>
      <c r="K67" s="54" t="s">
        <v>708</v>
      </c>
      <c r="L67" s="111">
        <f>L65+N7</f>
        <v>76661837.953028202</v>
      </c>
      <c r="O67" s="94"/>
      <c r="P67" s="120" t="s">
        <v>25</v>
      </c>
      <c r="Q67" s="167"/>
      <c r="R67" s="206" t="s">
        <v>6490</v>
      </c>
      <c r="S67" s="194">
        <f>S66-17</f>
        <v>85</v>
      </c>
      <c r="T67" s="206" t="s">
        <v>6521</v>
      </c>
      <c r="U67" s="206">
        <v>1178</v>
      </c>
      <c r="V67" s="206">
        <f t="shared" si="30"/>
        <v>1272.7176547945205</v>
      </c>
      <c r="W67" s="32">
        <f t="shared" si="31"/>
        <v>1298.1720078904109</v>
      </c>
      <c r="X67" s="32">
        <f t="shared" si="32"/>
        <v>1323.6263609863013</v>
      </c>
      <c r="Y67" s="120">
        <v>22680</v>
      </c>
      <c r="Z67" s="120"/>
      <c r="AA67" s="94"/>
      <c r="AB67" s="94"/>
      <c r="AC67" s="94"/>
      <c r="AH67" s="20">
        <v>47</v>
      </c>
      <c r="AI67" s="115" t="s">
        <v>4110</v>
      </c>
      <c r="AJ67" s="115">
        <v>-3100000</v>
      </c>
      <c r="AK67" s="20">
        <v>3</v>
      </c>
      <c r="AL67" s="97">
        <f t="shared" si="33"/>
        <v>1025</v>
      </c>
      <c r="AM67" s="111">
        <f t="shared" si="11"/>
        <v>-3177500000</v>
      </c>
      <c r="AN67" s="20"/>
    </row>
    <row r="68" spans="1:40">
      <c r="F68" t="s">
        <v>4084</v>
      </c>
      <c r="G68" t="s">
        <v>4079</v>
      </c>
      <c r="M68" s="25"/>
      <c r="O68" t="s">
        <v>25</v>
      </c>
      <c r="Q68" s="167"/>
      <c r="R68" s="206" t="s">
        <v>6495</v>
      </c>
      <c r="S68" s="194">
        <f>S67-2</f>
        <v>83</v>
      </c>
      <c r="T68" s="206" t="s">
        <v>6497</v>
      </c>
      <c r="U68" s="206">
        <v>1343</v>
      </c>
      <c r="V68" s="206">
        <f t="shared" si="30"/>
        <v>1448.9240657534249</v>
      </c>
      <c r="W68" s="32">
        <f t="shared" ref="W68:W78" si="34">V68*(1+$W$19/100)</f>
        <v>1477.9025470684935</v>
      </c>
      <c r="X68" s="32">
        <f t="shared" ref="X68:X78" si="35">V68*(1+$X$19/100)</f>
        <v>1506.8810283835619</v>
      </c>
      <c r="Y68" s="120"/>
      <c r="Z68" s="120">
        <v>11006</v>
      </c>
      <c r="AA68" s="94"/>
      <c r="AB68" s="94" t="s">
        <v>25</v>
      </c>
      <c r="AC68" s="94"/>
      <c r="AH68" s="20">
        <v>48</v>
      </c>
      <c r="AI68" s="115" t="s">
        <v>4125</v>
      </c>
      <c r="AJ68" s="115">
        <v>45640000</v>
      </c>
      <c r="AK68" s="20">
        <v>1</v>
      </c>
      <c r="AL68" s="97">
        <f t="shared" si="33"/>
        <v>1022</v>
      </c>
      <c r="AM68" s="111">
        <f t="shared" si="11"/>
        <v>46644080000</v>
      </c>
      <c r="AN68" s="20"/>
    </row>
    <row r="69" spans="1:40">
      <c r="F69" t="s">
        <v>4085</v>
      </c>
      <c r="G69" t="s">
        <v>4081</v>
      </c>
      <c r="M69" s="25"/>
      <c r="N69" s="94"/>
      <c r="O69" s="94" t="s">
        <v>25</v>
      </c>
      <c r="P69" s="113"/>
      <c r="Q69" s="167"/>
      <c r="R69" s="206" t="s">
        <v>6498</v>
      </c>
      <c r="S69" s="194">
        <f>S68-1</f>
        <v>82</v>
      </c>
      <c r="T69" s="206" t="s">
        <v>6499</v>
      </c>
      <c r="U69" s="206">
        <v>1350.4</v>
      </c>
      <c r="V69" s="206">
        <f t="shared" si="30"/>
        <v>1455.8717895890413</v>
      </c>
      <c r="W69" s="32">
        <f t="shared" si="34"/>
        <v>1484.9892253808223</v>
      </c>
      <c r="X69" s="32">
        <f t="shared" si="35"/>
        <v>1514.106661172603</v>
      </c>
      <c r="Y69" s="120"/>
      <c r="Z69" s="120">
        <v>48370</v>
      </c>
      <c r="AA69" s="94"/>
      <c r="AB69" s="94" t="s">
        <v>25</v>
      </c>
      <c r="AC69" s="94"/>
      <c r="AH69" s="20">
        <v>49</v>
      </c>
      <c r="AI69" s="115" t="s">
        <v>4129</v>
      </c>
      <c r="AJ69" s="115">
        <v>33500000</v>
      </c>
      <c r="AK69" s="20">
        <v>1</v>
      </c>
      <c r="AL69" s="97">
        <f t="shared" si="33"/>
        <v>1021</v>
      </c>
      <c r="AM69" s="111">
        <f t="shared" si="11"/>
        <v>34203500000</v>
      </c>
      <c r="AN69" s="20"/>
    </row>
    <row r="70" spans="1:40">
      <c r="G70" t="s">
        <v>4082</v>
      </c>
      <c r="M70" s="175"/>
      <c r="N70" s="94"/>
      <c r="O70" s="94" t="s">
        <v>6405</v>
      </c>
      <c r="P70" s="113"/>
      <c r="Q70" s="167"/>
      <c r="R70" s="206" t="s">
        <v>6502</v>
      </c>
      <c r="S70" s="194">
        <f>S69-4</f>
        <v>78</v>
      </c>
      <c r="T70" s="206" t="s">
        <v>6503</v>
      </c>
      <c r="U70" s="206">
        <v>1350.3</v>
      </c>
      <c r="V70" s="206">
        <f t="shared" si="30"/>
        <v>1451.6205928767124</v>
      </c>
      <c r="W70" s="32">
        <f t="shared" si="34"/>
        <v>1480.6530047342467</v>
      </c>
      <c r="X70" s="32">
        <f t="shared" si="35"/>
        <v>1509.6854165917809</v>
      </c>
      <c r="Y70" s="120"/>
      <c r="Z70" s="120">
        <v>8875</v>
      </c>
      <c r="AA70" s="94"/>
      <c r="AH70" s="20">
        <v>50</v>
      </c>
      <c r="AI70" s="115" t="s">
        <v>4134</v>
      </c>
      <c r="AJ70" s="115">
        <v>12000000</v>
      </c>
      <c r="AK70" s="20">
        <v>1</v>
      </c>
      <c r="AL70" s="97">
        <f t="shared" si="33"/>
        <v>1020</v>
      </c>
      <c r="AM70" s="115">
        <f t="shared" si="11"/>
        <v>12240000000</v>
      </c>
      <c r="AN70" s="20"/>
    </row>
    <row r="71" spans="1:40">
      <c r="G71" t="s">
        <v>4083</v>
      </c>
      <c r="M71" s="94"/>
      <c r="N71" s="94"/>
      <c r="O71" s="120" t="s">
        <v>6406</v>
      </c>
      <c r="Q71" s="167"/>
      <c r="R71" s="206" t="s">
        <v>6513</v>
      </c>
      <c r="S71" s="194">
        <f>S70-1</f>
        <v>77</v>
      </c>
      <c r="T71" s="206" t="s">
        <v>6515</v>
      </c>
      <c r="U71" s="206">
        <v>1375.2</v>
      </c>
      <c r="V71" s="206">
        <f t="shared" si="30"/>
        <v>1477.334031780822</v>
      </c>
      <c r="W71" s="32">
        <f t="shared" si="34"/>
        <v>1506.8807124164384</v>
      </c>
      <c r="X71" s="32">
        <f t="shared" si="35"/>
        <v>1536.4273930520549</v>
      </c>
      <c r="Y71" s="120"/>
      <c r="Z71" s="120">
        <v>26514</v>
      </c>
      <c r="AA71" s="94"/>
      <c r="AH71" s="20">
        <v>51</v>
      </c>
      <c r="AI71" s="115" t="s">
        <v>4139</v>
      </c>
      <c r="AJ71" s="115">
        <v>15500000</v>
      </c>
      <c r="AK71" s="20">
        <v>4</v>
      </c>
      <c r="AL71" s="97">
        <f t="shared" si="33"/>
        <v>1019</v>
      </c>
      <c r="AM71" s="115">
        <f t="shared" si="11"/>
        <v>15794500000</v>
      </c>
      <c r="AN71" s="20"/>
    </row>
    <row r="72" spans="1:40">
      <c r="G72" t="s">
        <v>4087</v>
      </c>
      <c r="M72" s="120" t="s">
        <v>4372</v>
      </c>
      <c r="O72" s="112" t="s">
        <v>6407</v>
      </c>
      <c r="Q72" s="167"/>
      <c r="R72" s="206" t="s">
        <v>6519</v>
      </c>
      <c r="S72" s="194">
        <f>S71-1</f>
        <v>76</v>
      </c>
      <c r="T72" s="206" t="s">
        <v>6520</v>
      </c>
      <c r="U72" s="206">
        <v>1406</v>
      </c>
      <c r="V72" s="206">
        <f t="shared" si="30"/>
        <v>1509.3429260273974</v>
      </c>
      <c r="W72" s="32">
        <f t="shared" si="34"/>
        <v>1539.5297845479454</v>
      </c>
      <c r="X72" s="32">
        <f t="shared" si="35"/>
        <v>1569.7166430684933</v>
      </c>
      <c r="Y72" s="120"/>
      <c r="Z72" s="120">
        <v>19133</v>
      </c>
      <c r="AA72" s="94"/>
      <c r="AH72" s="20">
        <v>52</v>
      </c>
      <c r="AI72" s="115" t="s">
        <v>4143</v>
      </c>
      <c r="AJ72" s="115">
        <v>150000</v>
      </c>
      <c r="AK72" s="20">
        <v>1</v>
      </c>
      <c r="AL72" s="97">
        <f t="shared" si="33"/>
        <v>1015</v>
      </c>
      <c r="AM72" s="115">
        <f t="shared" si="11"/>
        <v>152250000</v>
      </c>
      <c r="AN72" s="20"/>
    </row>
    <row r="73" spans="1:40">
      <c r="G73" t="s">
        <v>4086</v>
      </c>
      <c r="M73" s="120"/>
      <c r="N73" s="94"/>
      <c r="O73" s="120" t="s">
        <v>6413</v>
      </c>
      <c r="Q73" s="167"/>
      <c r="R73" s="206" t="s">
        <v>6612</v>
      </c>
      <c r="S73" s="194">
        <f>S72-2</f>
        <v>74</v>
      </c>
      <c r="T73" s="206" t="s">
        <v>6613</v>
      </c>
      <c r="U73" s="206">
        <v>1303</v>
      </c>
      <c r="V73" s="206">
        <f t="shared" si="30"/>
        <v>1396.7731616438357</v>
      </c>
      <c r="W73" s="32">
        <f t="shared" si="34"/>
        <v>1424.7086248767125</v>
      </c>
      <c r="X73" s="32">
        <f t="shared" si="35"/>
        <v>1452.6440881095891</v>
      </c>
      <c r="Y73" s="120">
        <v>14667</v>
      </c>
      <c r="Z73" s="120"/>
      <c r="AA73" s="94"/>
      <c r="AH73" s="177">
        <v>53</v>
      </c>
      <c r="AI73" s="178" t="s">
        <v>4149</v>
      </c>
      <c r="AJ73" s="178">
        <v>29000000</v>
      </c>
      <c r="AK73" s="177">
        <v>15</v>
      </c>
      <c r="AL73" s="177">
        <f t="shared" si="33"/>
        <v>1014</v>
      </c>
      <c r="AM73" s="178">
        <f t="shared" si="11"/>
        <v>29406000000</v>
      </c>
      <c r="AN73" s="177" t="s">
        <v>4159</v>
      </c>
    </row>
    <row r="74" spans="1:40">
      <c r="M74" s="120" t="s">
        <v>4514</v>
      </c>
      <c r="N74" s="94"/>
      <c r="O74" s="259"/>
      <c r="P74" t="s">
        <v>25</v>
      </c>
      <c r="Q74" s="167"/>
      <c r="R74" s="206" t="s">
        <v>6618</v>
      </c>
      <c r="S74" s="194">
        <f>S73-3</f>
        <v>71</v>
      </c>
      <c r="T74" s="206" t="s">
        <v>7016</v>
      </c>
      <c r="U74" s="206">
        <v>1340</v>
      </c>
      <c r="V74" s="206">
        <f t="shared" si="30"/>
        <v>1433.3521095890412</v>
      </c>
      <c r="W74" s="32">
        <f t="shared" si="34"/>
        <v>1462.0191517808221</v>
      </c>
      <c r="X74" s="32">
        <f t="shared" si="35"/>
        <v>1490.686193972603</v>
      </c>
      <c r="Y74" s="120">
        <v>3488</v>
      </c>
      <c r="Z74" s="120"/>
      <c r="AA74" s="94"/>
      <c r="AC74" t="s">
        <v>25</v>
      </c>
      <c r="AH74" s="20">
        <v>54</v>
      </c>
      <c r="AI74" s="115" t="s">
        <v>4183</v>
      </c>
      <c r="AJ74" s="115">
        <v>-130000</v>
      </c>
      <c r="AK74" s="20">
        <v>7</v>
      </c>
      <c r="AL74" s="97">
        <f t="shared" si="33"/>
        <v>999</v>
      </c>
      <c r="AM74" s="115">
        <f t="shared" si="11"/>
        <v>-129870000</v>
      </c>
      <c r="AN74" s="20" t="s">
        <v>4185</v>
      </c>
    </row>
    <row r="75" spans="1:40" ht="30">
      <c r="G75" s="94"/>
      <c r="H75" s="94"/>
      <c r="M75" s="202" t="s">
        <v>4613</v>
      </c>
      <c r="N75" s="94"/>
      <c r="P75" s="113"/>
      <c r="Q75" s="167"/>
      <c r="R75" s="206" t="s">
        <v>955</v>
      </c>
      <c r="S75" s="194">
        <f>S115-1085</f>
        <v>15</v>
      </c>
      <c r="T75" s="206" t="s">
        <v>7015</v>
      </c>
      <c r="U75" s="206">
        <v>1617</v>
      </c>
      <c r="V75" s="206">
        <f t="shared" si="30"/>
        <v>1660.184975342466</v>
      </c>
      <c r="W75" s="32">
        <f t="shared" si="34"/>
        <v>1693.3886748493153</v>
      </c>
      <c r="X75" s="32">
        <f t="shared" si="35"/>
        <v>1726.5923743561648</v>
      </c>
      <c r="Y75" s="120"/>
      <c r="Z75" s="120">
        <v>9320</v>
      </c>
      <c r="AA75" s="94"/>
      <c r="AH75" s="20">
        <v>55</v>
      </c>
      <c r="AI75" s="115" t="s">
        <v>4231</v>
      </c>
      <c r="AJ75" s="115">
        <v>232000</v>
      </c>
      <c r="AK75" s="20">
        <v>2</v>
      </c>
      <c r="AL75" s="97">
        <f t="shared" si="33"/>
        <v>992</v>
      </c>
      <c r="AM75" s="115">
        <f>AJ75*AL75</f>
        <v>230144000</v>
      </c>
      <c r="AN75" s="20" t="s">
        <v>4233</v>
      </c>
    </row>
    <row r="76" spans="1:40" ht="31.5">
      <c r="D76" s="3"/>
      <c r="E76" s="11" t="s">
        <v>304</v>
      </c>
      <c r="G76" s="94"/>
      <c r="H76" s="94"/>
      <c r="K76" s="205" t="s">
        <v>4655</v>
      </c>
      <c r="L76" s="22" t="s">
        <v>4634</v>
      </c>
      <c r="M76" s="239" t="s">
        <v>4922</v>
      </c>
      <c r="N76" s="94"/>
      <c r="Q76" s="167"/>
      <c r="R76" s="206"/>
      <c r="S76" s="194"/>
      <c r="T76" s="206"/>
      <c r="U76" s="206"/>
      <c r="V76" s="206">
        <f>U76*(1+$R$111+$Q$15*S76/36500)</f>
        <v>0</v>
      </c>
      <c r="W76" s="32">
        <f t="shared" si="34"/>
        <v>0</v>
      </c>
      <c r="X76" s="32">
        <f t="shared" si="35"/>
        <v>0</v>
      </c>
      <c r="Y76" s="120"/>
      <c r="Z76" s="120"/>
      <c r="AA76" s="94"/>
      <c r="AH76" s="20">
        <v>56</v>
      </c>
      <c r="AI76" s="115" t="s">
        <v>4241</v>
      </c>
      <c r="AJ76" s="115">
        <v>-170000</v>
      </c>
      <c r="AK76" s="20">
        <v>3</v>
      </c>
      <c r="AL76" s="97">
        <f t="shared" si="33"/>
        <v>990</v>
      </c>
      <c r="AM76" s="115">
        <f t="shared" si="11"/>
        <v>-168300000</v>
      </c>
      <c r="AN76" s="20"/>
    </row>
    <row r="77" spans="1:40">
      <c r="D77" s="1" t="s">
        <v>305</v>
      </c>
      <c r="E77" s="1">
        <v>70000</v>
      </c>
      <c r="G77" s="94"/>
      <c r="H77" s="94"/>
      <c r="K77" t="s">
        <v>4656</v>
      </c>
      <c r="M77" s="120"/>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4255</v>
      </c>
      <c r="AJ77" s="115">
        <v>-300000</v>
      </c>
      <c r="AK77" s="20">
        <v>3</v>
      </c>
      <c r="AL77" s="97">
        <f t="shared" si="33"/>
        <v>987</v>
      </c>
      <c r="AM77" s="115">
        <f t="shared" si="11"/>
        <v>-296100000</v>
      </c>
      <c r="AN77" s="20"/>
    </row>
    <row r="78" spans="1:40">
      <c r="D78" s="1" t="s">
        <v>321</v>
      </c>
      <c r="E78" s="1">
        <v>100000</v>
      </c>
      <c r="G78" s="94"/>
      <c r="H78" s="94"/>
      <c r="K78" t="s">
        <v>4517</v>
      </c>
      <c r="L78" s="94"/>
      <c r="M78" s="94"/>
      <c r="N78" s="94"/>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4264</v>
      </c>
      <c r="AJ78" s="115">
        <v>-11400000</v>
      </c>
      <c r="AK78" s="20">
        <v>13</v>
      </c>
      <c r="AL78" s="97">
        <f t="shared" ref="AL78:AL83" si="36">AL79+AK78</f>
        <v>984</v>
      </c>
      <c r="AM78" s="115">
        <f t="shared" si="11"/>
        <v>-11217600000</v>
      </c>
      <c r="AN78" s="20"/>
    </row>
    <row r="79" spans="1:40">
      <c r="D79" s="1" t="s">
        <v>306</v>
      </c>
      <c r="E79" s="1">
        <v>80000</v>
      </c>
      <c r="G79" s="94"/>
      <c r="H79" s="94"/>
      <c r="K79" t="s">
        <v>4713</v>
      </c>
      <c r="Q79" s="167">
        <f>SUM(N22:N25)-SUM(Q20:Q78)</f>
        <v>2293588123.6758094</v>
      </c>
      <c r="R79" s="166" t="s">
        <v>25</v>
      </c>
      <c r="S79" s="166" t="s">
        <v>25</v>
      </c>
      <c r="T79" s="166" t="s">
        <v>25</v>
      </c>
      <c r="U79" s="166"/>
      <c r="V79" s="166"/>
      <c r="W79" s="32"/>
      <c r="X79" s="32"/>
      <c r="Z79" s="120"/>
      <c r="AB79" s="94"/>
      <c r="AC79" s="113" t="s">
        <v>25</v>
      </c>
      <c r="AD79" s="113"/>
      <c r="AE79" s="113"/>
      <c r="AF79"/>
      <c r="AH79" s="20">
        <v>59</v>
      </c>
      <c r="AI79" s="115" t="s">
        <v>4313</v>
      </c>
      <c r="AJ79" s="115">
        <v>-10000000</v>
      </c>
      <c r="AK79" s="20">
        <v>1</v>
      </c>
      <c r="AL79" s="97">
        <f t="shared" si="36"/>
        <v>971</v>
      </c>
      <c r="AM79" s="115">
        <f>AJ79*AL79</f>
        <v>-9710000000</v>
      </c>
      <c r="AN79" s="20"/>
    </row>
    <row r="80" spans="1:40">
      <c r="D80" s="31" t="s">
        <v>307</v>
      </c>
      <c r="E80" s="1">
        <v>150000</v>
      </c>
      <c r="G80" s="94"/>
      <c r="H80" s="94"/>
      <c r="K80" t="s">
        <v>4714</v>
      </c>
      <c r="P80" s="113"/>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4314</v>
      </c>
      <c r="AJ80" s="115">
        <v>-2450000</v>
      </c>
      <c r="AK80" s="20">
        <v>5</v>
      </c>
      <c r="AL80" s="97">
        <f t="shared" si="36"/>
        <v>970</v>
      </c>
      <c r="AM80" s="115">
        <f>AJ80*AL80</f>
        <v>-2376500000</v>
      </c>
      <c r="AN80" s="20"/>
    </row>
    <row r="81" spans="4:52" ht="26.25">
      <c r="D81" s="31" t="s">
        <v>308</v>
      </c>
      <c r="E81" s="1">
        <v>300000</v>
      </c>
      <c r="G81" s="94"/>
      <c r="H81" s="94"/>
      <c r="J81" t="s">
        <v>25</v>
      </c>
      <c r="K81" t="s">
        <v>4715</v>
      </c>
      <c r="M81" s="236"/>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4338</v>
      </c>
      <c r="AJ81" s="115">
        <v>-456081</v>
      </c>
      <c r="AK81" s="20">
        <v>1</v>
      </c>
      <c r="AL81" s="97">
        <f t="shared" si="36"/>
        <v>965</v>
      </c>
      <c r="AM81" s="115">
        <f t="shared" si="11"/>
        <v>-440118165</v>
      </c>
      <c r="AN81" s="20"/>
    </row>
    <row r="82" spans="4:52">
      <c r="D82" s="31" t="s">
        <v>309</v>
      </c>
      <c r="E82" s="1">
        <v>100000</v>
      </c>
      <c r="G82" s="94"/>
      <c r="H82" s="94"/>
      <c r="K82" t="s">
        <v>4479</v>
      </c>
      <c r="Q82" s="166" t="s">
        <v>649</v>
      </c>
      <c r="R82" s="166"/>
      <c r="S82" s="166"/>
      <c r="T82" s="166"/>
      <c r="U82" s="166"/>
      <c r="V82" s="166"/>
      <c r="W82" s="32"/>
      <c r="X82" s="32"/>
      <c r="Z82" t="s">
        <v>25</v>
      </c>
      <c r="AA82" s="113"/>
      <c r="AC82" s="113"/>
      <c r="AD82" s="113"/>
      <c r="AE82" s="113"/>
      <c r="AF82" s="113"/>
      <c r="AH82" s="20">
        <v>62</v>
      </c>
      <c r="AI82" s="115" t="s">
        <v>4340</v>
      </c>
      <c r="AJ82" s="115">
        <v>-500000</v>
      </c>
      <c r="AK82" s="20">
        <v>2</v>
      </c>
      <c r="AL82" s="97">
        <f t="shared" si="36"/>
        <v>964</v>
      </c>
      <c r="AM82" s="115">
        <f t="shared" si="11"/>
        <v>-482000000</v>
      </c>
      <c r="AN82" s="20"/>
      <c r="AO82" t="s">
        <v>25</v>
      </c>
      <c r="AU82"/>
      <c r="AW82" t="s">
        <v>25</v>
      </c>
    </row>
    <row r="83" spans="4:52" ht="30">
      <c r="D83" s="31" t="s">
        <v>310</v>
      </c>
      <c r="E83" s="1">
        <v>200000</v>
      </c>
      <c r="F83" s="94"/>
      <c r="G83" s="94"/>
      <c r="H83" s="94"/>
      <c r="I83" s="94"/>
      <c r="J83" s="94"/>
      <c r="K83" t="s">
        <v>4520</v>
      </c>
      <c r="M83" s="241" t="s">
        <v>4927</v>
      </c>
      <c r="Q83" s="166" t="s">
        <v>267</v>
      </c>
      <c r="R83" s="166" t="s">
        <v>180</v>
      </c>
      <c r="S83" s="166" t="s">
        <v>183</v>
      </c>
      <c r="T83" s="166" t="s">
        <v>8</v>
      </c>
      <c r="U83" s="166" t="s">
        <v>4329</v>
      </c>
      <c r="V83" s="71" t="s">
        <v>4331</v>
      </c>
      <c r="W83" s="32">
        <v>2</v>
      </c>
      <c r="X83" s="32">
        <v>4</v>
      </c>
      <c r="AA83" s="113" t="s">
        <v>25</v>
      </c>
      <c r="AC83" s="126"/>
      <c r="AD83" s="113"/>
      <c r="AE83" s="113"/>
      <c r="AF83" s="113"/>
      <c r="AH83" s="20">
        <v>63</v>
      </c>
      <c r="AI83" s="115" t="s">
        <v>4356</v>
      </c>
      <c r="AJ83" s="115">
        <v>-6234370</v>
      </c>
      <c r="AK83" s="20">
        <v>3</v>
      </c>
      <c r="AL83" s="97">
        <f t="shared" si="36"/>
        <v>962</v>
      </c>
      <c r="AM83" s="115">
        <f t="shared" si="11"/>
        <v>-5997463940</v>
      </c>
      <c r="AN83" s="20"/>
      <c r="AU83"/>
    </row>
    <row r="84" spans="4:52">
      <c r="D84" s="18" t="s">
        <v>311</v>
      </c>
      <c r="E84" s="18">
        <v>300000</v>
      </c>
      <c r="F84" s="94"/>
      <c r="G84" s="94"/>
      <c r="H84" s="94"/>
      <c r="I84" s="94"/>
      <c r="J84" s="94"/>
      <c r="K84" t="s">
        <v>4478</v>
      </c>
      <c r="M84" s="241" t="s">
        <v>4928</v>
      </c>
      <c r="Q84" s="166">
        <v>0</v>
      </c>
      <c r="R84" s="166" t="s">
        <v>4149</v>
      </c>
      <c r="S84" s="166">
        <f>S115</f>
        <v>1100</v>
      </c>
      <c r="T84" s="166"/>
      <c r="U84" s="166"/>
      <c r="V84" s="71"/>
      <c r="W84" s="32"/>
      <c r="X84" s="32"/>
      <c r="AC84" s="126"/>
      <c r="AD84" s="113"/>
      <c r="AE84" s="113"/>
      <c r="AF84" s="113"/>
      <c r="AH84" s="20">
        <v>64</v>
      </c>
      <c r="AI84" s="115" t="s">
        <v>4365</v>
      </c>
      <c r="AJ84" s="115">
        <v>1950957</v>
      </c>
      <c r="AK84" s="20">
        <v>4</v>
      </c>
      <c r="AL84" s="97">
        <f t="shared" si="33"/>
        <v>959</v>
      </c>
      <c r="AM84" s="115">
        <f t="shared" si="11"/>
        <v>1870967763</v>
      </c>
      <c r="AN84" s="20"/>
      <c r="AZ84" t="s">
        <v>25</v>
      </c>
    </row>
    <row r="85" spans="4:52">
      <c r="D85" s="32" t="s">
        <v>312</v>
      </c>
      <c r="E85" s="1">
        <v>200000</v>
      </c>
      <c r="F85" s="94"/>
      <c r="G85" s="94"/>
      <c r="H85" s="94"/>
      <c r="I85" s="94"/>
      <c r="J85" s="94"/>
      <c r="K85" s="22" t="s">
        <v>4216</v>
      </c>
      <c r="Q85" s="167">
        <v>863944</v>
      </c>
      <c r="R85" s="166" t="s">
        <v>4394</v>
      </c>
      <c r="S85" s="166">
        <f>S84-62</f>
        <v>1038</v>
      </c>
      <c r="T85" s="188" t="s">
        <v>4453</v>
      </c>
      <c r="U85" s="166">
        <v>184.6</v>
      </c>
      <c r="V85" s="166">
        <f t="shared" ref="V85:V103" si="37">U85*(1+$R$111+$Q$15*S85/36500)</f>
        <v>334.39809534246575</v>
      </c>
      <c r="W85" s="32">
        <f t="shared" ref="W85:W92" si="38">V85*(1+$W$19/100)</f>
        <v>341.08605724931505</v>
      </c>
      <c r="X85" s="32">
        <f t="shared" ref="X85:X92" si="39">V85*(1+$X$19/100)</f>
        <v>347.7740191561644</v>
      </c>
      <c r="Y85" s="94">
        <v>4661</v>
      </c>
      <c r="AA85" s="113"/>
      <c r="AB85" s="113"/>
      <c r="AC85" s="126"/>
      <c r="AD85" s="113"/>
      <c r="AE85" s="113"/>
      <c r="AF85" s="113"/>
      <c r="AH85" s="20">
        <v>65</v>
      </c>
      <c r="AI85" s="115" t="s">
        <v>4388</v>
      </c>
      <c r="AJ85" s="115">
        <v>600000</v>
      </c>
      <c r="AK85" s="20">
        <v>5</v>
      </c>
      <c r="AL85" s="97">
        <f t="shared" si="33"/>
        <v>955</v>
      </c>
      <c r="AM85" s="115">
        <f t="shared" si="11"/>
        <v>573000000</v>
      </c>
      <c r="AN85" s="20"/>
    </row>
    <row r="86" spans="4:52">
      <c r="D86" s="32" t="s">
        <v>313</v>
      </c>
      <c r="E86" s="1">
        <v>20000</v>
      </c>
      <c r="F86" s="94"/>
      <c r="G86" s="94"/>
      <c r="H86" s="94"/>
      <c r="I86" s="94"/>
      <c r="J86" s="94"/>
      <c r="K86" t="s">
        <v>4475</v>
      </c>
      <c r="Q86" s="167">
        <v>1692313</v>
      </c>
      <c r="R86" s="166" t="s">
        <v>4456</v>
      </c>
      <c r="S86" s="194">
        <f>S85-21</f>
        <v>1017</v>
      </c>
      <c r="T86" s="187" t="s">
        <v>4457</v>
      </c>
      <c r="U86" s="166">
        <v>168.5</v>
      </c>
      <c r="V86" s="166">
        <f t="shared" si="37"/>
        <v>302.51889863013702</v>
      </c>
      <c r="W86" s="32">
        <f t="shared" si="38"/>
        <v>308.56927660273976</v>
      </c>
      <c r="X86" s="32">
        <f t="shared" si="39"/>
        <v>314.61965457534251</v>
      </c>
      <c r="Y86" s="94">
        <v>10000</v>
      </c>
      <c r="AA86" s="113"/>
      <c r="AB86" s="113"/>
      <c r="AC86" s="126"/>
      <c r="AD86" s="113"/>
      <c r="AE86" s="113"/>
      <c r="AF86" s="113"/>
      <c r="AH86" s="20">
        <v>66</v>
      </c>
      <c r="AI86" s="115" t="s">
        <v>4396</v>
      </c>
      <c r="AJ86" s="115">
        <v>7500000</v>
      </c>
      <c r="AK86" s="20">
        <v>2</v>
      </c>
      <c r="AL86" s="97">
        <f t="shared" si="33"/>
        <v>950</v>
      </c>
      <c r="AM86" s="115">
        <f t="shared" si="11"/>
        <v>7125000000</v>
      </c>
      <c r="AN86" s="20"/>
      <c r="AS86" s="94"/>
    </row>
    <row r="87" spans="4:52" ht="18.75">
      <c r="D87" s="32" t="s">
        <v>315</v>
      </c>
      <c r="E87" s="1">
        <v>50000</v>
      </c>
      <c r="G87" s="94"/>
      <c r="H87" s="94"/>
      <c r="K87" t="s">
        <v>4268</v>
      </c>
      <c r="M87" s="282" t="s">
        <v>5569</v>
      </c>
      <c r="Q87" s="167">
        <v>101153</v>
      </c>
      <c r="R87" s="166" t="s">
        <v>4459</v>
      </c>
      <c r="S87" s="194">
        <f>S86-1</f>
        <v>1016</v>
      </c>
      <c r="T87" s="187" t="s">
        <v>4461</v>
      </c>
      <c r="U87" s="166">
        <v>166.7</v>
      </c>
      <c r="V87" s="166">
        <f t="shared" si="37"/>
        <v>299.15936328767123</v>
      </c>
      <c r="W87" s="32">
        <f t="shared" si="38"/>
        <v>305.14255055342466</v>
      </c>
      <c r="X87" s="32">
        <f t="shared" si="39"/>
        <v>311.12573781917808</v>
      </c>
      <c r="Y87" s="94">
        <v>604</v>
      </c>
      <c r="AA87" s="120" t="s">
        <v>25</v>
      </c>
      <c r="AB87" s="113"/>
      <c r="AC87" s="126"/>
      <c r="AD87" s="113"/>
      <c r="AE87" s="113"/>
      <c r="AF87" s="113"/>
      <c r="AH87" s="20">
        <v>67</v>
      </c>
      <c r="AI87" s="115" t="s">
        <v>4400</v>
      </c>
      <c r="AJ87" s="115">
        <v>-587816</v>
      </c>
      <c r="AK87" s="20">
        <v>3</v>
      </c>
      <c r="AL87" s="97">
        <f t="shared" si="33"/>
        <v>948</v>
      </c>
      <c r="AM87" s="115">
        <f t="shared" si="11"/>
        <v>-557249568</v>
      </c>
      <c r="AN87" s="20"/>
      <c r="AS87" s="94"/>
    </row>
    <row r="88" spans="4:52">
      <c r="D88" s="32" t="s">
        <v>316</v>
      </c>
      <c r="E88" s="1">
        <v>90000</v>
      </c>
      <c r="F88" s="94"/>
      <c r="G88" s="94"/>
      <c r="H88" s="94"/>
      <c r="I88" s="94"/>
      <c r="J88" s="94"/>
      <c r="K88" t="s">
        <v>25</v>
      </c>
      <c r="M88" s="190"/>
      <c r="Q88" s="167">
        <v>183105</v>
      </c>
      <c r="R88" s="166" t="s">
        <v>4204</v>
      </c>
      <c r="S88" s="194">
        <f>S87-1</f>
        <v>1015</v>
      </c>
      <c r="T88" s="187" t="s">
        <v>4465</v>
      </c>
      <c r="U88" s="166">
        <v>166.6</v>
      </c>
      <c r="V88" s="166">
        <f t="shared" si="37"/>
        <v>298.85210082191782</v>
      </c>
      <c r="W88" s="32">
        <f t="shared" si="38"/>
        <v>304.82914283835618</v>
      </c>
      <c r="X88" s="32">
        <f t="shared" si="39"/>
        <v>310.80618485479454</v>
      </c>
      <c r="Y88" s="94">
        <v>1094</v>
      </c>
      <c r="AA88" s="113" t="s">
        <v>25</v>
      </c>
      <c r="AB88" s="113"/>
      <c r="AC88" s="126"/>
      <c r="AD88" s="113"/>
      <c r="AE88" s="113"/>
      <c r="AF88" s="113"/>
      <c r="AH88" s="20">
        <v>68</v>
      </c>
      <c r="AI88" s="115" t="s">
        <v>4399</v>
      </c>
      <c r="AJ88" s="115">
        <v>-907489</v>
      </c>
      <c r="AK88" s="20">
        <v>0</v>
      </c>
      <c r="AL88" s="97">
        <f>AL89+AK88</f>
        <v>945</v>
      </c>
      <c r="AM88" s="115">
        <f t="shared" si="11"/>
        <v>-857577105</v>
      </c>
      <c r="AN88" s="20"/>
      <c r="AP88" t="s">
        <v>25</v>
      </c>
      <c r="AV88" t="s">
        <v>25</v>
      </c>
    </row>
    <row r="89" spans="4:52">
      <c r="D89" s="32" t="s">
        <v>317</v>
      </c>
      <c r="E89" s="1">
        <v>50000</v>
      </c>
      <c r="K89" s="94"/>
      <c r="Q89" s="167">
        <v>168846</v>
      </c>
      <c r="R89" s="166" t="s">
        <v>3673</v>
      </c>
      <c r="S89" s="194">
        <f>S88-30</f>
        <v>985</v>
      </c>
      <c r="T89" s="187" t="s">
        <v>4547</v>
      </c>
      <c r="U89" s="166">
        <v>172.2</v>
      </c>
      <c r="V89" s="166">
        <f t="shared" si="37"/>
        <v>304.93459068493155</v>
      </c>
      <c r="W89" s="32">
        <f t="shared" si="38"/>
        <v>311.03328249863017</v>
      </c>
      <c r="X89" s="32">
        <f t="shared" si="39"/>
        <v>317.13197431232885</v>
      </c>
      <c r="Y89" s="94">
        <v>976</v>
      </c>
      <c r="AA89" s="113"/>
      <c r="AB89" s="113"/>
      <c r="AC89" s="113" t="s">
        <v>25</v>
      </c>
      <c r="AD89" s="113"/>
      <c r="AE89" s="113"/>
      <c r="AF89" s="113"/>
      <c r="AG89" s="113"/>
      <c r="AH89" s="20">
        <v>69</v>
      </c>
      <c r="AI89" s="115" t="s">
        <v>4399</v>
      </c>
      <c r="AJ89" s="115">
        <v>2450000</v>
      </c>
      <c r="AK89" s="20">
        <v>1</v>
      </c>
      <c r="AL89" s="97">
        <f t="shared" si="33"/>
        <v>945</v>
      </c>
      <c r="AM89" s="115">
        <f t="shared" si="11"/>
        <v>2315250000</v>
      </c>
      <c r="AN89" s="20" t="s">
        <v>4428</v>
      </c>
      <c r="AQ89" t="s">
        <v>25</v>
      </c>
      <c r="AR89" t="s">
        <v>25</v>
      </c>
    </row>
    <row r="90" spans="4:52">
      <c r="D90" s="32" t="s">
        <v>327</v>
      </c>
      <c r="E90" s="1">
        <v>150000</v>
      </c>
      <c r="F90" s="94"/>
      <c r="G90" s="94"/>
      <c r="H90" s="94"/>
      <c r="I90" s="94"/>
      <c r="J90" s="94"/>
      <c r="K90" s="94"/>
      <c r="Q90" s="167">
        <v>19918023</v>
      </c>
      <c r="R90" s="5" t="s">
        <v>4772</v>
      </c>
      <c r="S90" s="194">
        <f>S89-75</f>
        <v>910</v>
      </c>
      <c r="T90" s="187" t="s">
        <v>4774</v>
      </c>
      <c r="U90" s="206">
        <v>183</v>
      </c>
      <c r="V90" s="206">
        <f t="shared" si="37"/>
        <v>313.53064109589042</v>
      </c>
      <c r="W90" s="32">
        <f t="shared" si="38"/>
        <v>319.80125391780825</v>
      </c>
      <c r="X90" s="32">
        <f t="shared" si="39"/>
        <v>326.07186673972603</v>
      </c>
      <c r="Y90" s="94">
        <v>108344</v>
      </c>
      <c r="Z90" s="113"/>
      <c r="AA90" s="113"/>
      <c r="AB90" s="113"/>
      <c r="AC90" s="113"/>
      <c r="AD90" s="113"/>
      <c r="AE90"/>
      <c r="AG90" s="113"/>
      <c r="AH90" s="20">
        <v>70</v>
      </c>
      <c r="AI90" s="115" t="s">
        <v>4430</v>
      </c>
      <c r="AJ90" s="115">
        <v>1500000</v>
      </c>
      <c r="AK90" s="20">
        <v>1</v>
      </c>
      <c r="AL90" s="97">
        <f t="shared" si="33"/>
        <v>944</v>
      </c>
      <c r="AM90" s="115">
        <f t="shared" si="11"/>
        <v>1416000000</v>
      </c>
      <c r="AN90" s="20"/>
      <c r="AP90" t="s">
        <v>25</v>
      </c>
      <c r="AU90" s="94" t="s">
        <v>25</v>
      </c>
    </row>
    <row r="91" spans="4:52">
      <c r="D91" s="32" t="s">
        <v>318</v>
      </c>
      <c r="E91" s="1">
        <v>15000</v>
      </c>
      <c r="F91" s="94"/>
      <c r="G91" s="94"/>
      <c r="H91" s="94"/>
      <c r="K91" s="94"/>
      <c r="Q91" s="167">
        <v>1200301</v>
      </c>
      <c r="R91" s="19" t="s">
        <v>4849</v>
      </c>
      <c r="S91" s="194">
        <f>S90-34</f>
        <v>876</v>
      </c>
      <c r="T91" s="187" t="s">
        <v>4851</v>
      </c>
      <c r="U91" s="206">
        <v>218.5</v>
      </c>
      <c r="V91" s="206">
        <f t="shared" si="37"/>
        <v>368.65320000000008</v>
      </c>
      <c r="W91" s="32">
        <f t="shared" si="38"/>
        <v>376.02626400000008</v>
      </c>
      <c r="X91" s="32">
        <f t="shared" si="39"/>
        <v>383.39932800000008</v>
      </c>
      <c r="Y91" s="94">
        <v>5468</v>
      </c>
      <c r="Z91" s="113"/>
      <c r="AA91" s="113"/>
      <c r="AB91" s="113"/>
      <c r="AE91"/>
      <c r="AG91" s="94"/>
      <c r="AH91" s="20">
        <v>71</v>
      </c>
      <c r="AI91" s="115" t="s">
        <v>4436</v>
      </c>
      <c r="AJ91" s="115">
        <v>2648000</v>
      </c>
      <c r="AK91" s="20">
        <v>1</v>
      </c>
      <c r="AL91" s="97">
        <f t="shared" si="33"/>
        <v>943</v>
      </c>
      <c r="AM91" s="115">
        <f t="shared" si="11"/>
        <v>2497064000</v>
      </c>
      <c r="AN91" s="20" t="s">
        <v>4437</v>
      </c>
      <c r="AU91" s="94" t="s">
        <v>25</v>
      </c>
    </row>
    <row r="92" spans="4:52">
      <c r="D92" s="32" t="s">
        <v>319</v>
      </c>
      <c r="E92" s="1">
        <v>20000</v>
      </c>
      <c r="F92" s="94"/>
      <c r="G92" s="94"/>
      <c r="H92" s="94"/>
      <c r="I92" s="94"/>
      <c r="J92" s="94" t="s">
        <v>25</v>
      </c>
      <c r="K92" s="94"/>
      <c r="M92" s="94"/>
      <c r="Q92" s="167">
        <v>5837196.2537021004</v>
      </c>
      <c r="R92" s="19" t="s">
        <v>4873</v>
      </c>
      <c r="S92" s="194">
        <f>S91-16</f>
        <v>860</v>
      </c>
      <c r="T92" s="187" t="s">
        <v>5599</v>
      </c>
      <c r="U92" s="206">
        <v>196.2</v>
      </c>
      <c r="V92" s="206">
        <f t="shared" si="37"/>
        <v>328.62048657534245</v>
      </c>
      <c r="W92" s="32">
        <f t="shared" si="38"/>
        <v>335.19289630684932</v>
      </c>
      <c r="X92" s="32">
        <f t="shared" si="39"/>
        <v>341.76530603835619</v>
      </c>
      <c r="Y92" s="94">
        <v>29619</v>
      </c>
      <c r="Z92" s="113"/>
      <c r="AA92" s="113"/>
      <c r="AB92" s="113"/>
      <c r="AE92"/>
      <c r="AG92" s="94"/>
      <c r="AH92" s="20">
        <v>72</v>
      </c>
      <c r="AI92" s="115" t="s">
        <v>4205</v>
      </c>
      <c r="AJ92" s="115">
        <v>615000</v>
      </c>
      <c r="AK92" s="20">
        <v>4</v>
      </c>
      <c r="AL92" s="97">
        <f t="shared" si="33"/>
        <v>942</v>
      </c>
      <c r="AM92" s="115">
        <f t="shared" si="11"/>
        <v>579330000</v>
      </c>
      <c r="AN92" s="20"/>
      <c r="AV92" t="s">
        <v>25</v>
      </c>
    </row>
    <row r="93" spans="4:52">
      <c r="D93" s="32" t="s">
        <v>320</v>
      </c>
      <c r="E93" s="1">
        <v>40000</v>
      </c>
      <c r="F93" s="94"/>
      <c r="G93" s="94"/>
      <c r="H93" s="94" t="s">
        <v>25</v>
      </c>
      <c r="I93" s="94"/>
      <c r="J93" s="94"/>
      <c r="K93" s="94"/>
      <c r="L93" s="94"/>
      <c r="M93" s="94"/>
      <c r="Q93" s="167">
        <v>2948152</v>
      </c>
      <c r="R93" s="19" t="s">
        <v>5634</v>
      </c>
      <c r="S93" s="194">
        <f>S92-498</f>
        <v>362</v>
      </c>
      <c r="T93" s="187" t="s">
        <v>5635</v>
      </c>
      <c r="U93" s="206">
        <v>1550</v>
      </c>
      <c r="V93" s="206">
        <f t="shared" si="37"/>
        <v>2003.992876712329</v>
      </c>
      <c r="W93" s="32">
        <f t="shared" ref="W93:W99" si="40">V93*(1+$W$19/100)</f>
        <v>2044.0727342465757</v>
      </c>
      <c r="X93" s="32">
        <f t="shared" ref="X93:X99" si="41">V93*(1+$X$19/100)</f>
        <v>2084.1525917808221</v>
      </c>
      <c r="Y93" s="94">
        <v>1895</v>
      </c>
      <c r="AB93" s="113"/>
      <c r="AE93"/>
      <c r="AG93" s="94"/>
      <c r="AH93" s="20">
        <v>73</v>
      </c>
      <c r="AI93" s="115" t="s">
        <v>4447</v>
      </c>
      <c r="AJ93" s="115">
        <v>14000000</v>
      </c>
      <c r="AK93" s="20">
        <v>2</v>
      </c>
      <c r="AL93" s="97">
        <f>AL94+AK93</f>
        <v>938</v>
      </c>
      <c r="AM93" s="115">
        <f t="shared" si="11"/>
        <v>13132000000</v>
      </c>
      <c r="AN93" s="20"/>
    </row>
    <row r="94" spans="4:52">
      <c r="D94" s="32" t="s">
        <v>322</v>
      </c>
      <c r="E94" s="1">
        <v>150000</v>
      </c>
      <c r="F94" s="94"/>
      <c r="G94" s="94"/>
      <c r="H94" s="94"/>
      <c r="I94" s="94" t="s">
        <v>25</v>
      </c>
      <c r="J94" s="94" t="s">
        <v>25</v>
      </c>
      <c r="K94" s="94"/>
      <c r="L94" s="94"/>
      <c r="Q94" s="167"/>
      <c r="R94" s="19" t="s">
        <v>5736</v>
      </c>
      <c r="S94" s="194">
        <f>S93-83</f>
        <v>279</v>
      </c>
      <c r="T94" s="187" t="s">
        <v>5738</v>
      </c>
      <c r="U94" s="206">
        <v>1275</v>
      </c>
      <c r="V94" s="206">
        <f t="shared" si="37"/>
        <v>1567.2649315068495</v>
      </c>
      <c r="W94" s="32">
        <f t="shared" si="40"/>
        <v>1598.6102301369865</v>
      </c>
      <c r="X94" s="32">
        <f t="shared" si="41"/>
        <v>1629.9555287671235</v>
      </c>
      <c r="Y94" s="94">
        <v>48654</v>
      </c>
      <c r="AH94" s="20">
        <v>74</v>
      </c>
      <c r="AI94" s="115" t="s">
        <v>4451</v>
      </c>
      <c r="AJ94" s="115">
        <v>1313000</v>
      </c>
      <c r="AK94" s="20">
        <v>0</v>
      </c>
      <c r="AL94" s="97">
        <f>AL95+AK94</f>
        <v>936</v>
      </c>
      <c r="AM94" s="115">
        <f t="shared" si="11"/>
        <v>1228968000</v>
      </c>
      <c r="AN94" s="20"/>
      <c r="AQ94" t="s">
        <v>25</v>
      </c>
    </row>
    <row r="95" spans="4:52">
      <c r="D95" s="32" t="s">
        <v>324</v>
      </c>
      <c r="E95" s="1">
        <v>75000</v>
      </c>
      <c r="F95" s="94"/>
      <c r="G95" s="94"/>
      <c r="H95" s="94"/>
      <c r="I95" s="94"/>
      <c r="J95" s="94"/>
      <c r="K95" s="94"/>
      <c r="Q95" s="167"/>
      <c r="R95" s="19" t="s">
        <v>5746</v>
      </c>
      <c r="S95" s="194">
        <f>S94-5</f>
        <v>274</v>
      </c>
      <c r="T95" s="187" t="s">
        <v>5748</v>
      </c>
      <c r="U95" s="206">
        <v>1210</v>
      </c>
      <c r="V95" s="206">
        <f t="shared" si="37"/>
        <v>1482.7240547945207</v>
      </c>
      <c r="W95" s="32">
        <f t="shared" si="40"/>
        <v>1512.3785358904111</v>
      </c>
      <c r="X95" s="32">
        <f t="shared" si="41"/>
        <v>1542.0330169863016</v>
      </c>
      <c r="Y95" s="94">
        <v>450</v>
      </c>
      <c r="Z95" s="94"/>
      <c r="AA95" s="94"/>
      <c r="AH95" s="97">
        <v>75</v>
      </c>
      <c r="AI95" s="111" t="s">
        <v>4451</v>
      </c>
      <c r="AJ95" s="111">
        <v>2269000</v>
      </c>
      <c r="AK95" s="97">
        <v>1</v>
      </c>
      <c r="AL95" s="97">
        <f t="shared" ref="AL95:AL120" si="42">AL96+AK95</f>
        <v>936</v>
      </c>
      <c r="AM95" s="115">
        <f t="shared" si="11"/>
        <v>2123784000</v>
      </c>
      <c r="AN95" s="97"/>
    </row>
    <row r="96" spans="4:52">
      <c r="D96" s="32" t="s">
        <v>314</v>
      </c>
      <c r="E96" s="1">
        <v>140000</v>
      </c>
      <c r="F96" s="94"/>
      <c r="G96" s="94"/>
      <c r="H96" s="94"/>
      <c r="I96" s="94" t="s">
        <v>25</v>
      </c>
      <c r="J96" s="94" t="s">
        <v>25</v>
      </c>
      <c r="K96" s="94"/>
      <c r="Q96" s="167"/>
      <c r="R96" s="19" t="s">
        <v>5753</v>
      </c>
      <c r="S96" s="194">
        <f>S95-4</f>
        <v>270</v>
      </c>
      <c r="T96" s="187" t="s">
        <v>5754</v>
      </c>
      <c r="U96" s="206">
        <v>1175</v>
      </c>
      <c r="V96" s="206">
        <f t="shared" si="37"/>
        <v>1436.2298630136986</v>
      </c>
      <c r="W96" s="32">
        <f t="shared" si="40"/>
        <v>1464.9544602739727</v>
      </c>
      <c r="X96" s="32">
        <f t="shared" si="41"/>
        <v>1493.6790575342466</v>
      </c>
      <c r="Y96" s="94">
        <v>27754</v>
      </c>
      <c r="Z96" s="94"/>
      <c r="AA96" s="94"/>
      <c r="AH96" s="97">
        <v>76</v>
      </c>
      <c r="AI96" s="111" t="s">
        <v>4206</v>
      </c>
      <c r="AJ96" s="111">
        <v>750000</v>
      </c>
      <c r="AK96" s="97">
        <v>4</v>
      </c>
      <c r="AL96" s="97">
        <f t="shared" si="42"/>
        <v>935</v>
      </c>
      <c r="AM96" s="115">
        <f t="shared" si="11"/>
        <v>701250000</v>
      </c>
      <c r="AN96" s="97"/>
      <c r="AQ96" t="s">
        <v>25</v>
      </c>
    </row>
    <row r="97" spans="4:47">
      <c r="D97" s="2" t="s">
        <v>476</v>
      </c>
      <c r="E97" s="3">
        <v>1083333</v>
      </c>
      <c r="F97" s="344"/>
      <c r="G97" s="344"/>
      <c r="H97" s="344"/>
      <c r="I97" s="344"/>
      <c r="J97" s="344"/>
      <c r="K97" s="94"/>
      <c r="Q97" s="167"/>
      <c r="R97" s="19" t="s">
        <v>5755</v>
      </c>
      <c r="S97" s="194">
        <f>S96-3</f>
        <v>267</v>
      </c>
      <c r="T97" s="187" t="s">
        <v>5758</v>
      </c>
      <c r="U97" s="206">
        <v>1148</v>
      </c>
      <c r="V97" s="206">
        <f t="shared" si="37"/>
        <v>1400.5851616438356</v>
      </c>
      <c r="W97" s="32">
        <f t="shared" si="40"/>
        <v>1428.5968648767123</v>
      </c>
      <c r="X97" s="32">
        <f t="shared" si="41"/>
        <v>1456.608568109589</v>
      </c>
      <c r="Y97" s="94">
        <v>8020</v>
      </c>
      <c r="Z97" s="94"/>
      <c r="AA97" s="94"/>
      <c r="AH97" s="97">
        <v>77</v>
      </c>
      <c r="AI97" s="111" t="s">
        <v>4456</v>
      </c>
      <c r="AJ97" s="111">
        <v>1900000</v>
      </c>
      <c r="AK97" s="97">
        <v>3</v>
      </c>
      <c r="AL97" s="97">
        <f t="shared" si="42"/>
        <v>931</v>
      </c>
      <c r="AM97" s="115">
        <f t="shared" si="11"/>
        <v>1768900000</v>
      </c>
      <c r="AN97" s="97"/>
    </row>
    <row r="98" spans="4:47">
      <c r="D98" s="2"/>
      <c r="E98" s="3"/>
      <c r="F98" s="94"/>
      <c r="G98" s="94"/>
      <c r="H98" s="94"/>
      <c r="I98" s="94"/>
      <c r="J98" s="94"/>
      <c r="K98" s="94"/>
      <c r="M98" s="94" t="s">
        <v>25</v>
      </c>
      <c r="Q98" s="167"/>
      <c r="R98" s="19" t="s">
        <v>5761</v>
      </c>
      <c r="S98" s="194">
        <f>S97-1</f>
        <v>266</v>
      </c>
      <c r="T98" s="187" t="s">
        <v>5762</v>
      </c>
      <c r="U98" s="206">
        <v>1141</v>
      </c>
      <c r="V98" s="206">
        <f t="shared" si="37"/>
        <v>1391.1697205479454</v>
      </c>
      <c r="W98" s="32">
        <f t="shared" si="40"/>
        <v>1418.9931149589042</v>
      </c>
      <c r="X98" s="32">
        <f t="shared" si="41"/>
        <v>1446.8165093698633</v>
      </c>
      <c r="Y98" s="94">
        <v>3695</v>
      </c>
      <c r="Z98" s="94"/>
      <c r="AA98" s="94"/>
      <c r="AH98" s="97">
        <v>78</v>
      </c>
      <c r="AI98" s="111" t="s">
        <v>4469</v>
      </c>
      <c r="AJ98" s="111">
        <v>6400000</v>
      </c>
      <c r="AK98" s="97">
        <v>1</v>
      </c>
      <c r="AL98" s="97">
        <f t="shared" si="42"/>
        <v>928</v>
      </c>
      <c r="AM98" s="115">
        <f t="shared" si="11"/>
        <v>5939200000</v>
      </c>
      <c r="AN98" s="97"/>
    </row>
    <row r="99" spans="4:47">
      <c r="D99" s="2"/>
      <c r="E99" s="3"/>
      <c r="F99" s="94"/>
      <c r="G99" s="94"/>
      <c r="H99" s="94"/>
      <c r="I99" s="94"/>
      <c r="J99" s="94" t="s">
        <v>25</v>
      </c>
      <c r="K99" s="94"/>
      <c r="M99" s="94"/>
      <c r="Q99" s="167"/>
      <c r="R99" s="19" t="s">
        <v>5759</v>
      </c>
      <c r="S99" s="194">
        <f>S98-1</f>
        <v>265</v>
      </c>
      <c r="T99" s="187" t="s">
        <v>5763</v>
      </c>
      <c r="U99" s="206">
        <v>1171</v>
      </c>
      <c r="V99" s="206">
        <f t="shared" si="37"/>
        <v>1426.8490630136989</v>
      </c>
      <c r="W99" s="32">
        <f t="shared" si="40"/>
        <v>1455.3860442739729</v>
      </c>
      <c r="X99" s="32">
        <f t="shared" si="41"/>
        <v>1483.923025534247</v>
      </c>
      <c r="Y99" s="94">
        <v>58152</v>
      </c>
      <c r="AH99" s="97">
        <v>79</v>
      </c>
      <c r="AI99" s="111" t="s">
        <v>4467</v>
      </c>
      <c r="AJ99" s="111">
        <v>5000</v>
      </c>
      <c r="AK99" s="97">
        <v>5</v>
      </c>
      <c r="AL99" s="97">
        <f t="shared" si="42"/>
        <v>927</v>
      </c>
      <c r="AM99" s="115">
        <f t="shared" si="11"/>
        <v>4635000</v>
      </c>
      <c r="AN99" s="97"/>
      <c r="AP99" t="s">
        <v>25</v>
      </c>
    </row>
    <row r="100" spans="4:47">
      <c r="D100" s="2" t="s">
        <v>6</v>
      </c>
      <c r="E100" s="3">
        <f>SUM(E77:E98)</f>
        <v>3383333</v>
      </c>
      <c r="F100" s="94"/>
      <c r="G100" s="94"/>
      <c r="H100" s="94"/>
      <c r="I100" s="94"/>
      <c r="J100" s="94" t="s">
        <v>25</v>
      </c>
      <c r="K100" s="112"/>
      <c r="L100" s="94"/>
      <c r="M100" s="94"/>
      <c r="Q100" s="167"/>
      <c r="R100" s="19" t="s">
        <v>5820</v>
      </c>
      <c r="S100" s="194">
        <f>S99-65</f>
        <v>200</v>
      </c>
      <c r="T100" s="187" t="s">
        <v>5821</v>
      </c>
      <c r="U100" s="206">
        <v>1255.0999999999999</v>
      </c>
      <c r="V100" s="206">
        <f t="shared" si="37"/>
        <v>1466.7408076712329</v>
      </c>
      <c r="W100" s="32">
        <f t="shared" ref="W100:W106" si="43">V100*(1+$W$19/100)</f>
        <v>1496.0756238246577</v>
      </c>
      <c r="X100" s="32">
        <f t="shared" ref="X100:X106" si="44">V100*(1+$X$19/100)</f>
        <v>1525.4104399780822</v>
      </c>
      <c r="Y100" s="94"/>
      <c r="Z100" s="94">
        <v>26860</v>
      </c>
      <c r="AA100" s="94"/>
      <c r="AH100" s="97">
        <v>80</v>
      </c>
      <c r="AI100" s="111" t="s">
        <v>4495</v>
      </c>
      <c r="AJ100" s="111">
        <v>-1750148</v>
      </c>
      <c r="AK100" s="97">
        <v>1</v>
      </c>
      <c r="AL100" s="97">
        <f t="shared" si="42"/>
        <v>922</v>
      </c>
      <c r="AM100" s="115">
        <f t="shared" si="11"/>
        <v>-1613636456</v>
      </c>
      <c r="AN100" s="97"/>
    </row>
    <row r="101" spans="4:47">
      <c r="D101" s="2" t="s">
        <v>328</v>
      </c>
      <c r="E101" s="3">
        <f>E100/30</f>
        <v>112777.76666666666</v>
      </c>
      <c r="F101" s="94"/>
      <c r="G101" s="94"/>
      <c r="H101" s="94"/>
      <c r="I101" s="94"/>
      <c r="J101" s="94" t="s">
        <v>25</v>
      </c>
      <c r="K101" s="94"/>
      <c r="L101" s="94"/>
      <c r="M101" s="94"/>
      <c r="Q101" s="167"/>
      <c r="R101" s="19" t="s">
        <v>6490</v>
      </c>
      <c r="S101" s="194">
        <f>S100-115</f>
        <v>85</v>
      </c>
      <c r="T101" s="187" t="s">
        <v>6658</v>
      </c>
      <c r="U101" s="206">
        <v>1160</v>
      </c>
      <c r="V101" s="206">
        <f t="shared" si="37"/>
        <v>1253.2703561643837</v>
      </c>
      <c r="W101" s="32">
        <f t="shared" si="43"/>
        <v>1278.3357632876714</v>
      </c>
      <c r="X101" s="32">
        <f t="shared" si="44"/>
        <v>1303.4011704109591</v>
      </c>
      <c r="Y101" s="94">
        <v>11785</v>
      </c>
      <c r="Z101" s="94"/>
      <c r="AA101" s="94"/>
      <c r="AH101" s="97">
        <v>81</v>
      </c>
      <c r="AI101" s="111" t="s">
        <v>4498</v>
      </c>
      <c r="AJ101" s="111">
        <v>400000</v>
      </c>
      <c r="AK101" s="97">
        <v>0</v>
      </c>
      <c r="AL101" s="97">
        <f t="shared" si="42"/>
        <v>921</v>
      </c>
      <c r="AM101" s="115">
        <f t="shared" si="11"/>
        <v>368400000</v>
      </c>
      <c r="AN101" s="97"/>
    </row>
    <row r="102" spans="4:47">
      <c r="F102" s="94"/>
      <c r="G102" s="94"/>
      <c r="H102" s="94"/>
      <c r="I102" s="94"/>
      <c r="J102" s="94" t="s">
        <v>25</v>
      </c>
      <c r="K102" t="s">
        <v>25</v>
      </c>
      <c r="L102" s="94"/>
      <c r="M102" s="94"/>
      <c r="Q102" s="167"/>
      <c r="R102" s="19" t="s">
        <v>6659</v>
      </c>
      <c r="S102" s="194">
        <f>S115-1067</f>
        <v>33</v>
      </c>
      <c r="T102" s="187" t="s">
        <v>6660</v>
      </c>
      <c r="U102" s="206">
        <v>1600</v>
      </c>
      <c r="V102" s="206">
        <f t="shared" si="37"/>
        <v>1664.8241095890412</v>
      </c>
      <c r="W102" s="32">
        <f t="shared" si="43"/>
        <v>1698.120591780822</v>
      </c>
      <c r="X102" s="32">
        <f t="shared" si="44"/>
        <v>1731.4170739726028</v>
      </c>
      <c r="Y102" s="94">
        <v>7660</v>
      </c>
      <c r="Z102" s="94"/>
      <c r="AA102" s="94"/>
      <c r="AH102" s="97">
        <v>82</v>
      </c>
      <c r="AI102" s="111" t="s">
        <v>4498</v>
      </c>
      <c r="AJ102" s="111">
        <v>-2105421</v>
      </c>
      <c r="AK102" s="97">
        <v>1</v>
      </c>
      <c r="AL102" s="97">
        <f t="shared" si="42"/>
        <v>921</v>
      </c>
      <c r="AM102" s="115">
        <f t="shared" si="11"/>
        <v>-1939092741</v>
      </c>
      <c r="AN102" s="97"/>
      <c r="AO102" t="s">
        <v>25</v>
      </c>
    </row>
    <row r="103" spans="4:47">
      <c r="J103" t="s">
        <v>25</v>
      </c>
      <c r="Q103" s="167"/>
      <c r="R103" s="19" t="s">
        <v>6680</v>
      </c>
      <c r="S103" s="194">
        <f>S102-13</f>
        <v>20</v>
      </c>
      <c r="T103" s="187" t="s">
        <v>6681</v>
      </c>
      <c r="U103" s="206">
        <v>1544</v>
      </c>
      <c r="V103" s="206">
        <f t="shared" si="37"/>
        <v>1591.1575671232879</v>
      </c>
      <c r="W103" s="32">
        <f t="shared" si="43"/>
        <v>1622.9807184657536</v>
      </c>
      <c r="X103" s="32">
        <f t="shared" si="44"/>
        <v>1654.8038698082194</v>
      </c>
      <c r="Y103" s="94">
        <v>3279</v>
      </c>
      <c r="Z103" s="94"/>
      <c r="AA103" s="94"/>
      <c r="AH103" s="97">
        <v>83</v>
      </c>
      <c r="AI103" s="111" t="s">
        <v>4501</v>
      </c>
      <c r="AJ103" s="111">
        <v>-5527618</v>
      </c>
      <c r="AK103" s="97">
        <v>0</v>
      </c>
      <c r="AL103" s="97">
        <f t="shared" si="42"/>
        <v>920</v>
      </c>
      <c r="AM103" s="115">
        <f t="shared" si="11"/>
        <v>-5085408560</v>
      </c>
      <c r="AN103" s="97"/>
    </row>
    <row r="104" spans="4:47">
      <c r="Q104" s="167"/>
      <c r="R104" s="19"/>
      <c r="S104" s="194"/>
      <c r="T104" s="187"/>
      <c r="U104" s="206"/>
      <c r="V104" s="206">
        <f>U104*(1+$R$111+$Q$15*S104/36500)</f>
        <v>0</v>
      </c>
      <c r="W104" s="32">
        <f t="shared" si="43"/>
        <v>0</v>
      </c>
      <c r="X104" s="32">
        <f t="shared" si="44"/>
        <v>0</v>
      </c>
      <c r="Y104" s="94"/>
      <c r="Z104" s="94"/>
      <c r="AA104" s="94"/>
      <c r="AH104" s="97">
        <v>84</v>
      </c>
      <c r="AI104" s="111" t="s">
        <v>4501</v>
      </c>
      <c r="AJ104" s="111">
        <v>3900000</v>
      </c>
      <c r="AK104" s="97">
        <v>3</v>
      </c>
      <c r="AL104" s="97">
        <f t="shared" si="42"/>
        <v>920</v>
      </c>
      <c r="AM104" s="115">
        <f t="shared" si="11"/>
        <v>3588000000</v>
      </c>
      <c r="AN104" s="97"/>
    </row>
    <row r="105" spans="4:47">
      <c r="F105" s="206" t="s">
        <v>4608</v>
      </c>
      <c r="G105" s="206" t="s">
        <v>924</v>
      </c>
      <c r="H105" s="206" t="s">
        <v>4602</v>
      </c>
      <c r="I105" s="206" t="s">
        <v>4601</v>
      </c>
      <c r="J105" s="32" t="s">
        <v>4480</v>
      </c>
      <c r="K105" s="206" t="s">
        <v>4595</v>
      </c>
      <c r="L105" s="32" t="s">
        <v>4597</v>
      </c>
      <c r="M105" s="32" t="s">
        <v>4572</v>
      </c>
      <c r="N105" s="206" t="s">
        <v>4573</v>
      </c>
      <c r="Q105" s="167"/>
      <c r="R105" s="19"/>
      <c r="S105" s="194"/>
      <c r="T105" s="187"/>
      <c r="U105" s="206"/>
      <c r="V105" s="206">
        <f>U105*(1+$R$111+$Q$15*S105/36500)</f>
        <v>0</v>
      </c>
      <c r="W105" s="32">
        <f t="shared" si="43"/>
        <v>0</v>
      </c>
      <c r="X105" s="32">
        <f t="shared" si="44"/>
        <v>0</v>
      </c>
      <c r="Y105" s="94"/>
      <c r="Z105" s="94"/>
      <c r="AA105" s="94"/>
      <c r="AH105" s="97">
        <v>85</v>
      </c>
      <c r="AI105" s="111" t="s">
        <v>4502</v>
      </c>
      <c r="AJ105" s="111">
        <v>-3969754</v>
      </c>
      <c r="AK105" s="97">
        <v>1</v>
      </c>
      <c r="AL105" s="97">
        <f t="shared" si="42"/>
        <v>917</v>
      </c>
      <c r="AM105" s="115">
        <f t="shared" si="11"/>
        <v>-3640264418</v>
      </c>
      <c r="AN105" s="97"/>
    </row>
    <row r="106" spans="4:47">
      <c r="F106" s="196">
        <f>$L$114/G106</f>
        <v>7659.4345825115051</v>
      </c>
      <c r="G106" s="196">
        <f>P48</f>
        <v>1521</v>
      </c>
      <c r="H106" s="196" t="s">
        <v>4699</v>
      </c>
      <c r="I106" s="196" t="s">
        <v>5286</v>
      </c>
      <c r="J106" s="207" t="s">
        <v>4216</v>
      </c>
      <c r="K106" s="196">
        <v>210</v>
      </c>
      <c r="L106" s="208">
        <f t="shared" ref="L106:L111" si="45">K106*$L$114</f>
        <v>2446500000</v>
      </c>
      <c r="M106" s="208">
        <f>N22+N33+N48</f>
        <v>9584833986</v>
      </c>
      <c r="N106" s="181">
        <f>L106-M106</f>
        <v>-7138333986</v>
      </c>
      <c r="P106" s="94"/>
      <c r="Q106" s="167"/>
      <c r="R106" s="166"/>
      <c r="S106" s="111"/>
      <c r="T106" s="111"/>
      <c r="U106" s="166" t="s">
        <v>25</v>
      </c>
      <c r="V106" s="206" t="e">
        <f>U106*(1+$R$111+$Q$15*S106/36500)</f>
        <v>#VALUE!</v>
      </c>
      <c r="W106" s="32" t="e">
        <f t="shared" si="43"/>
        <v>#VALUE!</v>
      </c>
      <c r="X106" s="32" t="e">
        <f t="shared" si="44"/>
        <v>#VALUE!</v>
      </c>
      <c r="Z106" t="s">
        <v>25</v>
      </c>
      <c r="AH106" s="97">
        <v>86</v>
      </c>
      <c r="AI106" s="111" t="s">
        <v>4512</v>
      </c>
      <c r="AJ106" s="111">
        <v>-25574455</v>
      </c>
      <c r="AK106" s="97">
        <v>0</v>
      </c>
      <c r="AL106" s="97">
        <f t="shared" si="42"/>
        <v>916</v>
      </c>
      <c r="AM106" s="115">
        <f t="shared" si="11"/>
        <v>-23426200780</v>
      </c>
      <c r="AN106" s="97"/>
      <c r="AP106" t="s">
        <v>25</v>
      </c>
    </row>
    <row r="107" spans="4:47">
      <c r="F107" s="206">
        <v>0</v>
      </c>
      <c r="G107" s="206">
        <f>P47</f>
        <v>26700</v>
      </c>
      <c r="H107" s="206" t="s">
        <v>4852</v>
      </c>
      <c r="I107" s="206" t="s">
        <v>5287</v>
      </c>
      <c r="J107" s="32" t="s">
        <v>5267</v>
      </c>
      <c r="K107" s="206">
        <v>33</v>
      </c>
      <c r="L107" s="1">
        <f t="shared" si="45"/>
        <v>384450000</v>
      </c>
      <c r="M107" s="1">
        <f>N51+N30+N23</f>
        <v>2110464558</v>
      </c>
      <c r="N107" s="111">
        <f t="shared" ref="N107:N109" si="46">L107-M107</f>
        <v>-1726014558</v>
      </c>
      <c r="P107" s="94"/>
      <c r="Q107" s="111">
        <f>SUM(N30:N33)-SUM(Q84:Q106)</f>
        <v>513107196.7462979</v>
      </c>
      <c r="R107" s="166"/>
      <c r="S107" s="166"/>
      <c r="T107" s="166"/>
      <c r="U107" s="166"/>
      <c r="V107" s="166"/>
      <c r="W107" s="32"/>
      <c r="X107" s="32"/>
      <c r="Z107" t="s">
        <v>25</v>
      </c>
      <c r="AA107" t="s">
        <v>25</v>
      </c>
      <c r="AH107" s="97">
        <v>87</v>
      </c>
      <c r="AI107" s="111" t="s">
        <v>4512</v>
      </c>
      <c r="AJ107" s="111">
        <v>4000000</v>
      </c>
      <c r="AK107" s="97">
        <v>1</v>
      </c>
      <c r="AL107" s="97">
        <f t="shared" si="42"/>
        <v>916</v>
      </c>
      <c r="AM107" s="115">
        <f t="shared" si="11"/>
        <v>3664000000</v>
      </c>
      <c r="AN107" s="97"/>
    </row>
    <row r="108" spans="4:47">
      <c r="F108" s="196">
        <v>0</v>
      </c>
      <c r="G108" s="196">
        <f>P46</f>
        <v>21300</v>
      </c>
      <c r="H108" s="196" t="s">
        <v>4966</v>
      </c>
      <c r="I108" s="196" t="s">
        <v>5288</v>
      </c>
      <c r="J108" s="207" t="s">
        <v>4358</v>
      </c>
      <c r="K108" s="196">
        <v>0</v>
      </c>
      <c r="L108" s="208">
        <f t="shared" si="45"/>
        <v>0</v>
      </c>
      <c r="M108" s="208">
        <f>N47</f>
        <v>0</v>
      </c>
      <c r="N108" s="181">
        <f t="shared" si="46"/>
        <v>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915</v>
      </c>
      <c r="AM108" s="115">
        <f t="shared" si="11"/>
        <v>-4575000000</v>
      </c>
      <c r="AN108" s="97"/>
    </row>
    <row r="109" spans="4:47">
      <c r="F109" s="187"/>
      <c r="G109" s="187"/>
      <c r="H109" s="187"/>
      <c r="I109" s="187"/>
      <c r="J109" s="262" t="s">
        <v>5289</v>
      </c>
      <c r="K109" s="187">
        <v>0</v>
      </c>
      <c r="L109" s="263">
        <f t="shared" si="45"/>
        <v>0</v>
      </c>
      <c r="M109" s="263">
        <f>N20+N28+N44</f>
        <v>448</v>
      </c>
      <c r="N109" s="186">
        <f t="shared" si="46"/>
        <v>-448</v>
      </c>
      <c r="P109" s="94"/>
      <c r="Q109" s="97" t="s">
        <v>932</v>
      </c>
      <c r="R109" s="97">
        <v>1.03E-2</v>
      </c>
      <c r="S109" s="26" t="s">
        <v>25</v>
      </c>
      <c r="T109" t="s">
        <v>25</v>
      </c>
      <c r="U109" s="94" t="s">
        <v>25</v>
      </c>
      <c r="V109" s="113" t="s">
        <v>25</v>
      </c>
      <c r="W109" s="191" t="s">
        <v>25</v>
      </c>
      <c r="X109" s="191"/>
      <c r="Z109" t="s">
        <v>25</v>
      </c>
      <c r="AD109" s="94"/>
      <c r="AE109"/>
      <c r="AF109"/>
      <c r="AH109" s="97">
        <v>89</v>
      </c>
      <c r="AI109" s="111" t="s">
        <v>4516</v>
      </c>
      <c r="AJ109" s="111">
        <v>10000000</v>
      </c>
      <c r="AK109" s="97">
        <v>4</v>
      </c>
      <c r="AL109" s="97">
        <f t="shared" si="42"/>
        <v>913</v>
      </c>
      <c r="AM109" s="115">
        <f t="shared" si="11"/>
        <v>9130000000</v>
      </c>
      <c r="AN109" s="97"/>
    </row>
    <row r="110" spans="4:47">
      <c r="F110" s="196"/>
      <c r="G110" s="196"/>
      <c r="H110" s="196"/>
      <c r="I110" s="196"/>
      <c r="J110" s="207" t="s">
        <v>314</v>
      </c>
      <c r="K110" s="196">
        <v>1</v>
      </c>
      <c r="L110" s="208">
        <f t="shared" si="45"/>
        <v>11650000</v>
      </c>
      <c r="M110" s="208">
        <f>N52+N24+N45+N29+N21</f>
        <v>0</v>
      </c>
      <c r="N110" s="181">
        <f>L110-M110</f>
        <v>11650000</v>
      </c>
      <c r="P110" t="s">
        <v>25</v>
      </c>
      <c r="Q110" s="97" t="s">
        <v>61</v>
      </c>
      <c r="R110" s="97">
        <v>4.8999999999999998E-3</v>
      </c>
      <c r="T110" s="112" t="s">
        <v>25</v>
      </c>
      <c r="U110" s="94" t="s">
        <v>25</v>
      </c>
      <c r="V110" t="s">
        <v>25</v>
      </c>
      <c r="W110" s="191" t="s">
        <v>25</v>
      </c>
      <c r="X110" s="191" t="s">
        <v>25</v>
      </c>
      <c r="Y110" s="94"/>
      <c r="Z110" s="94"/>
      <c r="AA110" s="94"/>
      <c r="AB110" s="94"/>
      <c r="AC110" t="s">
        <v>25</v>
      </c>
      <c r="AH110" s="97">
        <v>90</v>
      </c>
      <c r="AI110" s="111" t="s">
        <v>4518</v>
      </c>
      <c r="AJ110" s="111">
        <v>-5241937</v>
      </c>
      <c r="AK110" s="97">
        <v>0</v>
      </c>
      <c r="AL110" s="97">
        <f t="shared" si="42"/>
        <v>909</v>
      </c>
      <c r="AM110" s="115">
        <f t="shared" si="11"/>
        <v>-4764920733</v>
      </c>
      <c r="AN110" s="97"/>
    </row>
    <row r="111" spans="4:47">
      <c r="F111" s="189"/>
      <c r="G111" s="189"/>
      <c r="H111" s="189"/>
      <c r="I111" s="189"/>
      <c r="J111" s="237" t="s">
        <v>5394</v>
      </c>
      <c r="K111" s="189">
        <v>760</v>
      </c>
      <c r="L111" s="238">
        <f t="shared" si="45"/>
        <v>8854000000</v>
      </c>
      <c r="M111" s="238">
        <v>0</v>
      </c>
      <c r="N111" s="84">
        <f>L111-M111</f>
        <v>8854000000</v>
      </c>
      <c r="P111" t="s">
        <v>25</v>
      </c>
      <c r="Q111" s="97" t="s">
        <v>6</v>
      </c>
      <c r="R111" s="97">
        <f>R109+R110</f>
        <v>1.52E-2</v>
      </c>
      <c r="T111" t="s">
        <v>25</v>
      </c>
      <c r="U111" s="94" t="s">
        <v>25</v>
      </c>
      <c r="V111" t="s">
        <v>25</v>
      </c>
      <c r="W111" s="191"/>
      <c r="X111" s="191"/>
      <c r="Y111" s="94"/>
      <c r="Z111" s="94"/>
      <c r="AA111" s="94" t="s">
        <v>25</v>
      </c>
      <c r="AB111" s="94"/>
      <c r="AH111" s="97">
        <v>91</v>
      </c>
      <c r="AI111" s="111" t="s">
        <v>4518</v>
      </c>
      <c r="AJ111" s="111">
        <v>21900000</v>
      </c>
      <c r="AK111" s="97">
        <v>2</v>
      </c>
      <c r="AL111" s="97">
        <f t="shared" si="42"/>
        <v>909</v>
      </c>
      <c r="AM111" s="115">
        <f t="shared" si="11"/>
        <v>19907100000</v>
      </c>
      <c r="AN111" s="97"/>
      <c r="AP111" t="s">
        <v>25</v>
      </c>
      <c r="AU111"/>
    </row>
    <row r="112" spans="4:47">
      <c r="F112" s="206"/>
      <c r="G112" s="206"/>
      <c r="H112" s="206"/>
      <c r="I112" s="206"/>
      <c r="J112" s="32" t="s">
        <v>4674</v>
      </c>
      <c r="K112" s="206"/>
      <c r="L112" s="1"/>
      <c r="M112" s="1"/>
      <c r="N112" s="111">
        <f>20000000-L45</f>
        <v>-5000000</v>
      </c>
      <c r="O112" t="s">
        <v>25</v>
      </c>
      <c r="P112" t="s">
        <v>25</v>
      </c>
      <c r="W112" s="191"/>
      <c r="X112" s="191"/>
      <c r="AA112" t="s">
        <v>25</v>
      </c>
      <c r="AH112" s="97">
        <v>92</v>
      </c>
      <c r="AI112" s="111" t="s">
        <v>4525</v>
      </c>
      <c r="AJ112" s="111">
        <v>-15000000</v>
      </c>
      <c r="AK112" s="97">
        <v>0</v>
      </c>
      <c r="AL112" s="97">
        <f t="shared" si="42"/>
        <v>907</v>
      </c>
      <c r="AM112" s="115">
        <f t="shared" si="11"/>
        <v>-13605000000</v>
      </c>
      <c r="AN112" s="97"/>
      <c r="AO112" t="s">
        <v>25</v>
      </c>
    </row>
    <row r="113" spans="6:46" ht="30">
      <c r="F113" s="196"/>
      <c r="G113" s="196"/>
      <c r="H113" s="196"/>
      <c r="I113" s="196"/>
      <c r="J113" s="207" t="s">
        <v>4985</v>
      </c>
      <c r="K113" s="196">
        <f>SUM(K106:K111)</f>
        <v>1004</v>
      </c>
      <c r="L113" s="208"/>
      <c r="M113" s="208"/>
      <c r="N113" s="181"/>
      <c r="Q113" s="71" t="s">
        <v>4267</v>
      </c>
      <c r="R113" s="110"/>
      <c r="S113" s="110"/>
      <c r="T113" s="110"/>
      <c r="U113" s="166" t="s">
        <v>4329</v>
      </c>
      <c r="V113" s="36" t="s">
        <v>4331</v>
      </c>
      <c r="W113" s="32"/>
      <c r="X113" s="32"/>
      <c r="Y113" s="94"/>
      <c r="Z113" s="94"/>
      <c r="AA113" s="94"/>
      <c r="AH113" s="97">
        <v>93</v>
      </c>
      <c r="AI113" s="111" t="s">
        <v>4525</v>
      </c>
      <c r="AJ113" s="111">
        <v>3000000</v>
      </c>
      <c r="AK113" s="97">
        <v>1</v>
      </c>
      <c r="AL113" s="97">
        <f t="shared" si="42"/>
        <v>907</v>
      </c>
      <c r="AM113" s="115">
        <f t="shared" si="11"/>
        <v>2721000000</v>
      </c>
      <c r="AN113" s="97"/>
    </row>
    <row r="114" spans="6:46">
      <c r="F114" s="206"/>
      <c r="G114" s="206"/>
      <c r="H114" s="206" t="s">
        <v>25</v>
      </c>
      <c r="I114" s="206"/>
      <c r="J114" s="32"/>
      <c r="K114" s="206">
        <v>0</v>
      </c>
      <c r="L114" s="39">
        <f>10*P53</f>
        <v>11650000</v>
      </c>
      <c r="M114" s="1">
        <f>K114*L114</f>
        <v>0</v>
      </c>
      <c r="N114" s="111">
        <f>SUM(N106:N112)-M114</f>
        <v>-3698992</v>
      </c>
      <c r="P114" s="112"/>
      <c r="Q114" s="110" t="s">
        <v>267</v>
      </c>
      <c r="R114" s="110" t="s">
        <v>180</v>
      </c>
      <c r="S114" s="110" t="s">
        <v>183</v>
      </c>
      <c r="T114" s="110" t="s">
        <v>8</v>
      </c>
      <c r="U114" s="166"/>
      <c r="V114" s="97"/>
      <c r="W114" s="32">
        <v>2</v>
      </c>
      <c r="X114" s="32">
        <v>4</v>
      </c>
      <c r="AH114" s="97">
        <v>94</v>
      </c>
      <c r="AI114" s="111" t="s">
        <v>4528</v>
      </c>
      <c r="AJ114" s="111">
        <v>-2103736</v>
      </c>
      <c r="AK114" s="97">
        <v>0</v>
      </c>
      <c r="AL114" s="97">
        <f t="shared" si="42"/>
        <v>906</v>
      </c>
      <c r="AM114" s="115">
        <f t="shared" si="11"/>
        <v>-1905984816</v>
      </c>
      <c r="AN114" s="97"/>
    </row>
    <row r="115" spans="6:46">
      <c r="F115" s="196"/>
      <c r="G115" s="196"/>
      <c r="H115" s="196"/>
      <c r="I115" s="196"/>
      <c r="J115" s="207"/>
      <c r="K115" s="225"/>
      <c r="L115" s="208" t="s">
        <v>4226</v>
      </c>
      <c r="M115" s="208" t="s">
        <v>4589</v>
      </c>
      <c r="N115" s="181" t="s">
        <v>4590</v>
      </c>
      <c r="P115" t="s">
        <v>25</v>
      </c>
      <c r="Q115" s="35">
        <v>38474780.062005915</v>
      </c>
      <c r="R115" s="5" t="s">
        <v>4149</v>
      </c>
      <c r="S115" s="5">
        <v>1100</v>
      </c>
      <c r="T115" s="5" t="s">
        <v>5566</v>
      </c>
      <c r="U115" s="166">
        <v>192</v>
      </c>
      <c r="V115" s="97">
        <f t="shared" ref="V115:V145" si="47">U115*(1+$R$111+$Q$15*S115/36500)</f>
        <v>356.93483835616439</v>
      </c>
      <c r="W115" s="32">
        <f t="shared" ref="W115" si="48">V115*(1+$W$19/100)</f>
        <v>364.07353512328768</v>
      </c>
      <c r="X115" s="32">
        <f t="shared" ref="X115" si="49">V115*(1+$X$19/100)</f>
        <v>371.21223189041098</v>
      </c>
      <c r="Y115" s="94">
        <v>200000</v>
      </c>
      <c r="AH115" s="97">
        <v>95</v>
      </c>
      <c r="AI115" s="111" t="s">
        <v>4528</v>
      </c>
      <c r="AJ115" s="111">
        <v>220000</v>
      </c>
      <c r="AK115" s="97">
        <v>3</v>
      </c>
      <c r="AL115" s="97">
        <f t="shared" si="42"/>
        <v>906</v>
      </c>
      <c r="AM115" s="115">
        <f t="shared" si="11"/>
        <v>199320000</v>
      </c>
      <c r="AN115" s="97"/>
      <c r="AR115" s="94"/>
      <c r="AS115" s="94"/>
      <c r="AT115"/>
    </row>
    <row r="116" spans="6:46">
      <c r="F116" s="206"/>
      <c r="G116" s="206"/>
      <c r="H116" s="206"/>
      <c r="I116" s="206"/>
      <c r="J116" s="32" t="s">
        <v>4596</v>
      </c>
      <c r="K116" s="206"/>
      <c r="L116" s="1"/>
      <c r="M116" s="1"/>
      <c r="N116" s="111"/>
      <c r="Q116" s="167">
        <v>433201621</v>
      </c>
      <c r="R116" s="206" t="s">
        <v>5571</v>
      </c>
      <c r="S116" s="206">
        <f>S115-695</f>
        <v>405</v>
      </c>
      <c r="T116" s="206" t="s">
        <v>5578</v>
      </c>
      <c r="U116" s="206">
        <v>1995.5</v>
      </c>
      <c r="V116" s="97">
        <f t="shared" si="47"/>
        <v>2645.8033808219184</v>
      </c>
      <c r="W116" s="32">
        <f t="shared" ref="W116:W117" si="50">V116*(1+$W$19/100)</f>
        <v>2698.7194484383567</v>
      </c>
      <c r="X116" s="32">
        <f t="shared" ref="X116:X117" si="51">V116*(1+$X$19/100)</f>
        <v>2751.6355160547951</v>
      </c>
      <c r="Y116">
        <v>216287</v>
      </c>
      <c r="Z116" t="s">
        <v>25</v>
      </c>
      <c r="AH116" s="97">
        <v>96</v>
      </c>
      <c r="AI116" s="111" t="s">
        <v>4537</v>
      </c>
      <c r="AJ116" s="111">
        <v>4000000</v>
      </c>
      <c r="AK116" s="97">
        <v>1</v>
      </c>
      <c r="AL116" s="97">
        <f t="shared" si="42"/>
        <v>903</v>
      </c>
      <c r="AM116" s="115">
        <f t="shared" si="11"/>
        <v>3612000000</v>
      </c>
      <c r="AN116" s="97"/>
    </row>
    <row r="117" spans="6:46">
      <c r="M117" t="s">
        <v>25</v>
      </c>
      <c r="Q117" s="167">
        <v>8201348.2384272004</v>
      </c>
      <c r="R117" s="206" t="s">
        <v>5574</v>
      </c>
      <c r="S117" s="206">
        <f>S116-5</f>
        <v>400</v>
      </c>
      <c r="T117" s="206" t="s">
        <v>5627</v>
      </c>
      <c r="U117" s="206">
        <v>1751</v>
      </c>
      <c r="V117" s="97">
        <f t="shared" si="47"/>
        <v>2314.908350684932</v>
      </c>
      <c r="W117" s="32">
        <f t="shared" si="50"/>
        <v>2361.2065176986307</v>
      </c>
      <c r="X117" s="32">
        <f t="shared" si="51"/>
        <v>2407.5046847123294</v>
      </c>
      <c r="Y117">
        <v>4667</v>
      </c>
      <c r="AH117" s="97">
        <v>97</v>
      </c>
      <c r="AI117" s="111" t="s">
        <v>4541</v>
      </c>
      <c r="AJ117" s="111">
        <v>-9000000</v>
      </c>
      <c r="AK117" s="97">
        <v>0</v>
      </c>
      <c r="AL117" s="97">
        <f t="shared" si="42"/>
        <v>902</v>
      </c>
      <c r="AM117" s="115">
        <f t="shared" si="11"/>
        <v>-8118000000</v>
      </c>
      <c r="AN117" s="97"/>
      <c r="AP117" t="s">
        <v>25</v>
      </c>
    </row>
    <row r="118" spans="6:46">
      <c r="G118" s="94" t="s">
        <v>25</v>
      </c>
      <c r="H118" s="94"/>
      <c r="I118" s="94"/>
      <c r="J118" s="94"/>
      <c r="P118" s="112"/>
      <c r="Q118" s="167">
        <v>106896832</v>
      </c>
      <c r="R118" s="206" t="s">
        <v>5629</v>
      </c>
      <c r="S118" s="206">
        <f>S117-36</f>
        <v>364</v>
      </c>
      <c r="T118" s="206" t="s">
        <v>5630</v>
      </c>
      <c r="U118" s="206">
        <v>1715</v>
      </c>
      <c r="V118" s="97">
        <f t="shared" si="47"/>
        <v>2219.9523835616442</v>
      </c>
      <c r="W118" s="32">
        <f t="shared" ref="W118" si="52">V118*(1+$W$19/100)</f>
        <v>2264.3514312328771</v>
      </c>
      <c r="X118" s="32">
        <f t="shared" ref="X118" si="53">V118*(1+$X$19/100)</f>
        <v>2308.75047890411</v>
      </c>
      <c r="Y118" s="94">
        <v>62100</v>
      </c>
      <c r="Z118" t="s">
        <v>25</v>
      </c>
      <c r="AH118" s="97">
        <v>98</v>
      </c>
      <c r="AI118" s="111" t="s">
        <v>4541</v>
      </c>
      <c r="AJ118" s="111">
        <v>13900000</v>
      </c>
      <c r="AK118" s="97">
        <v>2</v>
      </c>
      <c r="AL118" s="97">
        <f t="shared" si="42"/>
        <v>902</v>
      </c>
      <c r="AM118" s="115">
        <f t="shared" si="11"/>
        <v>12537800000</v>
      </c>
      <c r="AN118" s="97"/>
    </row>
    <row r="119" spans="6:46">
      <c r="G119" s="94"/>
      <c r="H119" s="94"/>
      <c r="I119" s="94"/>
      <c r="J119" s="94"/>
      <c r="K119" s="166" t="s">
        <v>4480</v>
      </c>
      <c r="L119" s="166" t="s">
        <v>4481</v>
      </c>
      <c r="M119" s="166" t="s">
        <v>4392</v>
      </c>
      <c r="N119" s="54" t="s">
        <v>190</v>
      </c>
      <c r="Q119" s="167">
        <v>455942528</v>
      </c>
      <c r="R119" s="206" t="s">
        <v>5631</v>
      </c>
      <c r="S119" s="206">
        <f>S118-1</f>
        <v>363</v>
      </c>
      <c r="T119" s="206" t="s">
        <v>5632</v>
      </c>
      <c r="U119" s="206">
        <v>1631</v>
      </c>
      <c r="V119" s="97">
        <f t="shared" si="47"/>
        <v>2109.9688438356166</v>
      </c>
      <c r="W119" s="32">
        <f t="shared" ref="W119:W120" si="54">V119*(1+$W$19/100)</f>
        <v>2152.168220712329</v>
      </c>
      <c r="X119" s="32">
        <f t="shared" ref="X119:X120" si="55">V119*(1+$X$19/100)</f>
        <v>2194.3675975890415</v>
      </c>
      <c r="Y119">
        <v>278514</v>
      </c>
      <c r="AA119" t="s">
        <v>25</v>
      </c>
      <c r="AH119" s="97">
        <v>99</v>
      </c>
      <c r="AI119" s="111" t="s">
        <v>4545</v>
      </c>
      <c r="AJ119" s="111">
        <v>-8127577</v>
      </c>
      <c r="AK119" s="97">
        <v>1</v>
      </c>
      <c r="AL119" s="97">
        <f t="shared" si="42"/>
        <v>900</v>
      </c>
      <c r="AM119" s="115">
        <f t="shared" si="11"/>
        <v>-7314819300</v>
      </c>
      <c r="AN119" s="97"/>
      <c r="AO119" t="s">
        <v>25</v>
      </c>
      <c r="AQ119" t="s">
        <v>25</v>
      </c>
    </row>
    <row r="120" spans="6:46">
      <c r="G120" s="94"/>
      <c r="H120" s="94"/>
      <c r="I120" s="94"/>
      <c r="J120" s="94"/>
      <c r="K120" s="166" t="s">
        <v>4216</v>
      </c>
      <c r="L120" s="167">
        <v>1100000</v>
      </c>
      <c r="M120" s="167">
        <v>1637000</v>
      </c>
      <c r="N120" s="166">
        <f t="shared" ref="N120:N128" si="56">(M120-L120)*100/L120</f>
        <v>48.81818181818182</v>
      </c>
      <c r="Q120" s="167">
        <v>834999909.33089697</v>
      </c>
      <c r="R120" s="206" t="s">
        <v>5634</v>
      </c>
      <c r="S120" s="206">
        <f>S119-1</f>
        <v>362</v>
      </c>
      <c r="T120" s="206" t="s">
        <v>5653</v>
      </c>
      <c r="U120" s="206">
        <v>1567.4</v>
      </c>
      <c r="V120" s="97">
        <f t="shared" si="47"/>
        <v>2026.4893128767128</v>
      </c>
      <c r="W120" s="32">
        <f t="shared" si="54"/>
        <v>2067.019099134247</v>
      </c>
      <c r="X120" s="32">
        <f t="shared" si="55"/>
        <v>2107.5488853917814</v>
      </c>
      <c r="Y120">
        <v>530747</v>
      </c>
      <c r="AH120" s="97">
        <v>100</v>
      </c>
      <c r="AI120" s="111" t="s">
        <v>3673</v>
      </c>
      <c r="AJ120" s="111">
        <v>15792549</v>
      </c>
      <c r="AK120" s="97">
        <v>3</v>
      </c>
      <c r="AL120" s="97">
        <f t="shared" si="42"/>
        <v>899</v>
      </c>
      <c r="AM120" s="115">
        <f t="shared" si="11"/>
        <v>14197501551</v>
      </c>
      <c r="AN120" s="97"/>
      <c r="AO120" t="s">
        <v>25</v>
      </c>
      <c r="AP120" t="s">
        <v>25</v>
      </c>
    </row>
    <row r="121" spans="6:46">
      <c r="F121" s="94"/>
      <c r="G121" s="94"/>
      <c r="H121" s="94"/>
      <c r="I121" s="94"/>
      <c r="J121" s="94"/>
      <c r="K121" s="5" t="s">
        <v>4475</v>
      </c>
      <c r="L121" s="167">
        <v>1100000</v>
      </c>
      <c r="M121" s="167">
        <v>4748000</v>
      </c>
      <c r="N121" s="166">
        <f t="shared" si="56"/>
        <v>331.63636363636363</v>
      </c>
      <c r="Q121" s="167"/>
      <c r="R121" s="206" t="s">
        <v>5654</v>
      </c>
      <c r="S121" s="206">
        <f>S120-13</f>
        <v>349</v>
      </c>
      <c r="T121" s="206" t="s">
        <v>5655</v>
      </c>
      <c r="U121" s="206"/>
      <c r="V121" s="97">
        <f t="shared" si="47"/>
        <v>0</v>
      </c>
      <c r="W121" s="32">
        <f t="shared" ref="W121:W123" si="57">V121*(1+$W$19/100)</f>
        <v>0</v>
      </c>
      <c r="X121" s="32">
        <f t="shared" ref="X121:X123" si="58">V121*(1+$X$19/100)</f>
        <v>0</v>
      </c>
      <c r="Y121" s="94">
        <v>83532</v>
      </c>
      <c r="Z121" s="94"/>
      <c r="AA121" s="94"/>
      <c r="AH121" s="97">
        <v>101</v>
      </c>
      <c r="AI121" s="111" t="s">
        <v>4549</v>
      </c>
      <c r="AJ121" s="111">
        <v>8800000</v>
      </c>
      <c r="AK121" s="97">
        <v>0</v>
      </c>
      <c r="AL121" s="97">
        <f t="shared" ref="AL121:AL126" si="59">AL122+AK121</f>
        <v>896</v>
      </c>
      <c r="AM121" s="115">
        <f t="shared" ref="AM121:AM144" si="60">AJ121*AL121</f>
        <v>7884800000</v>
      </c>
      <c r="AN121" s="97"/>
      <c r="AP121" t="s">
        <v>25</v>
      </c>
    </row>
    <row r="122" spans="6:46" ht="17.25" customHeight="1">
      <c r="F122" s="94"/>
      <c r="G122" s="94"/>
      <c r="H122" s="94"/>
      <c r="I122" s="94"/>
      <c r="J122" s="94"/>
      <c r="K122" s="5" t="s">
        <v>4476</v>
      </c>
      <c r="L122" s="167">
        <v>1100000</v>
      </c>
      <c r="M122" s="167">
        <v>5137000</v>
      </c>
      <c r="N122" s="166">
        <f t="shared" si="56"/>
        <v>367</v>
      </c>
      <c r="Q122" s="167" t="s">
        <v>25</v>
      </c>
      <c r="R122" s="206" t="s">
        <v>5656</v>
      </c>
      <c r="S122" s="206">
        <f>S121-1</f>
        <v>348</v>
      </c>
      <c r="T122" s="206" t="s">
        <v>5657</v>
      </c>
      <c r="U122" s="206"/>
      <c r="V122" s="97">
        <f t="shared" si="47"/>
        <v>0</v>
      </c>
      <c r="W122" s="32">
        <f t="shared" si="57"/>
        <v>0</v>
      </c>
      <c r="X122" s="32">
        <f t="shared" si="58"/>
        <v>0</v>
      </c>
      <c r="Y122" s="94">
        <v>807014</v>
      </c>
      <c r="Z122" s="94"/>
      <c r="AA122" s="94"/>
      <c r="AH122" s="119">
        <v>102</v>
      </c>
      <c r="AI122" s="77" t="s">
        <v>4549</v>
      </c>
      <c r="AJ122" s="77">
        <v>13071612</v>
      </c>
      <c r="AK122" s="119">
        <v>1</v>
      </c>
      <c r="AL122" s="119">
        <f t="shared" si="59"/>
        <v>896</v>
      </c>
      <c r="AM122" s="77">
        <f t="shared" si="60"/>
        <v>11712164352</v>
      </c>
      <c r="AN122" s="201" t="s">
        <v>4550</v>
      </c>
    </row>
    <row r="123" spans="6:46">
      <c r="F123" s="94"/>
      <c r="G123" s="94"/>
      <c r="H123" s="94"/>
      <c r="I123" s="94"/>
      <c r="J123" s="94"/>
      <c r="K123" s="19" t="s">
        <v>4354</v>
      </c>
      <c r="L123" s="167">
        <v>1100000</v>
      </c>
      <c r="M123" s="167">
        <v>4300000</v>
      </c>
      <c r="N123" s="166">
        <f t="shared" si="56"/>
        <v>290.90909090909093</v>
      </c>
      <c r="Q123" s="167"/>
      <c r="R123" s="206" t="s">
        <v>5658</v>
      </c>
      <c r="S123" s="206">
        <f>S122-1</f>
        <v>347</v>
      </c>
      <c r="T123" s="206" t="s">
        <v>5706</v>
      </c>
      <c r="U123" s="206"/>
      <c r="V123" s="97">
        <f t="shared" si="47"/>
        <v>0</v>
      </c>
      <c r="W123" s="32">
        <f t="shared" si="57"/>
        <v>0</v>
      </c>
      <c r="X123" s="32">
        <f t="shared" si="58"/>
        <v>0</v>
      </c>
      <c r="Y123" s="94">
        <v>399790</v>
      </c>
      <c r="Z123" s="94"/>
      <c r="AA123" s="94"/>
      <c r="AH123" s="87">
        <v>103</v>
      </c>
      <c r="AI123" s="88" t="s">
        <v>4553</v>
      </c>
      <c r="AJ123" s="88">
        <v>16727037</v>
      </c>
      <c r="AK123" s="87">
        <v>0</v>
      </c>
      <c r="AL123" s="87">
        <f t="shared" si="59"/>
        <v>895</v>
      </c>
      <c r="AM123" s="88">
        <f t="shared" si="60"/>
        <v>14970698115</v>
      </c>
      <c r="AN123" s="87" t="s">
        <v>4560</v>
      </c>
    </row>
    <row r="124" spans="6:46">
      <c r="F124" s="94"/>
      <c r="G124" s="94"/>
      <c r="H124" s="94"/>
      <c r="I124" s="94"/>
      <c r="J124" s="94"/>
      <c r="K124" s="5" t="s">
        <v>4371</v>
      </c>
      <c r="L124" s="167">
        <v>1100000</v>
      </c>
      <c r="M124" s="167">
        <v>3191000</v>
      </c>
      <c r="N124" s="166">
        <f t="shared" si="56"/>
        <v>190.09090909090909</v>
      </c>
      <c r="Q124" s="167"/>
      <c r="R124" s="206" t="s">
        <v>5711</v>
      </c>
      <c r="S124" s="206">
        <f>S123-53</f>
        <v>294</v>
      </c>
      <c r="T124" s="206" t="s">
        <v>5712</v>
      </c>
      <c r="U124" s="206">
        <v>1500</v>
      </c>
      <c r="V124" s="97">
        <f t="shared" si="47"/>
        <v>1861.1013698630138</v>
      </c>
      <c r="W124" s="32">
        <f t="shared" ref="W124:W133" si="61">V124*(1+$W$19/100)</f>
        <v>1898.3233972602741</v>
      </c>
      <c r="X124" s="32">
        <f t="shared" ref="X124:X133" si="62">V124*(1+$X$19/100)</f>
        <v>1935.5454246575343</v>
      </c>
      <c r="Y124" s="94">
        <v>268413</v>
      </c>
      <c r="Z124" s="94"/>
      <c r="AA124" s="94"/>
      <c r="AH124" s="97">
        <v>104</v>
      </c>
      <c r="AI124" s="111" t="s">
        <v>4553</v>
      </c>
      <c r="AJ124" s="111">
        <v>12000000</v>
      </c>
      <c r="AK124" s="97">
        <v>1</v>
      </c>
      <c r="AL124" s="97">
        <f t="shared" si="59"/>
        <v>895</v>
      </c>
      <c r="AM124" s="115">
        <f t="shared" si="60"/>
        <v>10740000000</v>
      </c>
      <c r="AN124" s="97" t="s">
        <v>4561</v>
      </c>
    </row>
    <row r="125" spans="6:46">
      <c r="F125" s="94"/>
      <c r="G125" s="94"/>
      <c r="H125" s="94"/>
      <c r="I125" s="94"/>
      <c r="J125" s="94"/>
      <c r="K125" s="5" t="s">
        <v>4477</v>
      </c>
      <c r="L125" s="167">
        <v>1100000</v>
      </c>
      <c r="M125" s="167">
        <v>5623000</v>
      </c>
      <c r="N125" s="166">
        <f t="shared" si="56"/>
        <v>411.18181818181819</v>
      </c>
      <c r="Q125" s="167"/>
      <c r="R125" s="206" t="s">
        <v>5713</v>
      </c>
      <c r="S125" s="206">
        <f>S124-1</f>
        <v>293</v>
      </c>
      <c r="T125" s="206" t="s">
        <v>5714</v>
      </c>
      <c r="U125" s="206">
        <v>1440</v>
      </c>
      <c r="V125" s="97">
        <f t="shared" si="47"/>
        <v>1785.5526575342465</v>
      </c>
      <c r="W125" s="32">
        <f t="shared" si="61"/>
        <v>1821.2637106849313</v>
      </c>
      <c r="X125" s="32">
        <f t="shared" si="62"/>
        <v>1856.9747638356164</v>
      </c>
      <c r="Y125" s="94">
        <v>682</v>
      </c>
      <c r="Z125" s="94"/>
      <c r="AA125" s="94"/>
      <c r="AH125" s="87">
        <v>105</v>
      </c>
      <c r="AI125" s="88" t="s">
        <v>4491</v>
      </c>
      <c r="AJ125" s="88">
        <v>88697667</v>
      </c>
      <c r="AK125" s="87">
        <v>1</v>
      </c>
      <c r="AL125" s="87">
        <f t="shared" si="59"/>
        <v>894</v>
      </c>
      <c r="AM125" s="88">
        <f t="shared" si="60"/>
        <v>79295714298</v>
      </c>
      <c r="AN125" s="87" t="s">
        <v>4562</v>
      </c>
      <c r="AP125" t="s">
        <v>25</v>
      </c>
    </row>
    <row r="126" spans="6:46">
      <c r="F126" s="94"/>
      <c r="G126" s="94"/>
      <c r="H126" s="94"/>
      <c r="I126" s="94"/>
      <c r="J126" s="94"/>
      <c r="K126" s="19" t="s">
        <v>4358</v>
      </c>
      <c r="L126" s="167">
        <v>1100000</v>
      </c>
      <c r="M126" s="167">
        <v>7728000</v>
      </c>
      <c r="N126" s="166">
        <f t="shared" si="56"/>
        <v>602.5454545454545</v>
      </c>
      <c r="Q126" s="167"/>
      <c r="R126" s="206" t="s">
        <v>5715</v>
      </c>
      <c r="S126" s="206">
        <f>S125-1</f>
        <v>292</v>
      </c>
      <c r="T126" s="206" t="s">
        <v>5716</v>
      </c>
      <c r="U126" s="206">
        <v>1362</v>
      </c>
      <c r="V126" s="97">
        <f t="shared" si="47"/>
        <v>1687.7904000000001</v>
      </c>
      <c r="W126" s="32">
        <f t="shared" si="61"/>
        <v>1721.5462080000002</v>
      </c>
      <c r="X126" s="32">
        <f t="shared" si="62"/>
        <v>1755.3020160000001</v>
      </c>
      <c r="Y126" s="94">
        <v>99554</v>
      </c>
      <c r="Z126" s="94"/>
      <c r="AA126" s="94"/>
      <c r="AH126" s="97">
        <v>106</v>
      </c>
      <c r="AI126" s="111" t="s">
        <v>4494</v>
      </c>
      <c r="AJ126" s="111">
        <v>101000</v>
      </c>
      <c r="AK126" s="97">
        <v>0</v>
      </c>
      <c r="AL126" s="97">
        <f t="shared" si="59"/>
        <v>893</v>
      </c>
      <c r="AM126" s="115">
        <f t="shared" si="60"/>
        <v>90193000</v>
      </c>
      <c r="AN126" s="97"/>
      <c r="AQ126" t="s">
        <v>25</v>
      </c>
    </row>
    <row r="127" spans="6:46">
      <c r="F127" s="94"/>
      <c r="G127" s="94"/>
      <c r="H127" s="94"/>
      <c r="I127" s="94"/>
      <c r="J127" s="94"/>
      <c r="K127" s="5" t="s">
        <v>4479</v>
      </c>
      <c r="L127" s="167">
        <v>1100000</v>
      </c>
      <c r="M127" s="167">
        <v>2904000</v>
      </c>
      <c r="N127" s="166">
        <f t="shared" si="56"/>
        <v>164</v>
      </c>
      <c r="Q127" s="167"/>
      <c r="R127" s="206" t="s">
        <v>5722</v>
      </c>
      <c r="S127" s="206">
        <f>S126-1</f>
        <v>291</v>
      </c>
      <c r="T127" s="206" t="s">
        <v>5723</v>
      </c>
      <c r="U127" s="206">
        <v>1330</v>
      </c>
      <c r="V127" s="97">
        <f t="shared" si="47"/>
        <v>1647.1157260273974</v>
      </c>
      <c r="W127" s="32">
        <f t="shared" si="61"/>
        <v>1680.0580405479454</v>
      </c>
      <c r="X127" s="32">
        <f t="shared" si="62"/>
        <v>1713.0003550684933</v>
      </c>
      <c r="Y127" s="94">
        <v>11986</v>
      </c>
      <c r="Z127" s="94"/>
      <c r="AA127" s="94"/>
      <c r="AH127" s="147">
        <v>107</v>
      </c>
      <c r="AI127" s="186" t="s">
        <v>4559</v>
      </c>
      <c r="AJ127" s="186">
        <v>-48200</v>
      </c>
      <c r="AK127" s="147">
        <v>0</v>
      </c>
      <c r="AL127" s="147">
        <f t="shared" ref="AL127:AL177" si="63">AL128+AK127</f>
        <v>893</v>
      </c>
      <c r="AM127" s="186">
        <f t="shared" si="60"/>
        <v>-43042600</v>
      </c>
      <c r="AN127" s="147" t="s">
        <v>4565</v>
      </c>
    </row>
    <row r="128" spans="6:46">
      <c r="G128" s="94"/>
      <c r="H128" s="94"/>
      <c r="I128" s="94"/>
      <c r="J128" s="94"/>
      <c r="K128" s="54" t="s">
        <v>1068</v>
      </c>
      <c r="L128" s="167">
        <v>1100000</v>
      </c>
      <c r="M128" s="167">
        <v>3400000</v>
      </c>
      <c r="N128" s="166">
        <f t="shared" si="56"/>
        <v>209.09090909090909</v>
      </c>
      <c r="Q128" s="167"/>
      <c r="R128" s="206" t="s">
        <v>5727</v>
      </c>
      <c r="S128" s="206">
        <f>S127-4</f>
        <v>287</v>
      </c>
      <c r="T128" s="206" t="s">
        <v>5728</v>
      </c>
      <c r="U128" s="206">
        <v>1390</v>
      </c>
      <c r="V128" s="97">
        <f t="shared" si="47"/>
        <v>1717.156493150685</v>
      </c>
      <c r="W128" s="32">
        <f t="shared" si="61"/>
        <v>1751.4996230136987</v>
      </c>
      <c r="X128" s="32">
        <f t="shared" si="62"/>
        <v>1785.8427528767124</v>
      </c>
      <c r="Y128" s="94">
        <v>74000</v>
      </c>
      <c r="Z128" s="94"/>
      <c r="AH128" s="87">
        <v>108</v>
      </c>
      <c r="AI128" s="88" t="s">
        <v>4559</v>
      </c>
      <c r="AJ128" s="88">
        <v>39327293</v>
      </c>
      <c r="AK128" s="87">
        <v>4</v>
      </c>
      <c r="AL128" s="147">
        <f t="shared" si="63"/>
        <v>893</v>
      </c>
      <c r="AM128" s="186">
        <f t="shared" si="60"/>
        <v>35119272649</v>
      </c>
      <c r="AN128" s="87" t="s">
        <v>4566</v>
      </c>
    </row>
    <row r="129" spans="7:43">
      <c r="K129" s="224" t="s">
        <v>5352</v>
      </c>
      <c r="Q129" s="167"/>
      <c r="R129" s="206" t="s">
        <v>5729</v>
      </c>
      <c r="S129" s="206">
        <f>S128-1</f>
        <v>286</v>
      </c>
      <c r="T129" s="206" t="s">
        <v>5730</v>
      </c>
      <c r="U129" s="206">
        <v>1350</v>
      </c>
      <c r="V129" s="97">
        <f t="shared" si="47"/>
        <v>1666.7063013698632</v>
      </c>
      <c r="W129" s="32">
        <f t="shared" si="61"/>
        <v>1700.0404273972606</v>
      </c>
      <c r="X129" s="32">
        <f t="shared" si="62"/>
        <v>1733.3745534246577</v>
      </c>
      <c r="Y129" s="94">
        <v>78520</v>
      </c>
      <c r="Z129" s="94"/>
      <c r="AA129" s="94"/>
      <c r="AH129" s="87">
        <v>109</v>
      </c>
      <c r="AI129" s="88" t="s">
        <v>4580</v>
      </c>
      <c r="AJ129" s="88">
        <v>8749050</v>
      </c>
      <c r="AK129" s="87">
        <v>1</v>
      </c>
      <c r="AL129" s="87">
        <f t="shared" si="63"/>
        <v>889</v>
      </c>
      <c r="AM129" s="88">
        <f t="shared" si="60"/>
        <v>7777905450</v>
      </c>
      <c r="AN129" s="87" t="s">
        <v>4581</v>
      </c>
    </row>
    <row r="130" spans="7:43">
      <c r="K130" s="224" t="s">
        <v>4508</v>
      </c>
      <c r="Q130" s="167"/>
      <c r="R130" s="206" t="s">
        <v>5731</v>
      </c>
      <c r="S130" s="206">
        <f>S129-2</f>
        <v>284</v>
      </c>
      <c r="T130" s="206" t="s">
        <v>7028</v>
      </c>
      <c r="U130" s="206">
        <v>1228</v>
      </c>
      <c r="V130" s="97">
        <f t="shared" si="47"/>
        <v>1514.2013808219178</v>
      </c>
      <c r="W130" s="32">
        <f t="shared" si="61"/>
        <v>1544.4854084383562</v>
      </c>
      <c r="X130" s="32">
        <f t="shared" si="62"/>
        <v>1574.7694360547946</v>
      </c>
      <c r="Y130" s="94">
        <v>284194</v>
      </c>
      <c r="Z130" s="94"/>
      <c r="AA130" s="94"/>
      <c r="AB130" s="94"/>
      <c r="AH130" s="97">
        <v>110</v>
      </c>
      <c r="AI130" s="111" t="s">
        <v>4582</v>
      </c>
      <c r="AJ130" s="111">
        <v>60000</v>
      </c>
      <c r="AK130" s="97">
        <v>1</v>
      </c>
      <c r="AL130" s="97">
        <f t="shared" si="63"/>
        <v>888</v>
      </c>
      <c r="AM130" s="115">
        <f t="shared" si="60"/>
        <v>53280000</v>
      </c>
      <c r="AN130" s="97" t="s">
        <v>4583</v>
      </c>
    </row>
    <row r="131" spans="7:43">
      <c r="K131" s="224" t="s">
        <v>4509</v>
      </c>
      <c r="P131" t="s">
        <v>25</v>
      </c>
      <c r="Q131" s="167"/>
      <c r="R131" s="206" t="s">
        <v>5776</v>
      </c>
      <c r="S131" s="206">
        <f>S130-61</f>
        <v>223</v>
      </c>
      <c r="T131" s="206" t="s">
        <v>5780</v>
      </c>
      <c r="U131" s="206">
        <v>1354.1</v>
      </c>
      <c r="V131" s="97">
        <f t="shared" si="47"/>
        <v>1606.3261665753425</v>
      </c>
      <c r="W131" s="32">
        <f t="shared" si="61"/>
        <v>1638.4526899068494</v>
      </c>
      <c r="X131" s="32">
        <f t="shared" si="62"/>
        <v>1670.5792132383563</v>
      </c>
      <c r="Y131" s="94"/>
      <c r="Z131" s="94">
        <v>22000</v>
      </c>
      <c r="AA131" s="94"/>
      <c r="AB131" s="94"/>
      <c r="AH131" s="20">
        <v>111</v>
      </c>
      <c r="AI131" s="115" t="s">
        <v>4591</v>
      </c>
      <c r="AJ131" s="115">
        <v>4750000</v>
      </c>
      <c r="AK131" s="20">
        <v>0</v>
      </c>
      <c r="AL131" s="97">
        <f t="shared" si="63"/>
        <v>887</v>
      </c>
      <c r="AM131" s="115">
        <f t="shared" si="60"/>
        <v>4213250000</v>
      </c>
      <c r="AN131" s="20"/>
      <c r="AQ131" t="s">
        <v>25</v>
      </c>
    </row>
    <row r="132" spans="7:43">
      <c r="Q132" s="167"/>
      <c r="R132" s="206" t="s">
        <v>5781</v>
      </c>
      <c r="S132" s="206">
        <f>S131-8</f>
        <v>215</v>
      </c>
      <c r="T132" s="206" t="s">
        <v>5797</v>
      </c>
      <c r="U132" s="206">
        <v>1266</v>
      </c>
      <c r="V132" s="97">
        <f t="shared" si="47"/>
        <v>1494.0464876712331</v>
      </c>
      <c r="W132" s="32">
        <f t="shared" si="61"/>
        <v>1523.9274174246577</v>
      </c>
      <c r="X132" s="32">
        <f t="shared" si="62"/>
        <v>1553.8083471780824</v>
      </c>
      <c r="Y132" s="94"/>
      <c r="Z132" s="94">
        <v>62174</v>
      </c>
      <c r="AA132" s="94"/>
      <c r="AB132" s="94"/>
      <c r="AC132" t="s">
        <v>25</v>
      </c>
      <c r="AH132" s="87">
        <v>112</v>
      </c>
      <c r="AI132" s="88" t="s">
        <v>4591</v>
      </c>
      <c r="AJ132" s="88">
        <v>13101160</v>
      </c>
      <c r="AK132" s="87">
        <v>1</v>
      </c>
      <c r="AL132" s="87">
        <f t="shared" si="63"/>
        <v>887</v>
      </c>
      <c r="AM132" s="88">
        <f t="shared" si="60"/>
        <v>11620728920</v>
      </c>
      <c r="AN132" s="87" t="s">
        <v>4594</v>
      </c>
    </row>
    <row r="133" spans="7:43">
      <c r="Q133" s="167"/>
      <c r="R133" s="206" t="s">
        <v>5798</v>
      </c>
      <c r="S133" s="206">
        <f>S132-13</f>
        <v>202</v>
      </c>
      <c r="T133" s="206" t="s">
        <v>6489</v>
      </c>
      <c r="U133" s="206">
        <v>1275</v>
      </c>
      <c r="V133" s="97">
        <f t="shared" si="47"/>
        <v>1491.9526027397262</v>
      </c>
      <c r="W133" s="32">
        <f t="shared" si="61"/>
        <v>1521.7916547945208</v>
      </c>
      <c r="X133" s="32">
        <f t="shared" si="62"/>
        <v>1551.6307068493154</v>
      </c>
      <c r="Y133" s="94"/>
      <c r="Z133" s="94">
        <v>6826</v>
      </c>
      <c r="AA133" s="94"/>
      <c r="AH133" s="20">
        <v>113</v>
      </c>
      <c r="AI133" s="115" t="s">
        <v>4593</v>
      </c>
      <c r="AJ133" s="115">
        <v>-980000</v>
      </c>
      <c r="AK133" s="20">
        <v>0</v>
      </c>
      <c r="AL133" s="97">
        <f t="shared" si="63"/>
        <v>886</v>
      </c>
      <c r="AM133" s="115">
        <f t="shared" si="60"/>
        <v>-868280000</v>
      </c>
      <c r="AN133" s="20"/>
    </row>
    <row r="134" spans="7:43">
      <c r="Q134" s="167"/>
      <c r="R134" s="206" t="s">
        <v>6490</v>
      </c>
      <c r="S134" s="206">
        <f>S133-117</f>
        <v>85</v>
      </c>
      <c r="T134" s="206" t="s">
        <v>6491</v>
      </c>
      <c r="U134" s="206">
        <v>1310</v>
      </c>
      <c r="V134" s="97">
        <f t="shared" si="47"/>
        <v>1415.3311780821919</v>
      </c>
      <c r="W134" s="32">
        <f t="shared" ref="W134:W136" si="64">V134*(1+$W$19/100)</f>
        <v>1443.6378016438357</v>
      </c>
      <c r="X134" s="32">
        <f t="shared" ref="X134:X136" si="65">V134*(1+$X$19/100)</f>
        <v>1471.9444252054795</v>
      </c>
      <c r="Y134" s="94"/>
      <c r="Z134" s="94">
        <v>22240</v>
      </c>
      <c r="AA134" s="94"/>
      <c r="AH134" s="87">
        <v>114</v>
      </c>
      <c r="AI134" s="88" t="s">
        <v>4593</v>
      </c>
      <c r="AJ134" s="88">
        <v>13301790</v>
      </c>
      <c r="AK134" s="87">
        <v>0</v>
      </c>
      <c r="AL134" s="87">
        <f t="shared" si="63"/>
        <v>886</v>
      </c>
      <c r="AM134" s="88">
        <f t="shared" si="60"/>
        <v>11785385940</v>
      </c>
      <c r="AN134" s="87" t="s">
        <v>4594</v>
      </c>
      <c r="AQ134" t="s">
        <v>25</v>
      </c>
    </row>
    <row r="135" spans="7:43">
      <c r="G135" s="32" t="s">
        <v>4216</v>
      </c>
      <c r="H135" s="32"/>
      <c r="I135" s="32" t="s">
        <v>4358</v>
      </c>
      <c r="K135" s="94"/>
      <c r="L135" s="94"/>
      <c r="M135" s="94"/>
      <c r="Q135" s="167"/>
      <c r="R135" s="206" t="s">
        <v>6500</v>
      </c>
      <c r="S135" s="206">
        <f>S134-4</f>
        <v>81</v>
      </c>
      <c r="T135" s="206" t="s">
        <v>6643</v>
      </c>
      <c r="U135" s="206">
        <v>1388</v>
      </c>
      <c r="V135" s="97">
        <f t="shared" si="47"/>
        <v>1495.3437369863016</v>
      </c>
      <c r="W135" s="32">
        <f t="shared" si="64"/>
        <v>1525.2506117260277</v>
      </c>
      <c r="X135" s="32">
        <f t="shared" si="65"/>
        <v>1555.1574864657537</v>
      </c>
      <c r="Y135" s="94"/>
      <c r="Z135" s="94">
        <v>356260</v>
      </c>
      <c r="AA135" s="94"/>
      <c r="AC135" t="s">
        <v>25</v>
      </c>
      <c r="AH135" s="20">
        <v>115</v>
      </c>
      <c r="AI135" s="115" t="s">
        <v>4593</v>
      </c>
      <c r="AJ135" s="115">
        <v>404000</v>
      </c>
      <c r="AK135" s="20">
        <v>5</v>
      </c>
      <c r="AL135" s="97">
        <f t="shared" si="63"/>
        <v>886</v>
      </c>
      <c r="AM135" s="115">
        <f t="shared" si="60"/>
        <v>357944000</v>
      </c>
      <c r="AN135" s="20" t="s">
        <v>4600</v>
      </c>
    </row>
    <row r="136" spans="7:43">
      <c r="G136" s="32" t="e">
        <f>O22+O33+O48+#REF!</f>
        <v>#REF!</v>
      </c>
      <c r="H136" s="32" t="s">
        <v>5439</v>
      </c>
      <c r="I136" s="32">
        <f>O47</f>
        <v>0</v>
      </c>
      <c r="J136" s="112"/>
      <c r="K136" s="94"/>
      <c r="L136" s="94"/>
      <c r="M136" s="94"/>
      <c r="Q136" s="167"/>
      <c r="R136" s="206" t="s">
        <v>6642</v>
      </c>
      <c r="S136" s="206">
        <f>S135-3</f>
        <v>78</v>
      </c>
      <c r="T136" s="206" t="s">
        <v>7022</v>
      </c>
      <c r="U136" s="206">
        <v>11390000</v>
      </c>
      <c r="V136" s="97">
        <f t="shared" si="47"/>
        <v>12244655.671232879</v>
      </c>
      <c r="W136" s="32">
        <f t="shared" si="64"/>
        <v>12489548.784657536</v>
      </c>
      <c r="X136" s="32">
        <f t="shared" si="65"/>
        <v>12734441.898082195</v>
      </c>
      <c r="Y136" s="356"/>
      <c r="Z136" s="356"/>
      <c r="AA136" s="356"/>
      <c r="AH136" s="87">
        <v>116</v>
      </c>
      <c r="AI136" s="88" t="s">
        <v>4609</v>
      </c>
      <c r="AJ136" s="88">
        <v>4291628</v>
      </c>
      <c r="AK136" s="87">
        <v>2</v>
      </c>
      <c r="AL136" s="87">
        <f t="shared" si="63"/>
        <v>881</v>
      </c>
      <c r="AM136" s="88">
        <f t="shared" si="60"/>
        <v>3780924268</v>
      </c>
      <c r="AN136" s="87" t="s">
        <v>4610</v>
      </c>
    </row>
    <row r="137" spans="7:43">
      <c r="G137" s="32">
        <f>(N32+N23+N25+N30+N46+N47+N24+N31+N49+N51)/P48</f>
        <v>1387550.6627218935</v>
      </c>
      <c r="H137" s="276" t="s">
        <v>5440</v>
      </c>
      <c r="I137" s="32" t="e">
        <f>(N32+N48+N46+N33+N25+N22+N23+N24+N30+N31+#REF!+N49+N51)/P47</f>
        <v>#REF!</v>
      </c>
      <c r="J137" s="112"/>
      <c r="K137" s="94"/>
      <c r="L137" s="94" t="s">
        <v>25</v>
      </c>
      <c r="M137" s="94"/>
      <c r="Q137" s="167"/>
      <c r="R137" s="206" t="s">
        <v>6650</v>
      </c>
      <c r="S137" s="206">
        <f>S136-5</f>
        <v>73</v>
      </c>
      <c r="T137" s="206" t="s">
        <v>7012</v>
      </c>
      <c r="U137" s="206">
        <v>1702</v>
      </c>
      <c r="V137" s="97">
        <f t="shared" si="47"/>
        <v>1823.1824000000004</v>
      </c>
      <c r="W137" s="32">
        <f t="shared" ref="W137:W145" si="66">V137*(1+$W$19/100)</f>
        <v>1859.6460480000005</v>
      </c>
      <c r="X137" s="32">
        <f t="shared" ref="X137:X145" si="67">V137*(1+$X$19/100)</f>
        <v>1896.1096960000004</v>
      </c>
      <c r="Y137" s="382"/>
      <c r="Z137" s="382">
        <v>1001</v>
      </c>
      <c r="AA137" s="358"/>
      <c r="AC137" t="s">
        <v>25</v>
      </c>
      <c r="AH137" s="20">
        <v>117</v>
      </c>
      <c r="AI137" s="115" t="s">
        <v>4612</v>
      </c>
      <c r="AJ137" s="115">
        <v>1000</v>
      </c>
      <c r="AK137" s="20">
        <v>5</v>
      </c>
      <c r="AL137" s="20">
        <f t="shared" si="63"/>
        <v>879</v>
      </c>
      <c r="AM137" s="115">
        <f t="shared" si="60"/>
        <v>879000</v>
      </c>
      <c r="AN137" s="20"/>
    </row>
    <row r="138" spans="7:43">
      <c r="G138" s="32" t="e">
        <f>G136+G137</f>
        <v>#REF!</v>
      </c>
      <c r="H138" s="32" t="s">
        <v>5441</v>
      </c>
      <c r="I138" s="32" t="e">
        <f>I136+I137</f>
        <v>#REF!</v>
      </c>
      <c r="J138" s="112"/>
      <c r="K138" s="94"/>
      <c r="L138" s="94"/>
      <c r="N138" s="94"/>
      <c r="P138" t="s">
        <v>25</v>
      </c>
      <c r="Q138" s="167"/>
      <c r="R138" s="206" t="s">
        <v>7017</v>
      </c>
      <c r="S138" s="206">
        <f>S115-1086</f>
        <v>14</v>
      </c>
      <c r="T138" s="206" t="s">
        <v>7019</v>
      </c>
      <c r="U138" s="206">
        <v>1555</v>
      </c>
      <c r="V138" s="97">
        <f t="shared" si="47"/>
        <v>1595.3362739726031</v>
      </c>
      <c r="W138" s="32">
        <f t="shared" si="66"/>
        <v>1627.2429994520551</v>
      </c>
      <c r="X138" s="32">
        <f t="shared" si="67"/>
        <v>1659.1497249315073</v>
      </c>
      <c r="Y138" s="419"/>
      <c r="Z138" s="419">
        <v>93469</v>
      </c>
      <c r="AA138" s="419"/>
      <c r="AH138" s="119">
        <v>118</v>
      </c>
      <c r="AI138" s="77" t="s">
        <v>4620</v>
      </c>
      <c r="AJ138" s="77">
        <v>8739459</v>
      </c>
      <c r="AK138" s="119">
        <v>2</v>
      </c>
      <c r="AL138" s="119">
        <f t="shared" si="63"/>
        <v>874</v>
      </c>
      <c r="AM138" s="77">
        <f t="shared" si="60"/>
        <v>7638287166</v>
      </c>
      <c r="AN138" s="119" t="s">
        <v>4581</v>
      </c>
    </row>
    <row r="139" spans="7:43">
      <c r="G139" s="32">
        <f>(W156+W157)/P48</f>
        <v>397117.60062937508</v>
      </c>
      <c r="H139" s="32" t="s">
        <v>5421</v>
      </c>
      <c r="I139" s="32">
        <f>(W156+W157)/P47</f>
        <v>22622.317249336309</v>
      </c>
      <c r="J139" s="112"/>
      <c r="K139" s="94"/>
      <c r="L139" s="94"/>
      <c r="M139" s="94"/>
      <c r="N139" s="94"/>
      <c r="O139" s="94"/>
      <c r="Q139" s="167"/>
      <c r="R139" s="206" t="s">
        <v>7025</v>
      </c>
      <c r="S139" s="206">
        <f>S115-1100</f>
        <v>0</v>
      </c>
      <c r="T139" s="206" t="s">
        <v>7027</v>
      </c>
      <c r="U139" s="206">
        <v>1525</v>
      </c>
      <c r="V139" s="97">
        <f t="shared" si="47"/>
        <v>1548.18</v>
      </c>
      <c r="W139" s="32">
        <f t="shared" si="66"/>
        <v>1579.1436000000001</v>
      </c>
      <c r="X139" s="32">
        <f t="shared" si="67"/>
        <v>1610.1072000000001</v>
      </c>
      <c r="Y139" s="423"/>
      <c r="Z139" s="423">
        <v>672591</v>
      </c>
      <c r="AA139" s="423"/>
      <c r="AH139" s="119">
        <v>119</v>
      </c>
      <c r="AI139" s="77" t="s">
        <v>4621</v>
      </c>
      <c r="AJ139" s="77">
        <v>17595278</v>
      </c>
      <c r="AK139" s="119">
        <v>1</v>
      </c>
      <c r="AL139" s="119">
        <f t="shared" si="63"/>
        <v>872</v>
      </c>
      <c r="AM139" s="77">
        <f t="shared" si="60"/>
        <v>15343082416</v>
      </c>
      <c r="AN139" s="119" t="s">
        <v>4623</v>
      </c>
      <c r="AQ139" t="s">
        <v>25</v>
      </c>
    </row>
    <row r="140" spans="7:43">
      <c r="G140" s="32">
        <f>W154/P48</f>
        <v>2656783.5821759976</v>
      </c>
      <c r="H140" s="32" t="s">
        <v>480</v>
      </c>
      <c r="I140" s="32">
        <f>W154/P47</f>
        <v>151347.10968126188</v>
      </c>
      <c r="J140" s="112"/>
      <c r="K140" s="94"/>
      <c r="L140" s="94"/>
      <c r="N140" s="94"/>
      <c r="Q140" s="167"/>
      <c r="R140" s="206"/>
      <c r="S140" s="206"/>
      <c r="T140" s="206"/>
      <c r="U140" s="206"/>
      <c r="V140" s="97"/>
      <c r="W140" s="32"/>
      <c r="X140" s="32"/>
      <c r="Y140" s="423"/>
      <c r="Z140" s="423"/>
      <c r="AA140" s="423"/>
      <c r="AH140" s="119">
        <v>120</v>
      </c>
      <c r="AI140" s="77" t="s">
        <v>4622</v>
      </c>
      <c r="AJ140" s="77">
        <v>13335309</v>
      </c>
      <c r="AK140" s="119">
        <v>13</v>
      </c>
      <c r="AL140" s="119">
        <f t="shared" si="63"/>
        <v>871</v>
      </c>
      <c r="AM140" s="77">
        <f t="shared" si="60"/>
        <v>11615054139</v>
      </c>
      <c r="AN140" s="119" t="s">
        <v>4594</v>
      </c>
    </row>
    <row r="141" spans="7:43">
      <c r="G141" s="32" t="e">
        <f>G138-G139-G140</f>
        <v>#REF!</v>
      </c>
      <c r="H141" s="32" t="s">
        <v>5</v>
      </c>
      <c r="I141" s="32" t="e">
        <f>I138-I139-I140</f>
        <v>#REF!</v>
      </c>
      <c r="J141" s="112"/>
      <c r="K141" s="94"/>
      <c r="L141" s="94"/>
      <c r="M141" t="s">
        <v>25</v>
      </c>
      <c r="N141" s="94"/>
      <c r="Q141" s="167"/>
      <c r="R141" s="206"/>
      <c r="S141" s="206"/>
      <c r="T141" s="206"/>
      <c r="U141" s="206"/>
      <c r="V141" s="97"/>
      <c r="W141" s="32"/>
      <c r="X141" s="32"/>
      <c r="Y141" s="423"/>
      <c r="Z141" s="423"/>
      <c r="AA141" s="423"/>
      <c r="AH141" s="159">
        <v>121</v>
      </c>
      <c r="AI141" s="216" t="s">
        <v>4672</v>
      </c>
      <c r="AJ141" s="216">
        <v>50000000</v>
      </c>
      <c r="AK141" s="159">
        <v>11</v>
      </c>
      <c r="AL141" s="159">
        <f t="shared" si="63"/>
        <v>858</v>
      </c>
      <c r="AM141" s="216">
        <f t="shared" si="60"/>
        <v>42900000000</v>
      </c>
      <c r="AN141" s="159" t="s">
        <v>4673</v>
      </c>
      <c r="AP141" t="s">
        <v>25</v>
      </c>
    </row>
    <row r="142" spans="7:43">
      <c r="N142" s="94"/>
      <c r="P142" t="s">
        <v>25</v>
      </c>
      <c r="Q142" s="167"/>
      <c r="R142" s="206"/>
      <c r="S142" s="206"/>
      <c r="T142" s="206"/>
      <c r="U142" s="206"/>
      <c r="V142" s="97"/>
      <c r="W142" s="32"/>
      <c r="X142" s="32"/>
      <c r="Y142" s="421"/>
      <c r="Z142" s="421"/>
      <c r="AA142" s="421"/>
      <c r="AH142" s="20">
        <v>122</v>
      </c>
      <c r="AI142" s="115" t="s">
        <v>957</v>
      </c>
      <c r="AJ142" s="115">
        <v>30000</v>
      </c>
      <c r="AK142" s="20">
        <v>3</v>
      </c>
      <c r="AL142" s="20">
        <f t="shared" si="63"/>
        <v>847</v>
      </c>
      <c r="AM142" s="115">
        <f t="shared" si="60"/>
        <v>25410000</v>
      </c>
      <c r="AN142" s="20"/>
    </row>
    <row r="143" spans="7:43">
      <c r="N143" s="94"/>
      <c r="Q143" s="167"/>
      <c r="R143" s="206"/>
      <c r="S143" s="206"/>
      <c r="T143" s="206"/>
      <c r="U143" s="206"/>
      <c r="V143" s="97"/>
      <c r="W143" s="32"/>
      <c r="X143" s="32"/>
      <c r="Y143" s="412"/>
      <c r="Z143" s="412"/>
      <c r="AA143" s="412"/>
      <c r="AH143" s="20">
        <v>123</v>
      </c>
      <c r="AI143" s="115" t="s">
        <v>4730</v>
      </c>
      <c r="AJ143" s="115">
        <v>600000</v>
      </c>
      <c r="AK143" s="20">
        <v>1</v>
      </c>
      <c r="AL143" s="20">
        <f t="shared" si="63"/>
        <v>844</v>
      </c>
      <c r="AM143" s="115">
        <f t="shared" si="60"/>
        <v>506400000</v>
      </c>
      <c r="AN143" s="20"/>
    </row>
    <row r="144" spans="7:43">
      <c r="K144" s="94"/>
      <c r="L144" s="94"/>
      <c r="Q144" s="167"/>
      <c r="R144" s="206"/>
      <c r="S144" s="206"/>
      <c r="T144" s="206" t="s">
        <v>25</v>
      </c>
      <c r="U144" s="206"/>
      <c r="V144" s="97">
        <f t="shared" si="47"/>
        <v>0</v>
      </c>
      <c r="W144" s="32">
        <f t="shared" si="66"/>
        <v>0</v>
      </c>
      <c r="X144" s="32">
        <f t="shared" si="67"/>
        <v>0</v>
      </c>
      <c r="Y144" s="94"/>
      <c r="Z144" s="94" t="s">
        <v>25</v>
      </c>
      <c r="AA144" s="355"/>
      <c r="AH144" s="20">
        <v>124</v>
      </c>
      <c r="AI144" s="115" t="s">
        <v>4733</v>
      </c>
      <c r="AJ144" s="115">
        <v>30000</v>
      </c>
      <c r="AK144" s="20">
        <v>3</v>
      </c>
      <c r="AL144" s="20">
        <f t="shared" si="63"/>
        <v>843</v>
      </c>
      <c r="AM144" s="115">
        <f t="shared" si="60"/>
        <v>25290000</v>
      </c>
      <c r="AN144" s="20"/>
    </row>
    <row r="145" spans="5:44">
      <c r="Q145" s="167"/>
      <c r="R145" s="166"/>
      <c r="S145" s="166"/>
      <c r="T145" s="166" t="s">
        <v>25</v>
      </c>
      <c r="U145" s="166"/>
      <c r="V145" s="97">
        <f t="shared" si="47"/>
        <v>0</v>
      </c>
      <c r="W145" s="32">
        <f t="shared" si="66"/>
        <v>0</v>
      </c>
      <c r="X145" s="32">
        <f t="shared" si="67"/>
        <v>0</v>
      </c>
      <c r="Y145" t="s">
        <v>25</v>
      </c>
      <c r="Z145" t="s">
        <v>25</v>
      </c>
      <c r="AA145" s="94"/>
      <c r="AH145" s="20">
        <v>125</v>
      </c>
      <c r="AI145" s="115" t="s">
        <v>4739</v>
      </c>
      <c r="AJ145" s="115">
        <v>2250000</v>
      </c>
      <c r="AK145" s="20">
        <v>1</v>
      </c>
      <c r="AL145" s="20">
        <f t="shared" si="63"/>
        <v>840</v>
      </c>
      <c r="AM145" s="115">
        <f>AJ145*AL145</f>
        <v>1890000000</v>
      </c>
      <c r="AN145" s="20"/>
      <c r="AR145" t="s">
        <v>25</v>
      </c>
    </row>
    <row r="146" spans="5:44">
      <c r="G146" s="32" t="s">
        <v>180</v>
      </c>
      <c r="H146" s="32" t="s">
        <v>5442</v>
      </c>
      <c r="I146" s="206" t="s">
        <v>5443</v>
      </c>
      <c r="J146" s="206" t="s">
        <v>5444</v>
      </c>
      <c r="K146" s="32" t="s">
        <v>5445</v>
      </c>
      <c r="L146" s="97" t="s">
        <v>5459</v>
      </c>
      <c r="M146" s="97" t="s">
        <v>5460</v>
      </c>
      <c r="P146" s="112"/>
      <c r="Q146" s="111">
        <f>SUM(N46:N53)-SUM(Q115:Q145)</f>
        <v>5187378823.3686695</v>
      </c>
      <c r="R146" s="110"/>
      <c r="S146" s="110"/>
      <c r="T146" s="110"/>
      <c r="U146" s="166"/>
      <c r="V146" s="97" t="s">
        <v>25</v>
      </c>
      <c r="W146" s="32"/>
      <c r="X146" s="32"/>
      <c r="Y146" t="s">
        <v>25</v>
      </c>
      <c r="Z146" t="s">
        <v>25</v>
      </c>
      <c r="AA146" s="94" t="s">
        <v>25</v>
      </c>
      <c r="AB146" t="s">
        <v>25</v>
      </c>
      <c r="AH146" s="23">
        <v>126</v>
      </c>
      <c r="AI146" s="35" t="s">
        <v>4744</v>
      </c>
      <c r="AJ146" s="35">
        <v>-31412200</v>
      </c>
      <c r="AK146" s="23">
        <v>1</v>
      </c>
      <c r="AL146" s="20">
        <f t="shared" si="63"/>
        <v>839</v>
      </c>
      <c r="AM146" s="35">
        <f>AJ146*AL146</f>
        <v>-26354835800</v>
      </c>
      <c r="AN146" s="23" t="s">
        <v>4732</v>
      </c>
    </row>
    <row r="147" spans="5:44">
      <c r="G147" s="32" t="s">
        <v>5434</v>
      </c>
      <c r="H147" s="32">
        <v>3256760</v>
      </c>
      <c r="I147" s="206">
        <v>245992</v>
      </c>
      <c r="J147" s="206">
        <v>2544443</v>
      </c>
      <c r="K147" s="32">
        <v>192693</v>
      </c>
      <c r="L147" s="97">
        <f t="shared" ref="L147:L156" si="68">H147+J147</f>
        <v>5801203</v>
      </c>
      <c r="M147" s="97">
        <f t="shared" ref="M147:M156" si="69">I147+K147</f>
        <v>438685</v>
      </c>
      <c r="O147" s="94"/>
      <c r="Q147" s="26"/>
      <c r="R147" s="179"/>
      <c r="S147" s="179"/>
      <c r="T147" t="s">
        <v>25</v>
      </c>
      <c r="U147" s="94" t="s">
        <v>25</v>
      </c>
      <c r="V147" s="94" t="s">
        <v>25</v>
      </c>
      <c r="W147" s="94" t="s">
        <v>25</v>
      </c>
      <c r="Y147" t="s">
        <v>25</v>
      </c>
      <c r="Z147" t="s">
        <v>25</v>
      </c>
      <c r="AA147" s="94" t="s">
        <v>25</v>
      </c>
      <c r="AH147" s="20">
        <v>127</v>
      </c>
      <c r="AI147" s="115" t="s">
        <v>4753</v>
      </c>
      <c r="AJ147" s="115">
        <v>70000</v>
      </c>
      <c r="AK147" s="20">
        <v>9</v>
      </c>
      <c r="AL147" s="20">
        <f t="shared" si="63"/>
        <v>838</v>
      </c>
      <c r="AM147" s="115">
        <f>AJ147*AL147</f>
        <v>58660000</v>
      </c>
      <c r="AN147" s="20"/>
    </row>
    <row r="148" spans="5:44">
      <c r="G148" s="32" t="s">
        <v>5446</v>
      </c>
      <c r="H148" s="32">
        <v>3245022</v>
      </c>
      <c r="I148" s="206">
        <v>249261</v>
      </c>
      <c r="J148" s="206">
        <v>2532877</v>
      </c>
      <c r="K148" s="32">
        <v>195062</v>
      </c>
      <c r="L148" s="97">
        <f t="shared" si="68"/>
        <v>5777899</v>
      </c>
      <c r="M148" s="97">
        <f t="shared" si="69"/>
        <v>444323</v>
      </c>
      <c r="O148" s="94"/>
      <c r="R148" s="32" t="s">
        <v>4511</v>
      </c>
      <c r="S148" s="32" t="s">
        <v>933</v>
      </c>
      <c r="T148" t="s">
        <v>25</v>
      </c>
      <c r="U148" s="94" t="s">
        <v>25</v>
      </c>
      <c r="V148" s="94" t="s">
        <v>25</v>
      </c>
      <c r="W148" s="94" t="s">
        <v>25</v>
      </c>
      <c r="X148" s="120" t="s">
        <v>25</v>
      </c>
      <c r="Y148" t="s">
        <v>25</v>
      </c>
      <c r="Z148" t="s">
        <v>25</v>
      </c>
      <c r="AA148" s="94" t="s">
        <v>25</v>
      </c>
      <c r="AH148" s="97">
        <v>128</v>
      </c>
      <c r="AI148" s="111" t="s">
        <v>4759</v>
      </c>
      <c r="AJ148" s="111">
        <v>20000</v>
      </c>
      <c r="AK148" s="97">
        <v>10</v>
      </c>
      <c r="AL148" s="20">
        <f t="shared" si="63"/>
        <v>829</v>
      </c>
      <c r="AM148" s="115">
        <f>AJ148*AL148</f>
        <v>16580000</v>
      </c>
      <c r="AN148" s="20"/>
      <c r="AP148" t="s">
        <v>25</v>
      </c>
    </row>
    <row r="149" spans="5:44">
      <c r="G149" s="32" t="s">
        <v>5447</v>
      </c>
      <c r="H149" s="32"/>
      <c r="I149" s="206"/>
      <c r="J149" s="206"/>
      <c r="K149" s="32"/>
      <c r="L149" s="97">
        <f t="shared" si="68"/>
        <v>0</v>
      </c>
      <c r="M149" s="97">
        <f t="shared" si="69"/>
        <v>0</v>
      </c>
      <c r="O149" s="94"/>
      <c r="R149" s="32">
        <v>33288</v>
      </c>
      <c r="S149" s="167">
        <v>152128600.70081395</v>
      </c>
      <c r="T149" t="s">
        <v>25</v>
      </c>
      <c r="U149" s="94" t="s">
        <v>25</v>
      </c>
      <c r="V149" s="120" t="s">
        <v>25</v>
      </c>
      <c r="W149" s="94" t="s">
        <v>25</v>
      </c>
      <c r="X149" t="s">
        <v>25</v>
      </c>
      <c r="Y149" t="s">
        <v>25</v>
      </c>
      <c r="Z149" t="s">
        <v>25</v>
      </c>
      <c r="AA149" t="s">
        <v>25</v>
      </c>
      <c r="AH149" s="97">
        <v>129</v>
      </c>
      <c r="AI149" s="111" t="s">
        <v>4779</v>
      </c>
      <c r="AJ149" s="111">
        <v>1000000</v>
      </c>
      <c r="AK149" s="97">
        <v>1</v>
      </c>
      <c r="AL149" s="20">
        <f t="shared" si="63"/>
        <v>819</v>
      </c>
      <c r="AM149" s="115">
        <f>AJ149*AL149</f>
        <v>819000000</v>
      </c>
      <c r="AN149" s="20"/>
    </row>
    <row r="150" spans="5:44">
      <c r="E150" s="121"/>
      <c r="G150" s="32" t="s">
        <v>5448</v>
      </c>
      <c r="H150" s="32"/>
      <c r="I150" s="206"/>
      <c r="J150" s="206"/>
      <c r="K150" s="32"/>
      <c r="L150" s="97">
        <f t="shared" si="68"/>
        <v>0</v>
      </c>
      <c r="M150" s="97">
        <f t="shared" si="69"/>
        <v>0</v>
      </c>
      <c r="N150" s="94"/>
      <c r="O150" s="94"/>
      <c r="Q150" t="s">
        <v>25</v>
      </c>
      <c r="R150" s="32">
        <v>9243</v>
      </c>
      <c r="S150" s="1">
        <f>S149*R150/R149</f>
        <v>42241187.7036056</v>
      </c>
      <c r="T150" s="112" t="s">
        <v>25</v>
      </c>
      <c r="U150" s="94" t="s">
        <v>25</v>
      </c>
      <c r="V150" s="120" t="s">
        <v>25</v>
      </c>
      <c r="W150" s="94" t="s">
        <v>25</v>
      </c>
      <c r="X150" t="s">
        <v>25</v>
      </c>
      <c r="Y150" t="s">
        <v>25</v>
      </c>
      <c r="Z150" t="s">
        <v>25</v>
      </c>
      <c r="AA150" t="s">
        <v>25</v>
      </c>
      <c r="AC150" s="112" t="s">
        <v>25</v>
      </c>
      <c r="AD150" s="112"/>
      <c r="AH150" s="97">
        <v>130</v>
      </c>
      <c r="AI150" s="111" t="s">
        <v>4780</v>
      </c>
      <c r="AJ150" s="111">
        <v>65630227</v>
      </c>
      <c r="AK150" s="97">
        <v>0</v>
      </c>
      <c r="AL150" s="20">
        <f t="shared" si="63"/>
        <v>818</v>
      </c>
      <c r="AM150" s="115">
        <f t="shared" ref="AM150:AM177" si="70">AJ150*AL150</f>
        <v>53685525686</v>
      </c>
      <c r="AN150" s="20" t="s">
        <v>4783</v>
      </c>
      <c r="AP150" t="s">
        <v>25</v>
      </c>
      <c r="AR150" t="s">
        <v>25</v>
      </c>
    </row>
    <row r="151" spans="5:44">
      <c r="G151" s="32" t="s">
        <v>5465</v>
      </c>
      <c r="H151" s="32">
        <v>3270584</v>
      </c>
      <c r="I151" s="206">
        <v>250916</v>
      </c>
      <c r="J151" s="206">
        <v>2496979</v>
      </c>
      <c r="K151" s="32">
        <v>203160</v>
      </c>
      <c r="L151" s="97">
        <f t="shared" si="68"/>
        <v>5767563</v>
      </c>
      <c r="M151" s="97">
        <f t="shared" si="69"/>
        <v>454076</v>
      </c>
      <c r="N151" s="94"/>
      <c r="O151" s="94"/>
      <c r="R151" s="32">
        <f>R149-R150</f>
        <v>24045</v>
      </c>
      <c r="S151" s="1">
        <f>R151*S149/R149</f>
        <v>109887412.99720834</v>
      </c>
      <c r="T151" t="s">
        <v>25</v>
      </c>
      <c r="U151" s="120" t="s">
        <v>25</v>
      </c>
      <c r="V151" s="94"/>
      <c r="W151" s="120" t="s">
        <v>25</v>
      </c>
      <c r="X151" t="s">
        <v>25</v>
      </c>
      <c r="Y151" t="s">
        <v>25</v>
      </c>
      <c r="Z151" t="s">
        <v>25</v>
      </c>
      <c r="AA151" t="s">
        <v>25</v>
      </c>
      <c r="AB151" s="94"/>
      <c r="AC151" s="112"/>
      <c r="AH151" s="97">
        <v>131</v>
      </c>
      <c r="AI151" s="111" t="s">
        <v>4780</v>
      </c>
      <c r="AJ151" s="111">
        <v>-3500000</v>
      </c>
      <c r="AK151" s="97">
        <v>6</v>
      </c>
      <c r="AL151" s="20">
        <f t="shared" si="63"/>
        <v>818</v>
      </c>
      <c r="AM151" s="115">
        <f t="shared" si="70"/>
        <v>-2863000000</v>
      </c>
      <c r="AN151" s="20" t="s">
        <v>4782</v>
      </c>
    </row>
    <row r="152" spans="5:44">
      <c r="G152" s="32" t="s">
        <v>5466</v>
      </c>
      <c r="H152" s="32">
        <v>3225584</v>
      </c>
      <c r="I152" s="206">
        <v>260042</v>
      </c>
      <c r="J152" s="206">
        <v>2466124</v>
      </c>
      <c r="K152" s="32">
        <v>210439</v>
      </c>
      <c r="L152" s="97">
        <f t="shared" si="68"/>
        <v>5691708</v>
      </c>
      <c r="M152" s="97">
        <f t="shared" si="69"/>
        <v>470481</v>
      </c>
      <c r="N152" s="94"/>
      <c r="O152" s="94"/>
      <c r="P152" s="112"/>
      <c r="T152" t="s">
        <v>25</v>
      </c>
      <c r="V152" s="94"/>
      <c r="W152"/>
      <c r="X152" t="s">
        <v>25</v>
      </c>
      <c r="Y152" t="s">
        <v>25</v>
      </c>
      <c r="Z152" t="s">
        <v>25</v>
      </c>
      <c r="AA152" t="s">
        <v>25</v>
      </c>
      <c r="AB152" s="94"/>
      <c r="AC152" s="112"/>
      <c r="AD152" s="112"/>
      <c r="AH152" s="97">
        <v>132</v>
      </c>
      <c r="AI152" s="111" t="s">
        <v>4792</v>
      </c>
      <c r="AJ152" s="111">
        <v>2520000</v>
      </c>
      <c r="AK152" s="97">
        <v>12</v>
      </c>
      <c r="AL152" s="20">
        <f t="shared" si="63"/>
        <v>812</v>
      </c>
      <c r="AM152" s="115">
        <f t="shared" si="70"/>
        <v>2046240000</v>
      </c>
      <c r="AN152" s="20"/>
    </row>
    <row r="153" spans="5:44">
      <c r="G153" s="32" t="s">
        <v>5467</v>
      </c>
      <c r="H153" s="32">
        <v>3271778</v>
      </c>
      <c r="I153" s="206">
        <v>282233</v>
      </c>
      <c r="J153" s="206">
        <v>2458563</v>
      </c>
      <c r="K153" s="32">
        <v>212082</v>
      </c>
      <c r="L153" s="97">
        <f t="shared" si="68"/>
        <v>5730341</v>
      </c>
      <c r="M153" s="97">
        <f t="shared" si="69"/>
        <v>494315</v>
      </c>
      <c r="N153" s="94"/>
      <c r="Q153" s="94" t="s">
        <v>25</v>
      </c>
      <c r="R153" s="94"/>
      <c r="S153" s="94"/>
      <c r="T153" s="94"/>
      <c r="U153" s="279" t="s">
        <v>4405</v>
      </c>
      <c r="V153" s="279" t="s">
        <v>4418</v>
      </c>
      <c r="W153" s="279" t="s">
        <v>4419</v>
      </c>
      <c r="X153" t="s">
        <v>25</v>
      </c>
      <c r="Y153" t="s">
        <v>25</v>
      </c>
      <c r="AA153" t="s">
        <v>25</v>
      </c>
      <c r="AB153" t="s">
        <v>25</v>
      </c>
      <c r="AH153" s="97">
        <v>133</v>
      </c>
      <c r="AI153" s="111" t="s">
        <v>4827</v>
      </c>
      <c r="AJ153" s="111">
        <v>1400000</v>
      </c>
      <c r="AK153" s="97">
        <v>4</v>
      </c>
      <c r="AL153" s="20">
        <f t="shared" si="63"/>
        <v>800</v>
      </c>
      <c r="AM153" s="115">
        <f t="shared" si="70"/>
        <v>1120000000</v>
      </c>
      <c r="AN153" s="20"/>
    </row>
    <row r="154" spans="5:44">
      <c r="G154" s="32" t="s">
        <v>5473</v>
      </c>
      <c r="H154" s="32">
        <v>3298939</v>
      </c>
      <c r="I154" s="206">
        <v>281309</v>
      </c>
      <c r="J154" s="206">
        <v>2465538</v>
      </c>
      <c r="K154" s="32">
        <v>210242</v>
      </c>
      <c r="L154" s="97">
        <f t="shared" si="68"/>
        <v>5764477</v>
      </c>
      <c r="M154" s="97">
        <f t="shared" si="69"/>
        <v>491551</v>
      </c>
      <c r="N154" s="94"/>
      <c r="P154" s="112"/>
      <c r="Q154" s="94"/>
      <c r="R154" s="94"/>
      <c r="S154" s="94"/>
      <c r="T154" s="120">
        <f>V155-V160</f>
        <v>2600234</v>
      </c>
      <c r="U154" s="279" t="s">
        <v>743</v>
      </c>
      <c r="V154" s="279">
        <v>1493085</v>
      </c>
      <c r="W154" s="88">
        <f>V154*$T$520</f>
        <v>4040967828.4896922</v>
      </c>
      <c r="X154">
        <f>W154*100/$W$160</f>
        <v>34.590217294355725</v>
      </c>
      <c r="Y154" t="s">
        <v>25</v>
      </c>
      <c r="Z154" t="s">
        <v>25</v>
      </c>
      <c r="AA154" t="s">
        <v>25</v>
      </c>
      <c r="AH154" s="97">
        <v>134</v>
      </c>
      <c r="AI154" s="111" t="s">
        <v>4843</v>
      </c>
      <c r="AJ154" s="111">
        <v>1550000</v>
      </c>
      <c r="AK154" s="97">
        <v>2</v>
      </c>
      <c r="AL154" s="20">
        <f t="shared" si="63"/>
        <v>796</v>
      </c>
      <c r="AM154" s="115">
        <f t="shared" si="70"/>
        <v>1233800000</v>
      </c>
      <c r="AN154" s="20"/>
    </row>
    <row r="155" spans="5:44">
      <c r="G155" s="32" t="s">
        <v>5477</v>
      </c>
      <c r="H155" s="32">
        <v>3453903</v>
      </c>
      <c r="I155" s="206">
        <v>259725</v>
      </c>
      <c r="J155" s="206">
        <v>2541096</v>
      </c>
      <c r="K155" s="32">
        <v>191084</v>
      </c>
      <c r="L155" s="97">
        <f t="shared" si="68"/>
        <v>5994999</v>
      </c>
      <c r="M155" s="97">
        <f t="shared" si="69"/>
        <v>450809</v>
      </c>
      <c r="N155" s="94"/>
      <c r="P155" s="94"/>
      <c r="T155" s="120"/>
      <c r="U155" s="279" t="s">
        <v>4407</v>
      </c>
      <c r="V155" s="279">
        <v>2600234</v>
      </c>
      <c r="W155" s="88">
        <f>V155*$T$520</f>
        <v>7037417119.9530277</v>
      </c>
      <c r="X155" s="94">
        <f>W155*100/$W$160</f>
        <v>60.239476705058159</v>
      </c>
      <c r="Y155" t="s">
        <v>25</v>
      </c>
      <c r="Z155" t="s">
        <v>25</v>
      </c>
      <c r="AA155" t="s">
        <v>25</v>
      </c>
      <c r="AH155" s="97">
        <v>135</v>
      </c>
      <c r="AI155" s="111" t="s">
        <v>4799</v>
      </c>
      <c r="AJ155" s="111">
        <v>250000</v>
      </c>
      <c r="AK155" s="97">
        <v>6</v>
      </c>
      <c r="AL155" s="20">
        <f t="shared" si="63"/>
        <v>794</v>
      </c>
      <c r="AM155" s="115">
        <f t="shared" si="70"/>
        <v>198500000</v>
      </c>
      <c r="AN155" s="20"/>
    </row>
    <row r="156" spans="5:44">
      <c r="G156" s="32" t="s">
        <v>6481</v>
      </c>
      <c r="H156" s="32">
        <v>4796613</v>
      </c>
      <c r="I156" s="206">
        <v>250296</v>
      </c>
      <c r="J156" s="206">
        <v>2687591</v>
      </c>
      <c r="K156" s="32">
        <v>140243</v>
      </c>
      <c r="L156" s="97">
        <f t="shared" si="68"/>
        <v>7484204</v>
      </c>
      <c r="M156" s="97">
        <f t="shared" si="69"/>
        <v>390539</v>
      </c>
      <c r="N156" s="94"/>
      <c r="Q156" t="s">
        <v>25</v>
      </c>
      <c r="S156" t="s">
        <v>25</v>
      </c>
      <c r="T156" s="94">
        <f>V154-V160</f>
        <v>1493085</v>
      </c>
      <c r="U156" s="279" t="s">
        <v>4406</v>
      </c>
      <c r="V156" s="279">
        <v>48659</v>
      </c>
      <c r="W156" s="88">
        <f>V156*$T$520</f>
        <v>131693408.99311154</v>
      </c>
      <c r="X156" s="94">
        <f>W156*100/$W$160</f>
        <v>1.1272803513035461</v>
      </c>
      <c r="Y156" t="s">
        <v>25</v>
      </c>
      <c r="AA156" t="s">
        <v>25</v>
      </c>
      <c r="AH156" s="97">
        <v>136</v>
      </c>
      <c r="AI156" s="111" t="s">
        <v>4852</v>
      </c>
      <c r="AJ156" s="111">
        <v>-48527480</v>
      </c>
      <c r="AK156" s="97">
        <v>14</v>
      </c>
      <c r="AL156" s="20">
        <f t="shared" si="63"/>
        <v>788</v>
      </c>
      <c r="AM156" s="115">
        <f t="shared" si="70"/>
        <v>-38239654240</v>
      </c>
      <c r="AN156" s="20" t="s">
        <v>4854</v>
      </c>
    </row>
    <row r="157" spans="5:44">
      <c r="G157" s="32"/>
      <c r="H157" s="32"/>
      <c r="I157" s="206"/>
      <c r="J157" s="206"/>
      <c r="K157" s="32"/>
      <c r="L157" s="97"/>
      <c r="M157" s="97"/>
      <c r="Q157" t="s">
        <v>25</v>
      </c>
      <c r="T157" s="94"/>
      <c r="U157" s="279" t="s">
        <v>1069</v>
      </c>
      <c r="V157" s="279">
        <v>174517</v>
      </c>
      <c r="W157" s="88">
        <f>V157*$T$520</f>
        <v>472322461.56416792</v>
      </c>
      <c r="X157" s="94">
        <f>W157*100/$W$160</f>
        <v>4.0430256492825789</v>
      </c>
      <c r="Z157" t="s">
        <v>25</v>
      </c>
      <c r="AH157" s="97">
        <v>137</v>
      </c>
      <c r="AI157" s="111" t="s">
        <v>4874</v>
      </c>
      <c r="AJ157" s="111">
        <v>2100000</v>
      </c>
      <c r="AK157" s="97">
        <v>1</v>
      </c>
      <c r="AL157" s="20">
        <f t="shared" si="63"/>
        <v>774</v>
      </c>
      <c r="AM157" s="115">
        <f t="shared" si="70"/>
        <v>1625400000</v>
      </c>
      <c r="AN157" s="20"/>
    </row>
    <row r="158" spans="5:44">
      <c r="G158" s="32"/>
      <c r="H158" s="32"/>
      <c r="I158" s="206"/>
      <c r="J158" s="206"/>
      <c r="K158" s="32"/>
      <c r="L158" s="97">
        <f>H158+J158</f>
        <v>0</v>
      </c>
      <c r="M158" s="97">
        <f>I158+K158</f>
        <v>0</v>
      </c>
      <c r="T158" s="94"/>
      <c r="U158" s="279"/>
      <c r="V158" s="279"/>
      <c r="W158" s="279"/>
      <c r="X158" s="113"/>
      <c r="Y158" t="s">
        <v>25</v>
      </c>
      <c r="AH158" s="97">
        <v>138</v>
      </c>
      <c r="AI158" s="111" t="s">
        <v>4877</v>
      </c>
      <c r="AJ158" s="111">
        <v>100000</v>
      </c>
      <c r="AK158" s="97">
        <v>4</v>
      </c>
      <c r="AL158" s="20">
        <f>AL159+AK158</f>
        <v>773</v>
      </c>
      <c r="AM158" s="115">
        <f t="shared" si="70"/>
        <v>77300000</v>
      </c>
      <c r="AN158" s="20"/>
    </row>
    <row r="159" spans="5:44">
      <c r="N159" s="112"/>
      <c r="O159" s="94" t="s">
        <v>25</v>
      </c>
      <c r="P159" s="112"/>
      <c r="Q159" t="s">
        <v>25</v>
      </c>
      <c r="S159" t="s">
        <v>25</v>
      </c>
      <c r="T159" s="94"/>
      <c r="U159" s="87"/>
      <c r="V159" s="87">
        <f>SUM(V154:V157)</f>
        <v>4316495</v>
      </c>
      <c r="W159" s="87"/>
      <c r="X159" s="112" t="s">
        <v>25</v>
      </c>
      <c r="Y159" t="s">
        <v>25</v>
      </c>
      <c r="Z159" t="s">
        <v>25</v>
      </c>
      <c r="AH159" s="97">
        <v>139</v>
      </c>
      <c r="AI159" s="111" t="s">
        <v>4882</v>
      </c>
      <c r="AJ159" s="111">
        <v>900000</v>
      </c>
      <c r="AK159" s="97">
        <v>0</v>
      </c>
      <c r="AL159" s="20">
        <f t="shared" ref="AL159:AL168" si="71">AL160+AK159</f>
        <v>769</v>
      </c>
      <c r="AM159" s="115">
        <f t="shared" ref="AM159:AM168" si="72">AJ159*AL159</f>
        <v>692100000</v>
      </c>
      <c r="AN159" s="20"/>
      <c r="AP159" t="s">
        <v>25</v>
      </c>
    </row>
    <row r="160" spans="5:44">
      <c r="O160" s="94"/>
      <c r="P160" s="112"/>
      <c r="Q160" s="94" t="s">
        <v>25</v>
      </c>
      <c r="R160" s="94"/>
      <c r="S160" s="94" t="s">
        <v>25</v>
      </c>
      <c r="T160" s="94" t="s">
        <v>25</v>
      </c>
      <c r="U160" s="87"/>
      <c r="V160" s="87">
        <f>V159-U517</f>
        <v>0</v>
      </c>
      <c r="W160" s="140">
        <f>SUM(W154:W157)</f>
        <v>11682400818.999998</v>
      </c>
      <c r="X160" s="94"/>
      <c r="Y160" t="s">
        <v>25</v>
      </c>
      <c r="Z160" t="s">
        <v>25</v>
      </c>
      <c r="AH160" s="97">
        <v>140</v>
      </c>
      <c r="AI160" s="111" t="s">
        <v>4882</v>
      </c>
      <c r="AJ160" s="111">
        <v>1100000</v>
      </c>
      <c r="AK160" s="97">
        <v>0</v>
      </c>
      <c r="AL160" s="20">
        <f t="shared" si="71"/>
        <v>769</v>
      </c>
      <c r="AM160" s="115">
        <f t="shared" si="72"/>
        <v>845900000</v>
      </c>
      <c r="AN160" s="20" t="s">
        <v>4896</v>
      </c>
      <c r="AQ160" t="s">
        <v>25</v>
      </c>
    </row>
    <row r="161" spans="7:43">
      <c r="K161" t="s">
        <v>25</v>
      </c>
      <c r="M161" t="s">
        <v>25</v>
      </c>
      <c r="N161" s="112"/>
      <c r="O161" s="94"/>
      <c r="P161" s="112"/>
      <c r="Q161" s="94"/>
      <c r="R161" s="94"/>
      <c r="S161" s="94"/>
      <c r="T161" s="94" t="s">
        <v>25</v>
      </c>
      <c r="U161" s="87"/>
      <c r="V161" s="87" t="s">
        <v>5828</v>
      </c>
      <c r="W161" s="140">
        <f>R172-W157</f>
        <v>73697768.435832083</v>
      </c>
      <c r="X161" s="94"/>
      <c r="Y161" t="s">
        <v>25</v>
      </c>
      <c r="Z161" t="s">
        <v>25</v>
      </c>
      <c r="AH161" s="97">
        <v>141</v>
      </c>
      <c r="AI161" s="111" t="s">
        <v>4882</v>
      </c>
      <c r="AJ161" s="111">
        <v>115000</v>
      </c>
      <c r="AK161" s="97"/>
      <c r="AL161" s="20">
        <f t="shared" si="71"/>
        <v>769</v>
      </c>
      <c r="AM161" s="115">
        <f t="shared" si="72"/>
        <v>88435000</v>
      </c>
      <c r="AN161" s="20"/>
      <c r="AQ161" t="s">
        <v>25</v>
      </c>
    </row>
    <row r="162" spans="7:43">
      <c r="G162" s="206" t="s">
        <v>180</v>
      </c>
      <c r="H162" s="206" t="s">
        <v>5458</v>
      </c>
      <c r="I162" t="s">
        <v>5451</v>
      </c>
      <c r="O162" s="94"/>
      <c r="P162" s="112"/>
      <c r="Q162" s="94" t="s">
        <v>25</v>
      </c>
      <c r="R162" s="94"/>
      <c r="S162" s="94"/>
      <c r="T162" s="94" t="s">
        <v>25</v>
      </c>
      <c r="U162" s="87"/>
      <c r="V162" s="87" t="s">
        <v>5827</v>
      </c>
      <c r="W162" s="140">
        <f>W156-W161</f>
        <v>57995640.557279453</v>
      </c>
      <c r="X162" s="94"/>
      <c r="Z162" t="s">
        <v>25</v>
      </c>
      <c r="AA162" t="s">
        <v>25</v>
      </c>
      <c r="AH162" s="97">
        <v>142</v>
      </c>
      <c r="AI162" s="111" t="s">
        <v>4890</v>
      </c>
      <c r="AJ162" s="111">
        <v>-1100000</v>
      </c>
      <c r="AK162" s="97"/>
      <c r="AL162" s="20">
        <f t="shared" si="71"/>
        <v>769</v>
      </c>
      <c r="AM162" s="115">
        <f t="shared" si="72"/>
        <v>-845900000</v>
      </c>
      <c r="AN162" s="20" t="s">
        <v>4897</v>
      </c>
      <c r="AQ162" t="s">
        <v>25</v>
      </c>
    </row>
    <row r="163" spans="7:43">
      <c r="G163" s="206" t="s">
        <v>5425</v>
      </c>
      <c r="H163" s="1">
        <v>30000000</v>
      </c>
      <c r="I163" s="297" t="s">
        <v>5452</v>
      </c>
      <c r="M163" t="s">
        <v>25</v>
      </c>
      <c r="O163" s="94"/>
      <c r="P163" s="112"/>
      <c r="Q163" s="94" t="s">
        <v>25</v>
      </c>
      <c r="R163" s="94"/>
      <c r="S163" s="94" t="s">
        <v>25</v>
      </c>
      <c r="T163" s="94"/>
      <c r="U163" s="87"/>
      <c r="V163" s="87" t="s">
        <v>4918</v>
      </c>
      <c r="W163" s="140">
        <f>W154+W162-R171</f>
        <v>3130997.0469717979</v>
      </c>
      <c r="X163" s="94"/>
      <c r="Y163" t="s">
        <v>25</v>
      </c>
      <c r="AH163" s="97">
        <v>143</v>
      </c>
      <c r="AI163" s="111" t="s">
        <v>4890</v>
      </c>
      <c r="AJ163" s="111">
        <v>900000</v>
      </c>
      <c r="AK163" s="97">
        <v>1</v>
      </c>
      <c r="AL163" s="20">
        <f t="shared" si="71"/>
        <v>769</v>
      </c>
      <c r="AM163" s="115">
        <f t="shared" si="72"/>
        <v>692100000</v>
      </c>
      <c r="AN163" s="20" t="s">
        <v>4896</v>
      </c>
    </row>
    <row r="164" spans="7:43">
      <c r="G164" s="206" t="s">
        <v>5426</v>
      </c>
      <c r="H164" s="1">
        <v>550000</v>
      </c>
      <c r="I164" t="s">
        <v>5453</v>
      </c>
      <c r="O164" s="94"/>
      <c r="P164" s="112"/>
      <c r="Q164" s="94"/>
      <c r="R164" s="94"/>
      <c r="S164" s="94"/>
      <c r="T164" s="94"/>
      <c r="U164" s="87"/>
      <c r="V164" s="87"/>
      <c r="W164" s="140"/>
      <c r="X164" s="113"/>
      <c r="Y164" t="s">
        <v>25</v>
      </c>
      <c r="AH164" s="97">
        <v>144</v>
      </c>
      <c r="AI164" s="111" t="s">
        <v>4894</v>
      </c>
      <c r="AJ164" s="111">
        <v>2000000</v>
      </c>
      <c r="AK164" s="97">
        <v>0</v>
      </c>
      <c r="AL164" s="20">
        <f t="shared" si="71"/>
        <v>768</v>
      </c>
      <c r="AM164" s="115">
        <f t="shared" si="72"/>
        <v>1536000000</v>
      </c>
      <c r="AN164" s="20"/>
    </row>
    <row r="165" spans="7:43">
      <c r="G165" s="206" t="s">
        <v>5427</v>
      </c>
      <c r="H165" s="1">
        <v>70370000</v>
      </c>
      <c r="I165" t="s">
        <v>4082</v>
      </c>
      <c r="O165" s="94"/>
      <c r="P165" s="112"/>
      <c r="Q165" s="94"/>
      <c r="R165" s="94"/>
      <c r="S165" s="94"/>
      <c r="T165" s="94"/>
      <c r="V165" s="94"/>
      <c r="Y165" t="s">
        <v>25</v>
      </c>
      <c r="AH165" s="97">
        <v>145</v>
      </c>
      <c r="AI165" s="111" t="s">
        <v>4894</v>
      </c>
      <c r="AJ165" s="111">
        <v>360000</v>
      </c>
      <c r="AK165" s="97">
        <v>1</v>
      </c>
      <c r="AL165" s="20">
        <f t="shared" si="71"/>
        <v>768</v>
      </c>
      <c r="AM165" s="115">
        <f t="shared" si="72"/>
        <v>276480000</v>
      </c>
      <c r="AN165" s="20"/>
    </row>
    <row r="166" spans="7:43">
      <c r="G166" s="206" t="s">
        <v>5428</v>
      </c>
      <c r="H166" s="1">
        <v>1215000</v>
      </c>
      <c r="I166" t="s">
        <v>5454</v>
      </c>
      <c r="P166" s="112"/>
      <c r="Q166" s="94"/>
      <c r="R166" s="94"/>
      <c r="S166" s="94"/>
      <c r="T166" s="94" t="s">
        <v>25</v>
      </c>
      <c r="V166" s="94"/>
      <c r="AH166" s="97">
        <v>146</v>
      </c>
      <c r="AI166" s="111" t="s">
        <v>4895</v>
      </c>
      <c r="AJ166" s="111">
        <v>3000000</v>
      </c>
      <c r="AK166" s="97">
        <v>1</v>
      </c>
      <c r="AL166" s="20">
        <f t="shared" si="71"/>
        <v>767</v>
      </c>
      <c r="AM166" s="115">
        <f t="shared" si="72"/>
        <v>2301000000</v>
      </c>
      <c r="AN166" s="20"/>
    </row>
    <row r="167" spans="7:43">
      <c r="G167" s="206" t="s">
        <v>5429</v>
      </c>
      <c r="H167" s="1">
        <v>15350000</v>
      </c>
      <c r="I167" s="297" t="s">
        <v>5455</v>
      </c>
      <c r="P167" s="112"/>
      <c r="S167" s="94" t="s">
        <v>25</v>
      </c>
      <c r="T167" s="94"/>
      <c r="V167" s="94"/>
      <c r="AH167" s="97">
        <v>147</v>
      </c>
      <c r="AI167" s="111" t="s">
        <v>4893</v>
      </c>
      <c r="AJ167" s="111">
        <v>-658226</v>
      </c>
      <c r="AK167" s="97">
        <v>1</v>
      </c>
      <c r="AL167" s="20">
        <f t="shared" si="71"/>
        <v>766</v>
      </c>
      <c r="AM167" s="115">
        <f t="shared" si="72"/>
        <v>-504201116</v>
      </c>
      <c r="AN167" s="20"/>
    </row>
    <row r="168" spans="7:43">
      <c r="G168" s="206" t="s">
        <v>5430</v>
      </c>
      <c r="H168" s="1">
        <v>70000</v>
      </c>
      <c r="I168" t="s">
        <v>5456</v>
      </c>
      <c r="K168" t="s">
        <v>25</v>
      </c>
      <c r="M168" t="s">
        <v>25</v>
      </c>
      <c r="O168" s="112"/>
      <c r="P168" s="112"/>
      <c r="Q168" s="94"/>
      <c r="R168" s="94"/>
      <c r="S168" s="94"/>
      <c r="T168" s="97" t="s">
        <v>180</v>
      </c>
      <c r="U168" s="97" t="s">
        <v>4431</v>
      </c>
      <c r="V168" s="97" t="s">
        <v>4432</v>
      </c>
      <c r="W168" s="97" t="s">
        <v>4442</v>
      </c>
      <c r="X168" s="97" t="s">
        <v>8</v>
      </c>
      <c r="Y168" t="s">
        <v>25</v>
      </c>
      <c r="AH168" s="97">
        <v>148</v>
      </c>
      <c r="AI168" s="111" t="s">
        <v>4898</v>
      </c>
      <c r="AJ168" s="111">
        <v>1000000</v>
      </c>
      <c r="AK168" s="97">
        <v>15</v>
      </c>
      <c r="AL168" s="20">
        <f t="shared" si="71"/>
        <v>765</v>
      </c>
      <c r="AM168" s="115">
        <f t="shared" si="72"/>
        <v>765000000</v>
      </c>
      <c r="AN168" s="20"/>
      <c r="AP168" t="s">
        <v>25</v>
      </c>
    </row>
    <row r="169" spans="7:43">
      <c r="G169" s="206" t="s">
        <v>5434</v>
      </c>
      <c r="H169" s="1">
        <v>800000</v>
      </c>
      <c r="I169" t="s">
        <v>5457</v>
      </c>
      <c r="O169" s="112"/>
      <c r="P169" s="112"/>
      <c r="Q169" s="94"/>
      <c r="R169" s="94"/>
      <c r="S169" s="94"/>
      <c r="T169" s="111" t="s">
        <v>4417</v>
      </c>
      <c r="U169" s="54">
        <v>1000000</v>
      </c>
      <c r="V169" s="111">
        <v>239.024</v>
      </c>
      <c r="W169" s="111">
        <f t="shared" ref="W169:W270" si="73">U169*V169</f>
        <v>239024000</v>
      </c>
      <c r="X169" s="97"/>
      <c r="AH169" s="97">
        <v>149</v>
      </c>
      <c r="AI169" s="111" t="s">
        <v>4923</v>
      </c>
      <c r="AJ169" s="111">
        <v>1130250</v>
      </c>
      <c r="AK169" s="97">
        <v>5</v>
      </c>
      <c r="AL169" s="20">
        <f t="shared" si="63"/>
        <v>750</v>
      </c>
      <c r="AM169" s="115">
        <f t="shared" si="70"/>
        <v>847687500</v>
      </c>
      <c r="AN169" s="20"/>
    </row>
    <row r="170" spans="7:43">
      <c r="G170" s="206" t="s">
        <v>5446</v>
      </c>
      <c r="H170" s="1">
        <v>1948000</v>
      </c>
      <c r="O170" s="112"/>
      <c r="P170" s="112"/>
      <c r="Q170" s="36" t="s">
        <v>4510</v>
      </c>
      <c r="R170" s="93">
        <f>SUM(N45:N53)</f>
        <v>7065095842</v>
      </c>
      <c r="T170" s="166" t="s">
        <v>4399</v>
      </c>
      <c r="U170" s="54">
        <v>5904</v>
      </c>
      <c r="V170" s="111">
        <v>237.148</v>
      </c>
      <c r="W170" s="111">
        <f t="shared" si="73"/>
        <v>1400121.7919999999</v>
      </c>
      <c r="X170" s="97" t="s">
        <v>743</v>
      </c>
      <c r="Z170" t="s">
        <v>25</v>
      </c>
      <c r="AE170" s="94" t="s">
        <v>25</v>
      </c>
      <c r="AH170" s="97">
        <v>150</v>
      </c>
      <c r="AI170" s="111" t="s">
        <v>4931</v>
      </c>
      <c r="AJ170" s="111">
        <v>206000</v>
      </c>
      <c r="AK170" s="97">
        <v>2</v>
      </c>
      <c r="AL170" s="20">
        <f t="shared" si="63"/>
        <v>745</v>
      </c>
      <c r="AM170" s="115">
        <f t="shared" si="70"/>
        <v>153470000</v>
      </c>
      <c r="AN170" s="20"/>
    </row>
    <row r="171" spans="7:43">
      <c r="G171" s="206" t="s">
        <v>5471</v>
      </c>
      <c r="H171" s="1">
        <v>5745697.3157000002</v>
      </c>
      <c r="P171" s="112"/>
      <c r="Q171" s="97" t="s">
        <v>4408</v>
      </c>
      <c r="R171" s="93">
        <f>SUM(N21:N26)</f>
        <v>4095832472</v>
      </c>
      <c r="T171" s="166" t="s">
        <v>4205</v>
      </c>
      <c r="U171" s="166">
        <v>1000</v>
      </c>
      <c r="V171" s="111">
        <v>247.393</v>
      </c>
      <c r="W171" s="111">
        <f t="shared" si="73"/>
        <v>247393</v>
      </c>
      <c r="X171" s="97" t="s">
        <v>743</v>
      </c>
      <c r="Y171" t="s">
        <v>25</v>
      </c>
      <c r="AH171" s="97">
        <v>151</v>
      </c>
      <c r="AI171" s="111" t="s">
        <v>4938</v>
      </c>
      <c r="AJ171" s="111">
        <v>50000</v>
      </c>
      <c r="AK171" s="97">
        <v>2</v>
      </c>
      <c r="AL171" s="20">
        <f t="shared" si="63"/>
        <v>743</v>
      </c>
      <c r="AM171" s="115">
        <f t="shared" si="70"/>
        <v>37150000</v>
      </c>
      <c r="AN171" s="20"/>
    </row>
    <row r="172" spans="7:43">
      <c r="G172" s="206" t="s">
        <v>5472</v>
      </c>
      <c r="H172" s="1">
        <v>908158.17935999995</v>
      </c>
      <c r="O172" s="112"/>
      <c r="P172" s="112"/>
      <c r="Q172" s="97" t="s">
        <v>4409</v>
      </c>
      <c r="R172" s="93">
        <f>SUM(N29:N33)</f>
        <v>546020230</v>
      </c>
      <c r="T172" s="386" t="s">
        <v>4443</v>
      </c>
      <c r="U172" s="386">
        <v>8071</v>
      </c>
      <c r="V172" s="90">
        <v>247.797</v>
      </c>
      <c r="W172" s="90">
        <f t="shared" si="73"/>
        <v>1999969.5870000001</v>
      </c>
      <c r="X172" s="89" t="s">
        <v>4406</v>
      </c>
      <c r="Y172" t="s">
        <v>25</v>
      </c>
      <c r="AH172" s="97">
        <v>152</v>
      </c>
      <c r="AI172" s="111" t="s">
        <v>4942</v>
      </c>
      <c r="AJ172" s="111">
        <v>105000</v>
      </c>
      <c r="AK172" s="97">
        <v>4</v>
      </c>
      <c r="AL172" s="20">
        <f t="shared" si="63"/>
        <v>741</v>
      </c>
      <c r="AM172" s="115">
        <f t="shared" si="70"/>
        <v>77805000</v>
      </c>
      <c r="AN172" s="20"/>
    </row>
    <row r="173" spans="7:43">
      <c r="G173" s="206" t="s">
        <v>5473</v>
      </c>
      <c r="H173" s="1">
        <v>12642697.648548001</v>
      </c>
      <c r="O173" s="112"/>
      <c r="P173" s="112"/>
      <c r="Q173" s="97" t="s">
        <v>4410</v>
      </c>
      <c r="R173" s="93">
        <f>N44</f>
        <v>62</v>
      </c>
      <c r="T173" s="166" t="s">
        <v>4443</v>
      </c>
      <c r="U173" s="166">
        <v>53672</v>
      </c>
      <c r="V173" s="111">
        <v>247.797</v>
      </c>
      <c r="W173" s="111">
        <f t="shared" si="73"/>
        <v>13299760.584000001</v>
      </c>
      <c r="X173" s="97" t="s">
        <v>452</v>
      </c>
      <c r="Y173" t="s">
        <v>25</v>
      </c>
      <c r="AH173" s="97">
        <v>153</v>
      </c>
      <c r="AI173" s="111" t="s">
        <v>4946</v>
      </c>
      <c r="AJ173" s="111">
        <v>5000000</v>
      </c>
      <c r="AK173" s="97">
        <v>1</v>
      </c>
      <c r="AL173" s="20">
        <f t="shared" si="63"/>
        <v>737</v>
      </c>
      <c r="AM173" s="115">
        <f t="shared" si="70"/>
        <v>3685000000</v>
      </c>
      <c r="AN173" s="20"/>
    </row>
    <row r="174" spans="7:43">
      <c r="G174" s="206" t="s">
        <v>5474</v>
      </c>
      <c r="H174" s="1">
        <v>12297318</v>
      </c>
      <c r="I174" t="s">
        <v>25</v>
      </c>
      <c r="P174" s="112"/>
      <c r="Q174" s="97" t="s">
        <v>4411</v>
      </c>
      <c r="R174" s="93">
        <f>N20</f>
        <v>217</v>
      </c>
      <c r="T174" s="386" t="s">
        <v>4451</v>
      </c>
      <c r="U174" s="386">
        <v>4099</v>
      </c>
      <c r="V174" s="90">
        <v>243.93</v>
      </c>
      <c r="W174" s="90">
        <f t="shared" si="73"/>
        <v>999869.07000000007</v>
      </c>
      <c r="X174" s="89" t="s">
        <v>4406</v>
      </c>
      <c r="AA174" t="s">
        <v>25</v>
      </c>
      <c r="AH174" s="97">
        <v>154</v>
      </c>
      <c r="AI174" s="111" t="s">
        <v>4947</v>
      </c>
      <c r="AJ174" s="111">
        <v>2500000</v>
      </c>
      <c r="AK174" s="97">
        <v>2</v>
      </c>
      <c r="AL174" s="20">
        <f t="shared" si="63"/>
        <v>736</v>
      </c>
      <c r="AM174" s="115">
        <f t="shared" si="70"/>
        <v>1840000000</v>
      </c>
      <c r="AN174" s="20"/>
    </row>
    <row r="175" spans="7:43">
      <c r="G175" s="206" t="s">
        <v>5475</v>
      </c>
      <c r="H175" s="1">
        <v>8959644</v>
      </c>
      <c r="P175" s="112"/>
      <c r="Q175" s="97" t="s">
        <v>4412</v>
      </c>
      <c r="R175" s="93">
        <f>N28</f>
        <v>169</v>
      </c>
      <c r="T175" s="166" t="s">
        <v>4451</v>
      </c>
      <c r="U175" s="166">
        <v>9301</v>
      </c>
      <c r="V175" s="111">
        <v>243.93</v>
      </c>
      <c r="W175" s="111">
        <f t="shared" si="73"/>
        <v>2268792.9300000002</v>
      </c>
      <c r="X175" s="97" t="s">
        <v>452</v>
      </c>
      <c r="Z175" t="s">
        <v>25</v>
      </c>
      <c r="AH175" s="248">
        <v>155</v>
      </c>
      <c r="AI175" s="244" t="s">
        <v>4953</v>
      </c>
      <c r="AJ175" s="244">
        <v>-50000000</v>
      </c>
      <c r="AK175" s="248">
        <v>7</v>
      </c>
      <c r="AL175" s="248">
        <f t="shared" si="63"/>
        <v>734</v>
      </c>
      <c r="AM175" s="244">
        <f t="shared" si="70"/>
        <v>-36700000000</v>
      </c>
      <c r="AN175" s="248" t="s">
        <v>4961</v>
      </c>
    </row>
    <row r="176" spans="7:43">
      <c r="G176" s="206" t="s">
        <v>5476</v>
      </c>
      <c r="H176" s="111">
        <v>15154095.839328</v>
      </c>
      <c r="P176" s="112"/>
      <c r="Q176" s="97"/>
      <c r="R176" s="93"/>
      <c r="S176" t="s">
        <v>25</v>
      </c>
      <c r="T176" s="386" t="s">
        <v>4455</v>
      </c>
      <c r="U176" s="386">
        <v>8334</v>
      </c>
      <c r="V176" s="90">
        <v>239.97</v>
      </c>
      <c r="W176" s="90">
        <f t="shared" si="73"/>
        <v>1999909.98</v>
      </c>
      <c r="X176" s="89" t="s">
        <v>4406</v>
      </c>
      <c r="AH176" s="97">
        <v>156</v>
      </c>
      <c r="AI176" s="111" t="s">
        <v>4959</v>
      </c>
      <c r="AJ176" s="111">
        <v>10000000</v>
      </c>
      <c r="AK176" s="97">
        <v>12</v>
      </c>
      <c r="AL176" s="20">
        <f t="shared" si="63"/>
        <v>727</v>
      </c>
      <c r="AM176" s="115">
        <f t="shared" si="70"/>
        <v>7270000000</v>
      </c>
      <c r="AN176" s="20" t="s">
        <v>4673</v>
      </c>
    </row>
    <row r="177" spans="5:43">
      <c r="G177" s="206" t="s">
        <v>5481</v>
      </c>
      <c r="H177" s="111">
        <v>4108143</v>
      </c>
      <c r="P177" s="112"/>
      <c r="Q177" s="97" t="s">
        <v>5049</v>
      </c>
      <c r="R177" s="93">
        <v>0</v>
      </c>
      <c r="T177" s="166" t="s">
        <v>4204</v>
      </c>
      <c r="U177" s="166">
        <v>29041</v>
      </c>
      <c r="V177" s="111">
        <v>233.45</v>
      </c>
      <c r="W177" s="111">
        <f t="shared" si="73"/>
        <v>6779621.4499999993</v>
      </c>
      <c r="X177" s="97" t="s">
        <v>743</v>
      </c>
      <c r="Y177" s="120" t="s">
        <v>25</v>
      </c>
      <c r="AH177" s="97">
        <v>157</v>
      </c>
      <c r="AI177" s="111" t="s">
        <v>4966</v>
      </c>
      <c r="AJ177" s="111">
        <v>-16266000</v>
      </c>
      <c r="AK177" s="97">
        <v>1</v>
      </c>
      <c r="AL177" s="20">
        <f t="shared" si="63"/>
        <v>715</v>
      </c>
      <c r="AM177" s="115">
        <f t="shared" si="70"/>
        <v>-11630190000</v>
      </c>
      <c r="AN177" s="20" t="s">
        <v>4974</v>
      </c>
      <c r="AQ177" t="s">
        <v>25</v>
      </c>
    </row>
    <row r="178" spans="5:43">
      <c r="G178" s="206" t="s">
        <v>5483</v>
      </c>
      <c r="H178" s="111">
        <v>6000000</v>
      </c>
      <c r="P178" s="112"/>
      <c r="Q178" s="97" t="s">
        <v>6518</v>
      </c>
      <c r="R178" s="93">
        <v>-1614</v>
      </c>
      <c r="S178" s="94"/>
      <c r="T178" s="386" t="s">
        <v>977</v>
      </c>
      <c r="U178" s="386">
        <v>12337</v>
      </c>
      <c r="V178" s="90">
        <v>243.16300000000001</v>
      </c>
      <c r="W178" s="90">
        <f t="shared" si="73"/>
        <v>2999901.9310000003</v>
      </c>
      <c r="X178" s="89" t="s">
        <v>4406</v>
      </c>
      <c r="AH178" s="97">
        <v>158</v>
      </c>
      <c r="AI178" s="111" t="s">
        <v>4975</v>
      </c>
      <c r="AJ178" s="111">
        <v>1000000</v>
      </c>
      <c r="AK178" s="97">
        <v>6</v>
      </c>
      <c r="AL178" s="20">
        <f>AL179+AK178</f>
        <v>714</v>
      </c>
      <c r="AM178" s="115">
        <f>AJ178*AL178</f>
        <v>714000000</v>
      </c>
      <c r="AN178" s="20"/>
    </row>
    <row r="179" spans="5:43">
      <c r="G179" s="206" t="s">
        <v>5487</v>
      </c>
      <c r="H179" s="111">
        <v>8301786</v>
      </c>
      <c r="I179" t="s">
        <v>25</v>
      </c>
      <c r="P179" s="112"/>
      <c r="Q179" s="97" t="s">
        <v>7021</v>
      </c>
      <c r="R179" s="93">
        <f>-(10*P53+8479*P48)</f>
        <v>-24546559</v>
      </c>
      <c r="S179" s="94"/>
      <c r="T179" s="166" t="s">
        <v>4528</v>
      </c>
      <c r="U179" s="166">
        <v>-16118</v>
      </c>
      <c r="V179" s="111">
        <v>248.17</v>
      </c>
      <c r="W179" s="111">
        <f t="shared" si="73"/>
        <v>-4000004.0599999996</v>
      </c>
      <c r="X179" s="97" t="s">
        <v>743</v>
      </c>
      <c r="Y179" t="s">
        <v>25</v>
      </c>
      <c r="AH179" s="97">
        <v>159</v>
      </c>
      <c r="AI179" s="111" t="s">
        <v>4983</v>
      </c>
      <c r="AJ179" s="111">
        <v>40000</v>
      </c>
      <c r="AK179" s="97">
        <v>5</v>
      </c>
      <c r="AL179" s="20">
        <f>AL180+AK179</f>
        <v>708</v>
      </c>
      <c r="AM179" s="115">
        <f>AJ179*AL179</f>
        <v>28320000</v>
      </c>
      <c r="AN179" s="20"/>
    </row>
    <row r="180" spans="5:43">
      <c r="G180" s="206" t="s">
        <v>5491</v>
      </c>
      <c r="H180" s="111">
        <v>50725508.571864001</v>
      </c>
      <c r="P180" s="112"/>
      <c r="Q180" s="36"/>
      <c r="R180" s="93"/>
      <c r="S180" s="113" t="s">
        <v>25</v>
      </c>
      <c r="T180" s="166" t="s">
        <v>4549</v>
      </c>
      <c r="U180" s="166">
        <v>101681</v>
      </c>
      <c r="V180" s="111">
        <v>246.5711</v>
      </c>
      <c r="W180" s="111">
        <f t="shared" si="73"/>
        <v>25071596.019099999</v>
      </c>
      <c r="X180" s="97" t="s">
        <v>452</v>
      </c>
      <c r="AH180" s="97">
        <v>160</v>
      </c>
      <c r="AI180" s="111" t="s">
        <v>4991</v>
      </c>
      <c r="AJ180" s="111">
        <v>120000</v>
      </c>
      <c r="AK180" s="97">
        <v>6</v>
      </c>
      <c r="AL180" s="20">
        <f>AL181+AK180</f>
        <v>703</v>
      </c>
      <c r="AM180" s="115">
        <f>AJ180*AL180</f>
        <v>84360000</v>
      </c>
      <c r="AN180" s="20"/>
    </row>
    <row r="181" spans="5:43">
      <c r="G181" s="206" t="s">
        <v>5492</v>
      </c>
      <c r="H181" s="111">
        <v>2281961.458596</v>
      </c>
      <c r="P181" s="112"/>
      <c r="Q181" s="97"/>
      <c r="R181" s="93"/>
      <c r="S181" s="120" t="s">
        <v>25</v>
      </c>
      <c r="T181" s="166" t="s">
        <v>4553</v>
      </c>
      <c r="U181" s="166">
        <v>66606</v>
      </c>
      <c r="V181" s="111">
        <v>251.131</v>
      </c>
      <c r="W181" s="111">
        <f t="shared" si="73"/>
        <v>16726831.386</v>
      </c>
      <c r="X181" s="97" t="s">
        <v>743</v>
      </c>
      <c r="AH181" s="97">
        <v>161</v>
      </c>
      <c r="AI181" s="111" t="s">
        <v>4988</v>
      </c>
      <c r="AJ181" s="111">
        <v>249000</v>
      </c>
      <c r="AK181" s="97">
        <v>9</v>
      </c>
      <c r="AL181" s="20">
        <f>AL182+AK181</f>
        <v>697</v>
      </c>
      <c r="AM181" s="115">
        <f>AJ181*AL181</f>
        <v>173553000</v>
      </c>
      <c r="AN181" s="20"/>
    </row>
    <row r="182" spans="5:43">
      <c r="E182" t="s">
        <v>25</v>
      </c>
      <c r="G182" s="206" t="s">
        <v>5499</v>
      </c>
      <c r="H182" s="111">
        <v>10998285</v>
      </c>
      <c r="P182" s="112"/>
      <c r="Q182" s="97" t="s">
        <v>5050</v>
      </c>
      <c r="R182" s="93">
        <v>0</v>
      </c>
      <c r="S182" s="120"/>
      <c r="T182" s="166" t="s">
        <v>4558</v>
      </c>
      <c r="U182" s="166">
        <v>172025</v>
      </c>
      <c r="V182" s="111">
        <v>245.52809999999999</v>
      </c>
      <c r="W182" s="111">
        <f t="shared" si="73"/>
        <v>42236971.402499996</v>
      </c>
      <c r="X182" s="97" t="s">
        <v>452</v>
      </c>
      <c r="AH182" s="97">
        <v>162</v>
      </c>
      <c r="AI182" s="111" t="s">
        <v>5013</v>
      </c>
      <c r="AJ182" s="111">
        <v>65000</v>
      </c>
      <c r="AK182" s="97">
        <v>7</v>
      </c>
      <c r="AL182" s="20">
        <f>AL183+AK182</f>
        <v>688</v>
      </c>
      <c r="AM182" s="115">
        <f>AJ182*AL182</f>
        <v>44720000</v>
      </c>
      <c r="AN182" s="20"/>
    </row>
    <row r="183" spans="5:43">
      <c r="G183" s="206" t="s">
        <v>5500</v>
      </c>
      <c r="H183" s="111">
        <v>983018.96187300002</v>
      </c>
      <c r="P183" s="112"/>
      <c r="Q183" s="97"/>
      <c r="R183" s="93"/>
      <c r="S183" s="113"/>
      <c r="T183" s="166" t="s">
        <v>4558</v>
      </c>
      <c r="U183" s="166">
        <v>189227</v>
      </c>
      <c r="V183" s="111">
        <v>245.52809999999999</v>
      </c>
      <c r="W183" s="111">
        <f t="shared" si="73"/>
        <v>46460545.778700002</v>
      </c>
      <c r="X183" s="97" t="s">
        <v>743</v>
      </c>
      <c r="AH183" s="97">
        <v>163</v>
      </c>
      <c r="AI183" s="111" t="s">
        <v>5022</v>
      </c>
      <c r="AJ183" s="111">
        <v>-312598</v>
      </c>
      <c r="AK183" s="97">
        <v>0</v>
      </c>
      <c r="AL183" s="20">
        <f t="shared" ref="AL183:AL190" si="74">AL184+AK183</f>
        <v>681</v>
      </c>
      <c r="AM183" s="115">
        <f t="shared" ref="AM183:AM190" si="75">AJ183*AL183</f>
        <v>-212879238</v>
      </c>
      <c r="AN183" s="20"/>
      <c r="AO183" t="s">
        <v>25</v>
      </c>
      <c r="AQ183" t="s">
        <v>25</v>
      </c>
    </row>
    <row r="184" spans="5:43">
      <c r="G184" s="206" t="s">
        <v>5502</v>
      </c>
      <c r="H184" s="111">
        <v>17049271.032000002</v>
      </c>
      <c r="I184" s="94"/>
      <c r="P184" s="112"/>
      <c r="Q184" s="97"/>
      <c r="R184" s="93"/>
      <c r="S184" s="113"/>
      <c r="T184" s="166" t="s">
        <v>4559</v>
      </c>
      <c r="U184" s="166">
        <v>79720</v>
      </c>
      <c r="V184" s="111">
        <v>246.6568</v>
      </c>
      <c r="W184" s="111">
        <f t="shared" si="73"/>
        <v>19663480.096000001</v>
      </c>
      <c r="X184" s="97" t="s">
        <v>452</v>
      </c>
      <c r="Y184" s="8" t="s">
        <v>25</v>
      </c>
      <c r="Z184" t="s">
        <v>25</v>
      </c>
      <c r="AH184" s="97">
        <v>164</v>
      </c>
      <c r="AI184" s="111" t="s">
        <v>5022</v>
      </c>
      <c r="AJ184" s="111">
        <v>50000</v>
      </c>
      <c r="AK184" s="97">
        <v>6</v>
      </c>
      <c r="AL184" s="20">
        <f t="shared" si="74"/>
        <v>681</v>
      </c>
      <c r="AM184" s="115">
        <f t="shared" si="75"/>
        <v>34050000</v>
      </c>
      <c r="AN184" s="20"/>
    </row>
    <row r="185" spans="5:43">
      <c r="G185" s="206" t="s">
        <v>5505</v>
      </c>
      <c r="H185" s="111">
        <v>6829998</v>
      </c>
      <c r="I185" s="94"/>
      <c r="O185" s="112"/>
      <c r="P185" s="112"/>
      <c r="Q185" s="97" t="s">
        <v>4416</v>
      </c>
      <c r="R185" s="93">
        <f>SUM(R170:R184)</f>
        <v>11682400819</v>
      </c>
      <c r="T185" s="166" t="s">
        <v>4559</v>
      </c>
      <c r="U185" s="166">
        <v>79720</v>
      </c>
      <c r="V185" s="111">
        <v>246.6568</v>
      </c>
      <c r="W185" s="111">
        <f t="shared" si="73"/>
        <v>19663480.096000001</v>
      </c>
      <c r="X185" s="97" t="s">
        <v>743</v>
      </c>
      <c r="AH185" s="97">
        <v>165</v>
      </c>
      <c r="AI185" s="111" t="s">
        <v>5032</v>
      </c>
      <c r="AJ185" s="111">
        <v>-200000</v>
      </c>
      <c r="AK185" s="97">
        <v>0</v>
      </c>
      <c r="AL185" s="20">
        <f t="shared" si="74"/>
        <v>675</v>
      </c>
      <c r="AM185" s="115">
        <f t="shared" si="75"/>
        <v>-135000000</v>
      </c>
      <c r="AN185" s="20" t="s">
        <v>5033</v>
      </c>
    </row>
    <row r="186" spans="5:43">
      <c r="G186" s="206" t="s">
        <v>4209</v>
      </c>
      <c r="H186" s="111">
        <v>6982608.8207999999</v>
      </c>
      <c r="I186" s="94"/>
      <c r="O186" t="s">
        <v>25</v>
      </c>
      <c r="P186" s="112"/>
      <c r="Q186" s="94"/>
      <c r="T186" s="166" t="s">
        <v>4580</v>
      </c>
      <c r="U186" s="166">
        <v>17769</v>
      </c>
      <c r="V186" s="111">
        <v>246.17877999999999</v>
      </c>
      <c r="W186" s="111">
        <f t="shared" si="73"/>
        <v>4374350.7418200001</v>
      </c>
      <c r="X186" s="97" t="s">
        <v>743</v>
      </c>
      <c r="AH186" s="97">
        <v>166</v>
      </c>
      <c r="AI186" s="111" t="s">
        <v>5032</v>
      </c>
      <c r="AJ186" s="111">
        <v>200000</v>
      </c>
      <c r="AK186" s="97">
        <v>3</v>
      </c>
      <c r="AL186" s="20">
        <f t="shared" si="74"/>
        <v>675</v>
      </c>
      <c r="AM186" s="115">
        <f t="shared" si="75"/>
        <v>135000000</v>
      </c>
      <c r="AN186" s="20"/>
      <c r="AQ186" t="s">
        <v>25</v>
      </c>
    </row>
    <row r="187" spans="5:43">
      <c r="G187" s="206" t="s">
        <v>5526</v>
      </c>
      <c r="H187" s="111">
        <v>7510131.0216000006</v>
      </c>
      <c r="I187" s="94"/>
      <c r="P187" s="112"/>
      <c r="T187" s="166" t="s">
        <v>4580</v>
      </c>
      <c r="U187" s="166">
        <v>17769</v>
      </c>
      <c r="V187" s="111">
        <v>246.17877999999999</v>
      </c>
      <c r="W187" s="111">
        <f t="shared" si="73"/>
        <v>4374350.7418200001</v>
      </c>
      <c r="X187" s="97" t="s">
        <v>452</v>
      </c>
      <c r="AH187" s="97">
        <v>167</v>
      </c>
      <c r="AI187" s="111" t="s">
        <v>5039</v>
      </c>
      <c r="AJ187" s="111">
        <v>200000</v>
      </c>
      <c r="AK187" s="97">
        <v>3</v>
      </c>
      <c r="AL187" s="20">
        <f t="shared" si="74"/>
        <v>672</v>
      </c>
      <c r="AM187" s="115">
        <f t="shared" si="75"/>
        <v>134400000</v>
      </c>
      <c r="AN187" s="20"/>
    </row>
    <row r="188" spans="5:43">
      <c r="G188" s="206" t="s">
        <v>5532</v>
      </c>
      <c r="H188" s="111">
        <v>10397191</v>
      </c>
      <c r="J188" t="s">
        <v>25</v>
      </c>
      <c r="O188" t="s">
        <v>25</v>
      </c>
      <c r="P188" s="112"/>
      <c r="Q188" s="206" t="s">
        <v>8</v>
      </c>
      <c r="R188" s="206" t="s">
        <v>4406</v>
      </c>
      <c r="S188" s="206"/>
      <c r="T188" s="386" t="s">
        <v>4582</v>
      </c>
      <c r="U188" s="386">
        <v>12438</v>
      </c>
      <c r="V188" s="90">
        <v>241.20465999999999</v>
      </c>
      <c r="W188" s="90">
        <f t="shared" si="73"/>
        <v>3000103.5610799999</v>
      </c>
      <c r="X188" s="89" t="s">
        <v>4406</v>
      </c>
      <c r="AH188" s="97">
        <v>168</v>
      </c>
      <c r="AI188" s="111" t="s">
        <v>5042</v>
      </c>
      <c r="AJ188" s="111">
        <v>30000</v>
      </c>
      <c r="AK188" s="97">
        <v>7</v>
      </c>
      <c r="AL188" s="20">
        <f t="shared" si="74"/>
        <v>669</v>
      </c>
      <c r="AM188" s="115">
        <f t="shared" si="75"/>
        <v>20070000</v>
      </c>
      <c r="AN188" s="20"/>
    </row>
    <row r="189" spans="5:43">
      <c r="G189" s="206" t="s">
        <v>5541</v>
      </c>
      <c r="H189" s="111">
        <v>195059.35799999998</v>
      </c>
      <c r="J189" t="s">
        <v>25</v>
      </c>
      <c r="P189" s="112"/>
      <c r="Q189" s="206"/>
      <c r="R189" s="71" t="s">
        <v>180</v>
      </c>
      <c r="S189" s="206" t="s">
        <v>267</v>
      </c>
      <c r="T189" s="166" t="s">
        <v>4591</v>
      </c>
      <c r="U189" s="166">
        <v>27363</v>
      </c>
      <c r="V189" s="111">
        <v>239.3886</v>
      </c>
      <c r="W189" s="111">
        <f t="shared" si="73"/>
        <v>6550390.2617999995</v>
      </c>
      <c r="X189" s="97" t="s">
        <v>743</v>
      </c>
      <c r="AB189" t="s">
        <v>25</v>
      </c>
      <c r="AH189" s="97">
        <v>169</v>
      </c>
      <c r="AI189" s="111" t="s">
        <v>5001</v>
      </c>
      <c r="AJ189" s="111">
        <v>-10000000</v>
      </c>
      <c r="AK189" s="97">
        <v>0</v>
      </c>
      <c r="AL189" s="20">
        <f t="shared" si="74"/>
        <v>662</v>
      </c>
      <c r="AM189" s="115">
        <f t="shared" si="75"/>
        <v>-6620000000</v>
      </c>
      <c r="AN189" s="20" t="s">
        <v>4961</v>
      </c>
    </row>
    <row r="190" spans="5:43">
      <c r="G190" s="206" t="s">
        <v>5546</v>
      </c>
      <c r="H190" s="111">
        <v>744082</v>
      </c>
      <c r="P190" s="112"/>
      <c r="Q190" s="206"/>
      <c r="R190" s="206" t="s">
        <v>4399</v>
      </c>
      <c r="S190" s="111">
        <v>3000000</v>
      </c>
      <c r="T190" s="166" t="s">
        <v>4591</v>
      </c>
      <c r="U190" s="166">
        <v>27363</v>
      </c>
      <c r="V190" s="111">
        <v>239.3886</v>
      </c>
      <c r="W190" s="111">
        <f t="shared" si="73"/>
        <v>6550390.2617999995</v>
      </c>
      <c r="X190" s="97" t="s">
        <v>452</v>
      </c>
      <c r="AH190" s="97">
        <v>170</v>
      </c>
      <c r="AI190" s="111" t="s">
        <v>5001</v>
      </c>
      <c r="AJ190" s="111">
        <v>6000000</v>
      </c>
      <c r="AK190" s="97">
        <v>8</v>
      </c>
      <c r="AL190" s="20">
        <f t="shared" si="74"/>
        <v>662</v>
      </c>
      <c r="AM190" s="115">
        <f t="shared" si="75"/>
        <v>3972000000</v>
      </c>
      <c r="AN190" s="20"/>
      <c r="AP190" t="s">
        <v>25</v>
      </c>
    </row>
    <row r="191" spans="5:43">
      <c r="G191" s="206" t="s">
        <v>5548</v>
      </c>
      <c r="H191" s="111">
        <v>920308.446</v>
      </c>
      <c r="K191" t="s">
        <v>25</v>
      </c>
      <c r="O191" t="s">
        <v>25</v>
      </c>
      <c r="P191" s="112"/>
      <c r="Q191" s="206"/>
      <c r="R191" s="206" t="s">
        <v>4443</v>
      </c>
      <c r="S191" s="111">
        <v>2000000</v>
      </c>
      <c r="T191" s="204" t="s">
        <v>4593</v>
      </c>
      <c r="U191" s="204">
        <v>27437</v>
      </c>
      <c r="V191" s="111">
        <v>242.4015</v>
      </c>
      <c r="W191" s="111">
        <f t="shared" si="73"/>
        <v>6650769.9555000002</v>
      </c>
      <c r="X191" s="97" t="s">
        <v>743</v>
      </c>
      <c r="AH191" s="97">
        <v>171</v>
      </c>
      <c r="AI191" s="111" t="s">
        <v>5066</v>
      </c>
      <c r="AJ191" s="111">
        <v>150000</v>
      </c>
      <c r="AK191" s="97">
        <v>7</v>
      </c>
      <c r="AL191" s="20">
        <f>AL192+AK191</f>
        <v>654</v>
      </c>
      <c r="AM191" s="115">
        <f>AJ191*AL191</f>
        <v>98100000</v>
      </c>
      <c r="AN191" s="20"/>
    </row>
    <row r="192" spans="5:43">
      <c r="G192" s="206" t="s">
        <v>5549</v>
      </c>
      <c r="H192" s="111">
        <v>4635809.8416840006</v>
      </c>
      <c r="J192" t="s">
        <v>25</v>
      </c>
      <c r="P192" s="112"/>
      <c r="Q192" s="206"/>
      <c r="R192" s="206" t="s">
        <v>4451</v>
      </c>
      <c r="S192" s="111">
        <v>1000000</v>
      </c>
      <c r="T192" s="204" t="s">
        <v>4593</v>
      </c>
      <c r="U192" s="204">
        <v>29104</v>
      </c>
      <c r="V192" s="111">
        <v>242.4015</v>
      </c>
      <c r="W192" s="111">
        <f t="shared" si="73"/>
        <v>7054853.2560000001</v>
      </c>
      <c r="X192" s="97" t="s">
        <v>452</v>
      </c>
      <c r="AH192" s="97">
        <v>172</v>
      </c>
      <c r="AI192" s="111" t="s">
        <v>5099</v>
      </c>
      <c r="AJ192" s="111">
        <v>400000</v>
      </c>
      <c r="AK192" s="97">
        <v>1</v>
      </c>
      <c r="AL192" s="20">
        <f>AL193+AK192</f>
        <v>647</v>
      </c>
      <c r="AM192" s="115">
        <f>AJ192*AL192</f>
        <v>258800000</v>
      </c>
      <c r="AN192" s="20"/>
    </row>
    <row r="193" spans="7:45">
      <c r="G193" s="206" t="s">
        <v>5579</v>
      </c>
      <c r="H193" s="111">
        <v>58508002.009000003</v>
      </c>
      <c r="J193" t="s">
        <v>25</v>
      </c>
      <c r="O193" t="s">
        <v>5534</v>
      </c>
      <c r="P193" s="112"/>
      <c r="Q193" s="206"/>
      <c r="R193" s="206" t="s">
        <v>4455</v>
      </c>
      <c r="S193" s="111">
        <v>2000000</v>
      </c>
      <c r="T193" s="206" t="s">
        <v>4609</v>
      </c>
      <c r="U193" s="206">
        <v>8991</v>
      </c>
      <c r="V193" s="111">
        <v>238.64867000000001</v>
      </c>
      <c r="W193" s="111">
        <f t="shared" si="73"/>
        <v>2145690.19197</v>
      </c>
      <c r="X193" s="97" t="s">
        <v>743</v>
      </c>
      <c r="AH193" s="97">
        <v>173</v>
      </c>
      <c r="AI193" s="111" t="s">
        <v>5102</v>
      </c>
      <c r="AJ193" s="111">
        <v>-100000</v>
      </c>
      <c r="AK193" s="97">
        <v>1</v>
      </c>
      <c r="AL193" s="20">
        <f>AL194+AK193</f>
        <v>646</v>
      </c>
      <c r="AM193" s="115">
        <f>AJ193*AL193</f>
        <v>-64600000</v>
      </c>
      <c r="AN193" s="20"/>
    </row>
    <row r="194" spans="7:45">
      <c r="G194" s="206" t="s">
        <v>5581</v>
      </c>
      <c r="H194" s="111">
        <v>2245515.5410799999</v>
      </c>
      <c r="P194" s="112"/>
      <c r="Q194" s="206"/>
      <c r="R194" s="206" t="s">
        <v>977</v>
      </c>
      <c r="S194" s="111">
        <v>3000000</v>
      </c>
      <c r="T194" s="206" t="s">
        <v>4609</v>
      </c>
      <c r="U194" s="206">
        <v>8991</v>
      </c>
      <c r="V194" s="111">
        <v>238.64867000000001</v>
      </c>
      <c r="W194" s="111">
        <f t="shared" si="73"/>
        <v>2145690.19197</v>
      </c>
      <c r="X194" s="97" t="s">
        <v>452</v>
      </c>
      <c r="AH194" s="97">
        <v>174</v>
      </c>
      <c r="AI194" s="111" t="s">
        <v>5106</v>
      </c>
      <c r="AJ194" s="111">
        <v>10000000</v>
      </c>
      <c r="AK194" s="97">
        <v>1</v>
      </c>
      <c r="AL194" s="20">
        <f>AL195+AK194</f>
        <v>645</v>
      </c>
      <c r="AM194" s="115">
        <f>AJ194*AL194</f>
        <v>6450000000</v>
      </c>
      <c r="AN194" s="20" t="s">
        <v>4673</v>
      </c>
      <c r="AS194" t="s">
        <v>25</v>
      </c>
    </row>
    <row r="195" spans="7:45">
      <c r="G195" s="206" t="s">
        <v>5583</v>
      </c>
      <c r="H195" s="111">
        <v>18404699.3442</v>
      </c>
      <c r="Q195" s="206"/>
      <c r="R195" s="206" t="s">
        <v>4582</v>
      </c>
      <c r="S195" s="111">
        <v>3000000</v>
      </c>
      <c r="T195" s="206" t="s">
        <v>4620</v>
      </c>
      <c r="U195" s="206">
        <v>18170</v>
      </c>
      <c r="V195" s="111">
        <v>240.48475999999999</v>
      </c>
      <c r="W195" s="111">
        <f t="shared" si="73"/>
        <v>4369608.0892000003</v>
      </c>
      <c r="X195" s="97" t="s">
        <v>743</v>
      </c>
      <c r="AH195" s="97">
        <v>175</v>
      </c>
      <c r="AI195" s="111" t="s">
        <v>5111</v>
      </c>
      <c r="AJ195" s="111">
        <v>-400000</v>
      </c>
      <c r="AK195" s="97">
        <v>6</v>
      </c>
      <c r="AL195" s="20">
        <f t="shared" ref="AL195:AL203" si="76">AL196+AK195</f>
        <v>644</v>
      </c>
      <c r="AM195" s="115">
        <f t="shared" ref="AM195:AM203" si="77">AJ195*AL195</f>
        <v>-257600000</v>
      </c>
      <c r="AN195" s="20"/>
    </row>
    <row r="196" spans="7:45">
      <c r="G196" s="206" t="s">
        <v>5586</v>
      </c>
      <c r="H196" s="111">
        <v>2264658.5922190002</v>
      </c>
      <c r="J196" t="s">
        <v>25</v>
      </c>
      <c r="Q196" s="206" t="s">
        <v>4749</v>
      </c>
      <c r="R196" s="206" t="s">
        <v>4744</v>
      </c>
      <c r="S196" s="111">
        <v>-800000</v>
      </c>
      <c r="T196" s="206" t="s">
        <v>4620</v>
      </c>
      <c r="U196" s="206">
        <v>18170</v>
      </c>
      <c r="V196" s="111">
        <v>240.48475999999999</v>
      </c>
      <c r="W196" s="111">
        <f t="shared" si="73"/>
        <v>4369608.0892000003</v>
      </c>
      <c r="X196" s="97" t="s">
        <v>452</v>
      </c>
      <c r="AH196" s="97">
        <v>176</v>
      </c>
      <c r="AI196" s="111" t="s">
        <v>5118</v>
      </c>
      <c r="AJ196" s="111">
        <v>1300000</v>
      </c>
      <c r="AK196" s="97">
        <v>0</v>
      </c>
      <c r="AL196" s="20">
        <f t="shared" si="76"/>
        <v>638</v>
      </c>
      <c r="AM196" s="115">
        <f t="shared" si="77"/>
        <v>829400000</v>
      </c>
      <c r="AN196" s="20"/>
      <c r="AR196" t="s">
        <v>25</v>
      </c>
    </row>
    <row r="197" spans="7:45">
      <c r="G197" s="206" t="s">
        <v>5588</v>
      </c>
      <c r="H197" s="111">
        <v>22877413.789960001</v>
      </c>
      <c r="J197" t="s">
        <v>25</v>
      </c>
      <c r="K197" t="s">
        <v>25</v>
      </c>
      <c r="Q197" s="206" t="s">
        <v>4750</v>
      </c>
      <c r="R197" s="206" t="s">
        <v>4744</v>
      </c>
      <c r="S197" s="111">
        <v>-900000</v>
      </c>
      <c r="T197" s="206" t="s">
        <v>4622</v>
      </c>
      <c r="U197" s="206">
        <v>36797</v>
      </c>
      <c r="V197" s="111">
        <v>239.0822</v>
      </c>
      <c r="W197" s="111">
        <f t="shared" si="73"/>
        <v>8797507.7134000007</v>
      </c>
      <c r="X197" s="97" t="s">
        <v>743</v>
      </c>
      <c r="AH197" s="97">
        <v>177</v>
      </c>
      <c r="AI197" s="111" t="s">
        <v>5118</v>
      </c>
      <c r="AJ197" s="111">
        <v>230000</v>
      </c>
      <c r="AK197" s="97">
        <v>1</v>
      </c>
      <c r="AL197" s="20">
        <f t="shared" si="76"/>
        <v>638</v>
      </c>
      <c r="AM197" s="115">
        <f t="shared" si="77"/>
        <v>146740000</v>
      </c>
      <c r="AN197" s="20"/>
    </row>
    <row r="198" spans="7:45">
      <c r="G198" s="206" t="s">
        <v>5591</v>
      </c>
      <c r="H198" s="111">
        <v>2362539.4373280001</v>
      </c>
      <c r="J198" t="s">
        <v>25</v>
      </c>
      <c r="Q198" s="206" t="s">
        <v>4750</v>
      </c>
      <c r="R198" s="206" t="s">
        <v>964</v>
      </c>
      <c r="S198" s="111">
        <v>-1100000</v>
      </c>
      <c r="T198" s="206" t="s">
        <v>4622</v>
      </c>
      <c r="U198" s="206">
        <v>36797</v>
      </c>
      <c r="V198" s="111">
        <v>239.0822</v>
      </c>
      <c r="W198" s="111">
        <f t="shared" si="73"/>
        <v>8797507.7134000007</v>
      </c>
      <c r="X198" s="97" t="s">
        <v>452</v>
      </c>
      <c r="Z198" t="s">
        <v>25</v>
      </c>
      <c r="AH198" s="97">
        <v>178</v>
      </c>
      <c r="AI198" s="111" t="s">
        <v>5121</v>
      </c>
      <c r="AJ198" s="111">
        <v>880000</v>
      </c>
      <c r="AK198" s="97">
        <v>4</v>
      </c>
      <c r="AL198" s="20">
        <f t="shared" si="76"/>
        <v>637</v>
      </c>
      <c r="AM198" s="115">
        <f t="shared" si="77"/>
        <v>560560000</v>
      </c>
      <c r="AN198" s="20"/>
    </row>
    <row r="199" spans="7:45">
      <c r="G199" s="206" t="s">
        <v>5592</v>
      </c>
      <c r="H199" s="111">
        <v>16042676.656608</v>
      </c>
      <c r="P199" s="112"/>
      <c r="Q199" s="188" t="s">
        <v>1069</v>
      </c>
      <c r="R199" s="188" t="s">
        <v>4772</v>
      </c>
      <c r="S199" s="193">
        <v>30000000</v>
      </c>
      <c r="T199" s="206" t="s">
        <v>4631</v>
      </c>
      <c r="U199" s="206">
        <v>28066</v>
      </c>
      <c r="V199" s="111">
        <v>237.56970000000001</v>
      </c>
      <c r="W199" s="111">
        <f t="shared" si="73"/>
        <v>6667631.2002000008</v>
      </c>
      <c r="X199" s="97" t="s">
        <v>743</v>
      </c>
      <c r="AH199" s="97">
        <v>179</v>
      </c>
      <c r="AI199" s="111" t="s">
        <v>5125</v>
      </c>
      <c r="AJ199" s="111">
        <v>-900000</v>
      </c>
      <c r="AK199" s="97">
        <v>1</v>
      </c>
      <c r="AL199" s="20">
        <f t="shared" si="76"/>
        <v>633</v>
      </c>
      <c r="AM199" s="115">
        <f t="shared" si="77"/>
        <v>-569700000</v>
      </c>
      <c r="AN199" s="20"/>
    </row>
    <row r="200" spans="7:45">
      <c r="G200" s="206" t="s">
        <v>5593</v>
      </c>
      <c r="H200" s="111">
        <v>18403291.448284</v>
      </c>
      <c r="O200" t="s">
        <v>25</v>
      </c>
      <c r="P200" s="112"/>
      <c r="Q200" s="19" t="s">
        <v>4847</v>
      </c>
      <c r="R200" s="19" t="s">
        <v>4845</v>
      </c>
      <c r="S200" s="115">
        <v>2000000</v>
      </c>
      <c r="T200" s="206" t="s">
        <v>4631</v>
      </c>
      <c r="U200" s="206">
        <v>28066</v>
      </c>
      <c r="V200" s="111">
        <v>237.56970000000001</v>
      </c>
      <c r="W200" s="111">
        <f t="shared" si="73"/>
        <v>6667631.2002000008</v>
      </c>
      <c r="X200" s="97" t="s">
        <v>452</v>
      </c>
      <c r="Y200" t="s">
        <v>25</v>
      </c>
      <c r="AH200" s="97">
        <v>180</v>
      </c>
      <c r="AI200" s="111" t="s">
        <v>975</v>
      </c>
      <c r="AJ200" s="111">
        <v>-3500000</v>
      </c>
      <c r="AK200" s="97">
        <v>1</v>
      </c>
      <c r="AL200" s="20">
        <f t="shared" si="76"/>
        <v>632</v>
      </c>
      <c r="AM200" s="115">
        <f t="shared" si="77"/>
        <v>-2212000000</v>
      </c>
      <c r="AN200" s="20"/>
      <c r="AR200" t="s">
        <v>25</v>
      </c>
    </row>
    <row r="201" spans="7:45">
      <c r="G201" s="206" t="s">
        <v>5596</v>
      </c>
      <c r="H201" s="111">
        <v>10561447.246918</v>
      </c>
      <c r="P201" s="112"/>
      <c r="Q201" s="187" t="s">
        <v>4868</v>
      </c>
      <c r="R201" s="187" t="s">
        <v>4867</v>
      </c>
      <c r="S201" s="186">
        <v>480105</v>
      </c>
      <c r="T201" s="206" t="s">
        <v>3666</v>
      </c>
      <c r="U201" s="206">
        <v>37457</v>
      </c>
      <c r="V201" s="111">
        <v>239.77</v>
      </c>
      <c r="W201" s="111">
        <f t="shared" si="73"/>
        <v>8981064.8900000006</v>
      </c>
      <c r="X201" s="97" t="s">
        <v>743</v>
      </c>
      <c r="AH201" s="97">
        <v>181</v>
      </c>
      <c r="AI201" s="111" t="s">
        <v>4253</v>
      </c>
      <c r="AJ201" s="111">
        <v>-1600000</v>
      </c>
      <c r="AK201" s="97">
        <v>1</v>
      </c>
      <c r="AL201" s="20">
        <f t="shared" si="76"/>
        <v>631</v>
      </c>
      <c r="AM201" s="115">
        <f t="shared" si="77"/>
        <v>-1009600000</v>
      </c>
      <c r="AN201" s="20"/>
      <c r="AQ201" t="s">
        <v>25</v>
      </c>
    </row>
    <row r="202" spans="7:45">
      <c r="G202" s="206" t="s">
        <v>5597</v>
      </c>
      <c r="H202" s="111">
        <v>1226811.9176660001</v>
      </c>
      <c r="J202" t="s">
        <v>25</v>
      </c>
      <c r="K202" t="s">
        <v>25</v>
      </c>
      <c r="P202" s="112"/>
      <c r="Q202" s="187"/>
      <c r="R202" s="187" t="s">
        <v>4908</v>
      </c>
      <c r="S202" s="186">
        <v>30500000</v>
      </c>
      <c r="T202" s="206" t="s">
        <v>3666</v>
      </c>
      <c r="U202" s="206">
        <v>37457</v>
      </c>
      <c r="V202" s="111">
        <v>239.77</v>
      </c>
      <c r="W202" s="111">
        <f t="shared" si="73"/>
        <v>8981064.8900000006</v>
      </c>
      <c r="X202" s="97" t="s">
        <v>452</v>
      </c>
      <c r="Y202" s="94" t="s">
        <v>25</v>
      </c>
      <c r="AH202" s="97">
        <v>182</v>
      </c>
      <c r="AI202" s="111" t="s">
        <v>5130</v>
      </c>
      <c r="AJ202" s="111">
        <v>-800000</v>
      </c>
      <c r="AK202" s="97">
        <v>7</v>
      </c>
      <c r="AL202" s="20">
        <f t="shared" si="76"/>
        <v>630</v>
      </c>
      <c r="AM202" s="115">
        <f t="shared" si="77"/>
        <v>-504000000</v>
      </c>
      <c r="AN202" s="20"/>
    </row>
    <row r="203" spans="7:45">
      <c r="G203" s="206" t="s">
        <v>5598</v>
      </c>
      <c r="H203" s="111">
        <v>39373959.190266006</v>
      </c>
      <c r="J203" t="s">
        <v>25</v>
      </c>
      <c r="P203" s="112"/>
      <c r="Q203" s="19" t="s">
        <v>4936</v>
      </c>
      <c r="R203" s="19" t="s">
        <v>4931</v>
      </c>
      <c r="S203" s="115">
        <v>-400000</v>
      </c>
      <c r="T203" s="206" t="s">
        <v>4643</v>
      </c>
      <c r="U203" s="206">
        <v>38412</v>
      </c>
      <c r="V203" s="111">
        <v>239.03</v>
      </c>
      <c r="W203" s="111">
        <f t="shared" si="73"/>
        <v>9181620.3599999994</v>
      </c>
      <c r="X203" s="97" t="s">
        <v>743</v>
      </c>
      <c r="Y203" t="s">
        <v>25</v>
      </c>
      <c r="AH203" s="97">
        <v>183</v>
      </c>
      <c r="AI203" s="111" t="s">
        <v>5138</v>
      </c>
      <c r="AJ203" s="111">
        <v>50000</v>
      </c>
      <c r="AK203" s="97">
        <v>2</v>
      </c>
      <c r="AL203" s="20">
        <f t="shared" si="76"/>
        <v>623</v>
      </c>
      <c r="AM203" s="115">
        <f t="shared" si="77"/>
        <v>31150000</v>
      </c>
      <c r="AN203" s="20"/>
    </row>
    <row r="204" spans="7:45">
      <c r="G204" s="206" t="s">
        <v>5603</v>
      </c>
      <c r="H204" s="111">
        <v>27703487.063980002</v>
      </c>
      <c r="P204" s="112"/>
      <c r="Q204" s="187" t="s">
        <v>5045</v>
      </c>
      <c r="R204" s="187" t="s">
        <v>4966</v>
      </c>
      <c r="S204" s="186">
        <v>-349550</v>
      </c>
      <c r="T204" s="206" t="s">
        <v>4643</v>
      </c>
      <c r="U204" s="206">
        <v>38412</v>
      </c>
      <c r="V204" s="111">
        <v>239.03</v>
      </c>
      <c r="W204" s="111">
        <f t="shared" si="73"/>
        <v>9181620.3599999994</v>
      </c>
      <c r="X204" s="97" t="s">
        <v>452</v>
      </c>
      <c r="AH204" s="97">
        <v>184</v>
      </c>
      <c r="AI204" s="111" t="s">
        <v>5140</v>
      </c>
      <c r="AJ204" s="111">
        <v>400000</v>
      </c>
      <c r="AK204" s="97">
        <v>8</v>
      </c>
      <c r="AL204" s="20">
        <f t="shared" ref="AL204:AL213" si="78">AL205+AK204</f>
        <v>621</v>
      </c>
      <c r="AM204" s="115">
        <f t="shared" ref="AM204:AM213" si="79">AJ204*AL204</f>
        <v>248400000</v>
      </c>
      <c r="AN204" s="20"/>
      <c r="AR204" t="s">
        <v>25</v>
      </c>
    </row>
    <row r="205" spans="7:45">
      <c r="G205" s="206" t="s">
        <v>5604</v>
      </c>
      <c r="H205" s="111">
        <v>8738896.6890719999</v>
      </c>
      <c r="P205" s="112"/>
      <c r="Q205" s="19" t="s">
        <v>4936</v>
      </c>
      <c r="R205" s="19" t="s">
        <v>5106</v>
      </c>
      <c r="S205" s="115">
        <v>-200000</v>
      </c>
      <c r="T205" s="206" t="s">
        <v>4646</v>
      </c>
      <c r="U205" s="206">
        <v>49555</v>
      </c>
      <c r="V205" s="111">
        <v>238.345</v>
      </c>
      <c r="W205" s="111">
        <f t="shared" si="73"/>
        <v>11811186.475</v>
      </c>
      <c r="X205" s="97" t="s">
        <v>743</v>
      </c>
      <c r="AH205" s="97">
        <v>185</v>
      </c>
      <c r="AI205" s="111" t="s">
        <v>5116</v>
      </c>
      <c r="AJ205" s="111">
        <v>-10000000</v>
      </c>
      <c r="AK205" s="97">
        <v>0</v>
      </c>
      <c r="AL205" s="20">
        <f t="shared" si="78"/>
        <v>613</v>
      </c>
      <c r="AM205" s="115">
        <f t="shared" si="79"/>
        <v>-6130000000</v>
      </c>
      <c r="AN205" s="20" t="s">
        <v>4961</v>
      </c>
    </row>
    <row r="206" spans="7:45">
      <c r="G206" s="206" t="s">
        <v>4182</v>
      </c>
      <c r="H206" s="111">
        <v>348201.66738</v>
      </c>
      <c r="P206" s="112"/>
      <c r="Q206" s="19" t="s">
        <v>4936</v>
      </c>
      <c r="R206" s="19" t="s">
        <v>5138</v>
      </c>
      <c r="S206" s="115">
        <v>-122000</v>
      </c>
      <c r="T206" s="206" t="s">
        <v>4646</v>
      </c>
      <c r="U206" s="206">
        <v>49555</v>
      </c>
      <c r="V206" s="111">
        <v>238.345</v>
      </c>
      <c r="W206" s="111">
        <f t="shared" si="73"/>
        <v>11811186.475</v>
      </c>
      <c r="X206" s="97" t="s">
        <v>452</v>
      </c>
      <c r="AH206" s="97">
        <v>186</v>
      </c>
      <c r="AI206" s="111" t="s">
        <v>5116</v>
      </c>
      <c r="AJ206" s="111">
        <v>3000000</v>
      </c>
      <c r="AK206" s="97">
        <v>1</v>
      </c>
      <c r="AL206" s="20">
        <f t="shared" si="78"/>
        <v>613</v>
      </c>
      <c r="AM206" s="115">
        <f t="shared" si="79"/>
        <v>1839000000</v>
      </c>
      <c r="AN206" s="20"/>
    </row>
    <row r="207" spans="7:45">
      <c r="G207" s="206" t="s">
        <v>5606</v>
      </c>
      <c r="H207" s="111">
        <v>4158090.8935679998</v>
      </c>
      <c r="Q207" s="19" t="s">
        <v>4936</v>
      </c>
      <c r="R207" s="19" t="s">
        <v>5146</v>
      </c>
      <c r="S207" s="115">
        <v>-700000</v>
      </c>
      <c r="T207" s="206" t="s">
        <v>4659</v>
      </c>
      <c r="U207" s="206">
        <v>160187</v>
      </c>
      <c r="V207" s="111">
        <v>257.49799999999999</v>
      </c>
      <c r="W207" s="111">
        <f t="shared" si="73"/>
        <v>41247832.126000002</v>
      </c>
      <c r="X207" s="97" t="s">
        <v>743</v>
      </c>
      <c r="Y207" t="s">
        <v>25</v>
      </c>
      <c r="AH207" s="97">
        <v>187</v>
      </c>
      <c r="AI207" s="111" t="s">
        <v>5152</v>
      </c>
      <c r="AJ207" s="111">
        <v>500000</v>
      </c>
      <c r="AK207" s="97">
        <v>23</v>
      </c>
      <c r="AL207" s="20">
        <f t="shared" si="78"/>
        <v>612</v>
      </c>
      <c r="AM207" s="115">
        <f t="shared" si="79"/>
        <v>306000000</v>
      </c>
      <c r="AN207" s="20"/>
      <c r="AR207" t="s">
        <v>25</v>
      </c>
    </row>
    <row r="208" spans="7:45">
      <c r="G208" s="206" t="s">
        <v>5610</v>
      </c>
      <c r="H208" s="111">
        <v>110770524.97879399</v>
      </c>
      <c r="O208" t="s">
        <v>25</v>
      </c>
      <c r="P208" s="112"/>
      <c r="Q208" s="19" t="s">
        <v>4936</v>
      </c>
      <c r="R208" s="19" t="s">
        <v>5156</v>
      </c>
      <c r="S208" s="115">
        <v>-60000</v>
      </c>
      <c r="T208" s="206" t="s">
        <v>4659</v>
      </c>
      <c r="U208" s="206">
        <v>160187</v>
      </c>
      <c r="V208" s="111">
        <v>257.49799999999999</v>
      </c>
      <c r="W208" s="111">
        <f t="shared" si="73"/>
        <v>41247832.126000002</v>
      </c>
      <c r="X208" s="97" t="s">
        <v>452</v>
      </c>
      <c r="AA208" t="s">
        <v>25</v>
      </c>
      <c r="AH208" s="97">
        <v>188</v>
      </c>
      <c r="AI208" s="111" t="s">
        <v>5173</v>
      </c>
      <c r="AJ208" s="111">
        <v>101268</v>
      </c>
      <c r="AK208" s="97">
        <v>1</v>
      </c>
      <c r="AL208" s="20">
        <f t="shared" si="78"/>
        <v>589</v>
      </c>
      <c r="AM208" s="115">
        <f t="shared" si="79"/>
        <v>59646852</v>
      </c>
      <c r="AN208" s="20"/>
      <c r="AR208" t="s">
        <v>25</v>
      </c>
    </row>
    <row r="209" spans="7:46">
      <c r="G209" s="206" t="s">
        <v>5622</v>
      </c>
      <c r="H209" s="111">
        <v>6684147.0064600008</v>
      </c>
      <c r="J209" t="s">
        <v>25</v>
      </c>
      <c r="P209" s="112"/>
      <c r="Q209" s="19" t="s">
        <v>4406</v>
      </c>
      <c r="R209" s="19" t="s">
        <v>5215</v>
      </c>
      <c r="S209" s="115">
        <v>700000</v>
      </c>
      <c r="T209" s="206" t="s">
        <v>4666</v>
      </c>
      <c r="U209" s="206">
        <v>144401</v>
      </c>
      <c r="V209" s="111">
        <v>258.5061</v>
      </c>
      <c r="W209" s="111">
        <f t="shared" si="73"/>
        <v>37328539.346100003</v>
      </c>
      <c r="X209" s="97" t="s">
        <v>743</v>
      </c>
      <c r="Z209" t="s">
        <v>25</v>
      </c>
      <c r="AH209" s="97">
        <v>189</v>
      </c>
      <c r="AI209" s="111" t="s">
        <v>5176</v>
      </c>
      <c r="AJ209" s="111">
        <v>101000</v>
      </c>
      <c r="AK209" s="97">
        <v>34</v>
      </c>
      <c r="AL209" s="20">
        <f t="shared" si="78"/>
        <v>588</v>
      </c>
      <c r="AM209" s="115">
        <f t="shared" si="79"/>
        <v>59388000</v>
      </c>
      <c r="AN209" s="20"/>
      <c r="AP209" t="s">
        <v>25</v>
      </c>
      <c r="AT209" s="94" t="s">
        <v>25</v>
      </c>
    </row>
    <row r="210" spans="7:46">
      <c r="G210" s="206" t="s">
        <v>5625</v>
      </c>
      <c r="H210" s="111">
        <v>1826535.2307560001</v>
      </c>
      <c r="J210" t="s">
        <v>25</v>
      </c>
      <c r="Q210" s="187" t="s">
        <v>1069</v>
      </c>
      <c r="R210" s="187" t="s">
        <v>5234</v>
      </c>
      <c r="S210" s="186">
        <v>40000000</v>
      </c>
      <c r="T210" s="206" t="s">
        <v>4666</v>
      </c>
      <c r="U210" s="206">
        <v>144401</v>
      </c>
      <c r="V210" s="111">
        <v>258.5061</v>
      </c>
      <c r="W210" s="111">
        <f t="shared" si="73"/>
        <v>37328539.346100003</v>
      </c>
      <c r="X210" s="97" t="s">
        <v>452</v>
      </c>
      <c r="AH210" s="97">
        <v>190</v>
      </c>
      <c r="AI210" s="111" t="s">
        <v>5201</v>
      </c>
      <c r="AJ210" s="111">
        <v>-488602</v>
      </c>
      <c r="AK210" s="97">
        <v>5</v>
      </c>
      <c r="AL210" s="20">
        <f t="shared" si="78"/>
        <v>554</v>
      </c>
      <c r="AM210" s="115">
        <f t="shared" si="79"/>
        <v>-270685508</v>
      </c>
      <c r="AN210" s="20"/>
      <c r="AR210" t="s">
        <v>25</v>
      </c>
    </row>
    <row r="211" spans="7:46">
      <c r="G211" s="206" t="s">
        <v>5629</v>
      </c>
      <c r="H211" s="111">
        <v>3577366.94</v>
      </c>
      <c r="P211" s="112"/>
      <c r="Q211" s="19" t="s">
        <v>4406</v>
      </c>
      <c r="R211" s="19" t="s">
        <v>5238</v>
      </c>
      <c r="S211" s="115">
        <v>-800000</v>
      </c>
      <c r="T211" s="166" t="s">
        <v>4672</v>
      </c>
      <c r="U211" s="166">
        <v>196500</v>
      </c>
      <c r="V211" s="111">
        <v>254.452</v>
      </c>
      <c r="W211" s="111">
        <f t="shared" si="73"/>
        <v>49999818</v>
      </c>
      <c r="X211" s="97" t="s">
        <v>4675</v>
      </c>
      <c r="Y211" t="s">
        <v>25</v>
      </c>
      <c r="AH211" s="97">
        <v>191</v>
      </c>
      <c r="AI211" s="111" t="s">
        <v>5215</v>
      </c>
      <c r="AJ211" s="111">
        <v>360000</v>
      </c>
      <c r="AK211" s="97">
        <v>10</v>
      </c>
      <c r="AL211" s="20">
        <f t="shared" si="78"/>
        <v>549</v>
      </c>
      <c r="AM211" s="115">
        <f t="shared" si="79"/>
        <v>197640000</v>
      </c>
      <c r="AN211" s="20"/>
      <c r="AR211" t="s">
        <v>25</v>
      </c>
    </row>
    <row r="212" spans="7:46">
      <c r="G212" s="206" t="s">
        <v>5631</v>
      </c>
      <c r="H212" s="111">
        <v>21239029.173567999</v>
      </c>
      <c r="P212" s="112"/>
      <c r="Q212" s="206" t="s">
        <v>4406</v>
      </c>
      <c r="R212" s="206" t="s">
        <v>5321</v>
      </c>
      <c r="S212" s="115">
        <v>700000</v>
      </c>
      <c r="T212" s="206" t="s">
        <v>4672</v>
      </c>
      <c r="U212" s="206">
        <v>2561</v>
      </c>
      <c r="V212" s="111">
        <v>254.536</v>
      </c>
      <c r="W212" s="111">
        <f t="shared" si="73"/>
        <v>651866.696</v>
      </c>
      <c r="X212" s="97" t="s">
        <v>4676</v>
      </c>
      <c r="AH212" s="97">
        <v>192</v>
      </c>
      <c r="AI212" s="111" t="s">
        <v>5225</v>
      </c>
      <c r="AJ212" s="111">
        <v>-3600000</v>
      </c>
      <c r="AK212" s="97">
        <v>4</v>
      </c>
      <c r="AL212" s="20">
        <f t="shared" si="78"/>
        <v>539</v>
      </c>
      <c r="AM212" s="115">
        <f t="shared" si="79"/>
        <v>-1940400000</v>
      </c>
      <c r="AN212" s="20"/>
      <c r="AS212" t="s">
        <v>25</v>
      </c>
    </row>
    <row r="213" spans="7:46">
      <c r="G213" s="206" t="s">
        <v>5634</v>
      </c>
      <c r="H213" s="111">
        <v>242957252.40163299</v>
      </c>
      <c r="J213" t="s">
        <v>25</v>
      </c>
      <c r="Q213" s="187" t="s">
        <v>5337</v>
      </c>
      <c r="R213" s="187" t="s">
        <v>5335</v>
      </c>
      <c r="S213" s="186">
        <v>-26000000</v>
      </c>
      <c r="T213" s="206" t="s">
        <v>4716</v>
      </c>
      <c r="U213" s="206">
        <v>-11795</v>
      </c>
      <c r="V213" s="111">
        <v>254.334</v>
      </c>
      <c r="W213" s="111">
        <f t="shared" si="73"/>
        <v>-2999869.5300000003</v>
      </c>
      <c r="X213" s="97" t="s">
        <v>4717</v>
      </c>
      <c r="AA213" t="s">
        <v>25</v>
      </c>
      <c r="AH213" s="97">
        <v>193</v>
      </c>
      <c r="AI213" s="111" t="s">
        <v>5231</v>
      </c>
      <c r="AJ213" s="111">
        <v>-1000000</v>
      </c>
      <c r="AK213" s="97">
        <v>5</v>
      </c>
      <c r="AL213" s="20">
        <f t="shared" si="78"/>
        <v>535</v>
      </c>
      <c r="AM213" s="115">
        <f t="shared" si="79"/>
        <v>-535000000</v>
      </c>
      <c r="AN213" s="20"/>
      <c r="AR213" t="s">
        <v>25</v>
      </c>
    </row>
    <row r="214" spans="7:46">
      <c r="G214" s="206" t="s">
        <v>5638</v>
      </c>
      <c r="H214" s="111">
        <v>7357181.2750800001</v>
      </c>
      <c r="P214" s="112"/>
      <c r="Q214" s="187" t="s">
        <v>5337</v>
      </c>
      <c r="R214" s="187" t="s">
        <v>5339</v>
      </c>
      <c r="S214" s="186">
        <v>-95900000</v>
      </c>
      <c r="T214" s="206" t="s">
        <v>4716</v>
      </c>
      <c r="U214" s="206">
        <v>11795</v>
      </c>
      <c r="V214" s="111">
        <v>254.334</v>
      </c>
      <c r="W214" s="111">
        <f t="shared" si="73"/>
        <v>2999869.5300000003</v>
      </c>
      <c r="X214" s="97" t="s">
        <v>4718</v>
      </c>
      <c r="AH214" s="97">
        <v>194</v>
      </c>
      <c r="AI214" s="111" t="s">
        <v>5236</v>
      </c>
      <c r="AJ214" s="111">
        <v>360000</v>
      </c>
      <c r="AK214" s="97">
        <v>2</v>
      </c>
      <c r="AL214" s="20">
        <f t="shared" ref="AL214:AL274" si="80">AL215+AK214</f>
        <v>530</v>
      </c>
      <c r="AM214" s="115">
        <f t="shared" ref="AM214:AM274" si="81">AJ214*AL214</f>
        <v>190800000</v>
      </c>
      <c r="AN214" s="20"/>
      <c r="AQ214" t="s">
        <v>25</v>
      </c>
    </row>
    <row r="215" spans="7:46">
      <c r="G215" s="206" t="s">
        <v>5640</v>
      </c>
      <c r="H215" s="111">
        <v>14951411.942400001</v>
      </c>
      <c r="J215" t="s">
        <v>25</v>
      </c>
      <c r="Q215" s="187" t="s">
        <v>5337</v>
      </c>
      <c r="R215" s="187" t="s">
        <v>5340</v>
      </c>
      <c r="S215" s="186">
        <v>-28950000</v>
      </c>
      <c r="T215" s="206" t="s">
        <v>4730</v>
      </c>
      <c r="U215" s="206">
        <v>260</v>
      </c>
      <c r="V215" s="111">
        <v>263.19</v>
      </c>
      <c r="W215" s="111">
        <f t="shared" si="73"/>
        <v>68429.399999999994</v>
      </c>
      <c r="X215" s="97" t="s">
        <v>452</v>
      </c>
      <c r="AH215" s="97">
        <v>195</v>
      </c>
      <c r="AI215" s="111" t="s">
        <v>5241</v>
      </c>
      <c r="AJ215" s="111">
        <v>2000000</v>
      </c>
      <c r="AK215" s="97">
        <v>1</v>
      </c>
      <c r="AL215" s="20">
        <f t="shared" si="80"/>
        <v>528</v>
      </c>
      <c r="AM215" s="115">
        <f t="shared" si="81"/>
        <v>1056000000</v>
      </c>
      <c r="AN215" s="20"/>
    </row>
    <row r="216" spans="7:46">
      <c r="G216" s="206" t="s">
        <v>5644</v>
      </c>
      <c r="H216" s="111">
        <v>47928209.377011999</v>
      </c>
      <c r="J216" t="s">
        <v>25</v>
      </c>
      <c r="Q216" s="187" t="s">
        <v>5356</v>
      </c>
      <c r="R216" s="187" t="s">
        <v>5354</v>
      </c>
      <c r="S216" s="186">
        <v>1896188</v>
      </c>
      <c r="T216" s="206" t="s">
        <v>4739</v>
      </c>
      <c r="U216" s="206">
        <v>15257</v>
      </c>
      <c r="V216" s="111">
        <v>262.19018</v>
      </c>
      <c r="W216" s="111">
        <f t="shared" si="73"/>
        <v>4000235.57626</v>
      </c>
      <c r="X216" s="97" t="s">
        <v>452</v>
      </c>
      <c r="AH216" s="97">
        <v>196</v>
      </c>
      <c r="AI216" s="111" t="s">
        <v>5243</v>
      </c>
      <c r="AJ216" s="111">
        <v>20000000</v>
      </c>
      <c r="AK216" s="97">
        <v>0</v>
      </c>
      <c r="AL216" s="20">
        <f t="shared" si="80"/>
        <v>527</v>
      </c>
      <c r="AM216" s="115">
        <f t="shared" si="81"/>
        <v>10540000000</v>
      </c>
      <c r="AN216" s="20" t="s">
        <v>4673</v>
      </c>
      <c r="AR216" t="s">
        <v>25</v>
      </c>
    </row>
    <row r="217" spans="7:46">
      <c r="G217" s="206" t="s">
        <v>5646</v>
      </c>
      <c r="H217" s="111">
        <v>2281595.69937</v>
      </c>
      <c r="Q217" s="187" t="s">
        <v>5523</v>
      </c>
      <c r="R217" s="187" t="s">
        <v>4209</v>
      </c>
      <c r="S217" s="186">
        <v>13752871.322800001</v>
      </c>
      <c r="T217" s="206" t="s">
        <v>4739</v>
      </c>
      <c r="U217" s="206">
        <v>8444</v>
      </c>
      <c r="V217" s="111">
        <v>266.43029999999999</v>
      </c>
      <c r="W217" s="111">
        <f t="shared" si="73"/>
        <v>2249737.4531999999</v>
      </c>
      <c r="X217" s="97" t="s">
        <v>452</v>
      </c>
      <c r="AH217" s="97">
        <v>197</v>
      </c>
      <c r="AI217" s="111" t="s">
        <v>5243</v>
      </c>
      <c r="AJ217" s="111">
        <v>-4700000</v>
      </c>
      <c r="AK217" s="97">
        <v>1</v>
      </c>
      <c r="AL217" s="20">
        <f t="shared" si="80"/>
        <v>527</v>
      </c>
      <c r="AM217" s="115">
        <f t="shared" si="81"/>
        <v>-2476900000</v>
      </c>
      <c r="AN217" s="20"/>
    </row>
    <row r="218" spans="7:46">
      <c r="G218" s="206" t="s">
        <v>5648</v>
      </c>
      <c r="H218" s="111">
        <v>2964916.035069</v>
      </c>
      <c r="P218" s="112"/>
      <c r="Q218" s="19" t="s">
        <v>5535</v>
      </c>
      <c r="R218" s="19" t="s">
        <v>5532</v>
      </c>
      <c r="S218" s="115">
        <v>3123901.3702000002</v>
      </c>
      <c r="T218" s="386" t="s">
        <v>4744</v>
      </c>
      <c r="U218" s="386">
        <v>-6209</v>
      </c>
      <c r="V218" s="90">
        <v>273.79649999999998</v>
      </c>
      <c r="W218" s="90">
        <f t="shared" si="73"/>
        <v>-1700002.4685</v>
      </c>
      <c r="X218" s="89" t="s">
        <v>6674</v>
      </c>
      <c r="AH218" s="97">
        <v>198</v>
      </c>
      <c r="AI218" s="111" t="s">
        <v>5246</v>
      </c>
      <c r="AJ218" s="111">
        <v>3000000</v>
      </c>
      <c r="AK218" s="97">
        <v>4</v>
      </c>
      <c r="AL218" s="20">
        <f t="shared" si="80"/>
        <v>526</v>
      </c>
      <c r="AM218" s="115">
        <f t="shared" si="81"/>
        <v>1578000000</v>
      </c>
      <c r="AN218" s="20"/>
      <c r="AS218" t="s">
        <v>25</v>
      </c>
    </row>
    <row r="219" spans="7:46">
      <c r="G219" s="206" t="s">
        <v>5649</v>
      </c>
      <c r="H219" s="111">
        <v>6460549.4269619994</v>
      </c>
      <c r="K219" t="s">
        <v>25</v>
      </c>
      <c r="P219" s="112"/>
      <c r="Q219" s="187" t="s">
        <v>5877</v>
      </c>
      <c r="R219" s="187" t="s">
        <v>5607</v>
      </c>
      <c r="S219" s="186">
        <v>-322076.40905199997</v>
      </c>
      <c r="T219" s="206" t="s">
        <v>4744</v>
      </c>
      <c r="U219" s="206">
        <v>-8014</v>
      </c>
      <c r="V219" s="111">
        <v>273.79649999999998</v>
      </c>
      <c r="W219" s="111">
        <f t="shared" si="73"/>
        <v>-2194205.1510000001</v>
      </c>
      <c r="X219" s="97" t="s">
        <v>743</v>
      </c>
      <c r="AH219" s="97">
        <v>199</v>
      </c>
      <c r="AI219" s="111" t="s">
        <v>5248</v>
      </c>
      <c r="AJ219" s="111">
        <v>1500000</v>
      </c>
      <c r="AK219" s="97">
        <v>1</v>
      </c>
      <c r="AL219" s="20">
        <f t="shared" si="80"/>
        <v>522</v>
      </c>
      <c r="AM219" s="115">
        <f t="shared" si="81"/>
        <v>783000000</v>
      </c>
      <c r="AN219" s="20"/>
    </row>
    <row r="220" spans="7:46">
      <c r="G220" s="206" t="s">
        <v>5651</v>
      </c>
      <c r="H220" s="111">
        <v>5212319.8968359996</v>
      </c>
      <c r="P220" s="112"/>
      <c r="Q220" s="19" t="s">
        <v>4936</v>
      </c>
      <c r="R220" s="19" t="s">
        <v>5607</v>
      </c>
      <c r="S220" s="115">
        <v>-1500000</v>
      </c>
      <c r="T220" s="206" t="s">
        <v>4753</v>
      </c>
      <c r="U220" s="206">
        <v>-9176</v>
      </c>
      <c r="V220" s="111">
        <v>273.79649999999998</v>
      </c>
      <c r="W220" s="111">
        <f t="shared" si="73"/>
        <v>-2512356.6839999999</v>
      </c>
      <c r="X220" s="97" t="s">
        <v>452</v>
      </c>
      <c r="AH220" s="97">
        <v>200</v>
      </c>
      <c r="AI220" s="111" t="s">
        <v>5250</v>
      </c>
      <c r="AJ220" s="111">
        <v>30000000</v>
      </c>
      <c r="AK220" s="97">
        <v>33</v>
      </c>
      <c r="AL220" s="20">
        <f t="shared" si="80"/>
        <v>521</v>
      </c>
      <c r="AM220" s="115">
        <f t="shared" si="81"/>
        <v>15630000000</v>
      </c>
      <c r="AN220" s="20"/>
    </row>
    <row r="221" spans="7:46">
      <c r="G221" s="206" t="s">
        <v>5654</v>
      </c>
      <c r="H221" s="111">
        <v>4524496.4792809999</v>
      </c>
      <c r="J221" t="s">
        <v>25</v>
      </c>
      <c r="P221" s="112"/>
      <c r="Q221" s="187" t="s">
        <v>5621</v>
      </c>
      <c r="R221" s="187" t="s">
        <v>5607</v>
      </c>
      <c r="S221" s="186">
        <v>15000000</v>
      </c>
      <c r="T221" s="206" t="s">
        <v>4753</v>
      </c>
      <c r="U221" s="206">
        <v>1087</v>
      </c>
      <c r="V221" s="111">
        <v>273.79649999999998</v>
      </c>
      <c r="W221" s="111">
        <f t="shared" si="73"/>
        <v>297616.79550000001</v>
      </c>
      <c r="X221" s="97" t="s">
        <v>452</v>
      </c>
      <c r="AH221" s="97">
        <v>201</v>
      </c>
      <c r="AI221" s="111" t="s">
        <v>5325</v>
      </c>
      <c r="AJ221" s="111">
        <v>3000000</v>
      </c>
      <c r="AK221" s="97">
        <v>1</v>
      </c>
      <c r="AL221" s="20">
        <f t="shared" si="80"/>
        <v>488</v>
      </c>
      <c r="AM221" s="115">
        <f t="shared" si="81"/>
        <v>1464000000</v>
      </c>
      <c r="AN221" s="20"/>
    </row>
    <row r="222" spans="7:46">
      <c r="G222" s="206" t="s">
        <v>5656</v>
      </c>
      <c r="H222" s="111">
        <v>22866040.240959998</v>
      </c>
      <c r="P222" s="112"/>
      <c r="Q222" s="187" t="s">
        <v>5636</v>
      </c>
      <c r="R222" s="187" t="s">
        <v>5631</v>
      </c>
      <c r="S222" s="186">
        <v>-1500000</v>
      </c>
      <c r="T222" s="386" t="s">
        <v>964</v>
      </c>
      <c r="U222" s="386">
        <v>-4017</v>
      </c>
      <c r="V222" s="90">
        <v>273.79649999999998</v>
      </c>
      <c r="W222" s="90">
        <f t="shared" si="73"/>
        <v>-1099840.5404999999</v>
      </c>
      <c r="X222" s="89" t="s">
        <v>4406</v>
      </c>
      <c r="AH222" s="97">
        <v>202</v>
      </c>
      <c r="AI222" s="111" t="s">
        <v>5326</v>
      </c>
      <c r="AJ222" s="111">
        <v>7000000</v>
      </c>
      <c r="AK222" s="97">
        <v>4</v>
      </c>
      <c r="AL222" s="20">
        <f t="shared" si="80"/>
        <v>487</v>
      </c>
      <c r="AM222" s="115">
        <f t="shared" si="81"/>
        <v>3409000000</v>
      </c>
      <c r="AN222" s="20"/>
    </row>
    <row r="223" spans="7:46">
      <c r="G223" s="206" t="s">
        <v>5658</v>
      </c>
      <c r="H223" s="111">
        <v>15359304.269892</v>
      </c>
      <c r="J223" t="s">
        <v>25</v>
      </c>
      <c r="P223" s="112"/>
      <c r="Q223" s="187" t="s">
        <v>5718</v>
      </c>
      <c r="R223" s="187" t="s">
        <v>5715</v>
      </c>
      <c r="S223" s="186">
        <v>-70000</v>
      </c>
      <c r="T223" s="206" t="s">
        <v>964</v>
      </c>
      <c r="U223" s="206">
        <v>4017</v>
      </c>
      <c r="V223" s="111">
        <v>273.79649999999998</v>
      </c>
      <c r="W223" s="111">
        <f t="shared" si="73"/>
        <v>1099840.5404999999</v>
      </c>
      <c r="X223" s="97" t="s">
        <v>452</v>
      </c>
      <c r="AH223" s="97">
        <v>203</v>
      </c>
      <c r="AI223" s="111" t="s">
        <v>5334</v>
      </c>
      <c r="AJ223" s="111">
        <v>8800000</v>
      </c>
      <c r="AK223" s="97">
        <v>2</v>
      </c>
      <c r="AL223" s="20">
        <f t="shared" si="80"/>
        <v>483</v>
      </c>
      <c r="AM223" s="115">
        <f t="shared" si="81"/>
        <v>4250400000</v>
      </c>
      <c r="AN223" s="20"/>
    </row>
    <row r="224" spans="7:46" ht="28.5" customHeight="1">
      <c r="G224" s="206" t="s">
        <v>5660</v>
      </c>
      <c r="H224" s="111">
        <v>2868508.1846330003</v>
      </c>
      <c r="P224" s="112"/>
      <c r="Q224" s="187" t="s">
        <v>5725</v>
      </c>
      <c r="R224" s="187" t="s">
        <v>5722</v>
      </c>
      <c r="S224" s="186">
        <v>1300000</v>
      </c>
      <c r="T224" s="206" t="s">
        <v>4759</v>
      </c>
      <c r="U224" s="206">
        <v>3137</v>
      </c>
      <c r="V224" s="111">
        <v>283.69110000000001</v>
      </c>
      <c r="W224" s="111">
        <f t="shared" si="73"/>
        <v>889938.98070000007</v>
      </c>
      <c r="X224" s="97" t="s">
        <v>452</v>
      </c>
      <c r="Y224" t="s">
        <v>25</v>
      </c>
      <c r="AH224" s="97">
        <v>204</v>
      </c>
      <c r="AI224" s="111" t="s">
        <v>5339</v>
      </c>
      <c r="AJ224" s="111">
        <v>40000000</v>
      </c>
      <c r="AK224" s="97">
        <v>8</v>
      </c>
      <c r="AL224" s="20">
        <f t="shared" si="80"/>
        <v>481</v>
      </c>
      <c r="AM224" s="115">
        <f t="shared" si="81"/>
        <v>19240000000</v>
      </c>
      <c r="AN224" s="20" t="s">
        <v>4673</v>
      </c>
    </row>
    <row r="225" spans="4:45">
      <c r="G225" s="206" t="s">
        <v>5661</v>
      </c>
      <c r="H225" s="111">
        <v>17450393.011856001</v>
      </c>
      <c r="P225" s="112"/>
      <c r="Q225" s="187" t="s">
        <v>60</v>
      </c>
      <c r="R225" s="187" t="s">
        <v>5733</v>
      </c>
      <c r="S225" s="186">
        <v>90000000</v>
      </c>
      <c r="T225" s="206" t="s">
        <v>4772</v>
      </c>
      <c r="U225" s="206">
        <v>101933</v>
      </c>
      <c r="V225" s="111">
        <v>294.30973999999998</v>
      </c>
      <c r="W225" s="111">
        <f t="shared" si="73"/>
        <v>29999874.727419998</v>
      </c>
      <c r="X225" s="97" t="s">
        <v>1069</v>
      </c>
      <c r="Y225" t="s">
        <v>25</v>
      </c>
      <c r="AH225" s="97">
        <v>205</v>
      </c>
      <c r="AI225" s="111" t="s">
        <v>5354</v>
      </c>
      <c r="AJ225" s="111">
        <v>400000</v>
      </c>
      <c r="AK225" s="97">
        <v>17</v>
      </c>
      <c r="AL225" s="20">
        <f t="shared" si="80"/>
        <v>473</v>
      </c>
      <c r="AM225" s="115">
        <f t="shared" si="81"/>
        <v>189200000</v>
      </c>
      <c r="AN225" s="20"/>
      <c r="AR225" t="s">
        <v>25</v>
      </c>
    </row>
    <row r="226" spans="4:45">
      <c r="F226" s="94"/>
      <c r="G226" s="206" t="s">
        <v>5662</v>
      </c>
      <c r="H226" s="111">
        <v>31388943.254850004</v>
      </c>
      <c r="J226" t="s">
        <v>25</v>
      </c>
      <c r="P226" s="112"/>
      <c r="Q226" s="187" t="s">
        <v>5824</v>
      </c>
      <c r="R226" s="187" t="s">
        <v>5820</v>
      </c>
      <c r="S226" s="186">
        <v>33832510.64875</v>
      </c>
      <c r="T226" s="206" t="s">
        <v>4779</v>
      </c>
      <c r="U226" s="206">
        <v>3407</v>
      </c>
      <c r="V226" s="111">
        <v>293.43799999999999</v>
      </c>
      <c r="W226" s="111">
        <f t="shared" si="73"/>
        <v>999743.26599999995</v>
      </c>
      <c r="X226" s="97" t="s">
        <v>452</v>
      </c>
      <c r="AH226" s="97">
        <v>206</v>
      </c>
      <c r="AI226" s="111" t="s">
        <v>5374</v>
      </c>
      <c r="AJ226" s="111">
        <v>-20000000</v>
      </c>
      <c r="AK226" s="97">
        <v>18</v>
      </c>
      <c r="AL226" s="20">
        <f t="shared" si="80"/>
        <v>456</v>
      </c>
      <c r="AM226" s="115">
        <f t="shared" si="81"/>
        <v>-9120000000</v>
      </c>
      <c r="AN226" s="20" t="s">
        <v>4961</v>
      </c>
    </row>
    <row r="227" spans="4:45">
      <c r="D227" s="94"/>
      <c r="E227" s="94"/>
      <c r="F227" s="94"/>
      <c r="G227" s="206" t="s">
        <v>5663</v>
      </c>
      <c r="H227" s="111">
        <v>30912095.373174001</v>
      </c>
      <c r="Q227" s="187" t="s">
        <v>5842</v>
      </c>
      <c r="R227" s="187" t="s">
        <v>5839</v>
      </c>
      <c r="S227" s="186">
        <v>21634932</v>
      </c>
      <c r="T227" s="206" t="s">
        <v>4780</v>
      </c>
      <c r="U227" s="206">
        <v>68796</v>
      </c>
      <c r="V227" s="111">
        <v>293.53250000000003</v>
      </c>
      <c r="W227" s="111">
        <f t="shared" si="73"/>
        <v>20193861.870000001</v>
      </c>
      <c r="X227" s="97" t="s">
        <v>743</v>
      </c>
      <c r="AH227" s="97">
        <v>207</v>
      </c>
      <c r="AI227" s="111" t="s">
        <v>5388</v>
      </c>
      <c r="AJ227" s="111">
        <v>3006000</v>
      </c>
      <c r="AK227" s="97">
        <v>19</v>
      </c>
      <c r="AL227" s="20">
        <f t="shared" si="80"/>
        <v>438</v>
      </c>
      <c r="AM227" s="115">
        <f t="shared" si="81"/>
        <v>1316628000</v>
      </c>
      <c r="AN227" s="20"/>
    </row>
    <row r="228" spans="4:45">
      <c r="D228" s="94"/>
      <c r="E228" s="94"/>
      <c r="F228" s="94"/>
      <c r="G228" s="206" t="s">
        <v>5665</v>
      </c>
      <c r="H228" s="111">
        <v>19602926.115093999</v>
      </c>
      <c r="K228" t="s">
        <v>25</v>
      </c>
      <c r="Q228" s="187" t="s">
        <v>4732</v>
      </c>
      <c r="R228" s="187" t="s">
        <v>5839</v>
      </c>
      <c r="S228" s="186">
        <v>-22520813.151772</v>
      </c>
      <c r="T228" s="206" t="s">
        <v>4780</v>
      </c>
      <c r="U228" s="206">
        <v>154791</v>
      </c>
      <c r="V228" s="111">
        <v>293.53250000000003</v>
      </c>
      <c r="W228" s="111">
        <f t="shared" si="73"/>
        <v>45436189.207500003</v>
      </c>
      <c r="X228" s="97" t="s">
        <v>452</v>
      </c>
      <c r="AH228" s="97">
        <v>208</v>
      </c>
      <c r="AI228" s="111" t="s">
        <v>5287</v>
      </c>
      <c r="AJ228" s="111">
        <v>-130382924</v>
      </c>
      <c r="AK228" s="97">
        <v>0</v>
      </c>
      <c r="AL228" s="20">
        <f t="shared" si="80"/>
        <v>419</v>
      </c>
      <c r="AM228" s="115">
        <f t="shared" si="81"/>
        <v>-54630445156</v>
      </c>
      <c r="AN228" s="20" t="s">
        <v>5412</v>
      </c>
      <c r="AR228" t="s">
        <v>25</v>
      </c>
    </row>
    <row r="229" spans="4:45">
      <c r="D229" s="94"/>
      <c r="E229" s="94"/>
      <c r="F229" s="94"/>
      <c r="G229" s="206" t="s">
        <v>5669</v>
      </c>
      <c r="H229" s="111">
        <v>34458590.308710001</v>
      </c>
      <c r="P229" s="112"/>
      <c r="Q229" s="19" t="s">
        <v>6426</v>
      </c>
      <c r="R229" s="19" t="s">
        <v>6423</v>
      </c>
      <c r="S229" s="115">
        <v>-6000000</v>
      </c>
      <c r="T229" s="206" t="s">
        <v>4780</v>
      </c>
      <c r="U229" s="206">
        <v>-11923</v>
      </c>
      <c r="V229" s="111">
        <v>293.53250000000003</v>
      </c>
      <c r="W229" s="111">
        <f t="shared" si="73"/>
        <v>-3499787.9975000005</v>
      </c>
      <c r="X229" s="97" t="s">
        <v>452</v>
      </c>
      <c r="AH229" s="97">
        <v>209</v>
      </c>
      <c r="AI229" s="111" t="s">
        <v>5287</v>
      </c>
      <c r="AJ229" s="111">
        <v>125000000</v>
      </c>
      <c r="AK229" s="97">
        <v>1</v>
      </c>
      <c r="AL229" s="20">
        <f t="shared" si="80"/>
        <v>419</v>
      </c>
      <c r="AM229" s="115">
        <f t="shared" si="81"/>
        <v>52375000000</v>
      </c>
      <c r="AN229" s="20"/>
      <c r="AR229" t="s">
        <v>25</v>
      </c>
    </row>
    <row r="230" spans="4:45">
      <c r="D230" s="94"/>
      <c r="E230" s="94"/>
      <c r="F230" s="94"/>
      <c r="G230" s="206" t="s">
        <v>5671</v>
      </c>
      <c r="H230" s="111">
        <v>21697868.203256</v>
      </c>
      <c r="P230" s="112"/>
      <c r="Q230" s="187" t="s">
        <v>5372</v>
      </c>
      <c r="R230" s="187" t="s">
        <v>6519</v>
      </c>
      <c r="S230" s="186">
        <v>130888.351165</v>
      </c>
      <c r="T230" s="206" t="s">
        <v>4792</v>
      </c>
      <c r="U230" s="206">
        <v>8424</v>
      </c>
      <c r="V230" s="111">
        <v>299.15170000000001</v>
      </c>
      <c r="W230" s="111">
        <f t="shared" si="73"/>
        <v>2520053.9208</v>
      </c>
      <c r="X230" s="97" t="s">
        <v>452</v>
      </c>
      <c r="AH230" s="97">
        <v>210</v>
      </c>
      <c r="AI230" s="111" t="s">
        <v>5411</v>
      </c>
      <c r="AJ230" s="111">
        <v>7200000</v>
      </c>
      <c r="AK230" s="97">
        <v>15</v>
      </c>
      <c r="AL230" s="20">
        <f t="shared" si="80"/>
        <v>418</v>
      </c>
      <c r="AM230" s="115">
        <f t="shared" si="81"/>
        <v>3009600000</v>
      </c>
      <c r="AN230" s="20"/>
      <c r="AQ230" t="s">
        <v>25</v>
      </c>
      <c r="AS230" t="s">
        <v>25</v>
      </c>
    </row>
    <row r="231" spans="4:45">
      <c r="D231" s="94"/>
      <c r="E231" s="94"/>
      <c r="F231" s="94"/>
      <c r="G231" s="206" t="s">
        <v>5673</v>
      </c>
      <c r="H231" s="111">
        <v>25340079.252110001</v>
      </c>
      <c r="Q231" s="187" t="s">
        <v>6629</v>
      </c>
      <c r="R231" s="187" t="s">
        <v>6625</v>
      </c>
      <c r="S231" s="186">
        <v>50000000</v>
      </c>
      <c r="T231" s="206" t="s">
        <v>4827</v>
      </c>
      <c r="U231" s="206">
        <v>15943</v>
      </c>
      <c r="V231" s="111">
        <v>307.34415000000001</v>
      </c>
      <c r="W231" s="111">
        <f t="shared" si="73"/>
        <v>4899987.78345</v>
      </c>
      <c r="X231" s="97" t="s">
        <v>452</v>
      </c>
      <c r="AH231" s="97">
        <v>211</v>
      </c>
      <c r="AI231" s="111" t="s">
        <v>5430</v>
      </c>
      <c r="AJ231" s="111">
        <v>2050000</v>
      </c>
      <c r="AK231" s="97">
        <v>7</v>
      </c>
      <c r="AL231" s="20">
        <f t="shared" si="80"/>
        <v>403</v>
      </c>
      <c r="AM231" s="115">
        <f t="shared" si="81"/>
        <v>826150000</v>
      </c>
      <c r="AN231" s="20"/>
      <c r="AR231" t="s">
        <v>25</v>
      </c>
      <c r="AS231" t="s">
        <v>25</v>
      </c>
    </row>
    <row r="232" spans="4:45">
      <c r="D232" s="94"/>
      <c r="E232" s="94"/>
      <c r="F232" s="94"/>
      <c r="G232" s="206" t="s">
        <v>5674</v>
      </c>
      <c r="H232" s="111">
        <v>14780983.183526</v>
      </c>
      <c r="Q232" s="19" t="s">
        <v>6661</v>
      </c>
      <c r="R232" s="19" t="s">
        <v>6659</v>
      </c>
      <c r="S232" s="115">
        <v>96000</v>
      </c>
      <c r="T232" s="206" t="s">
        <v>4840</v>
      </c>
      <c r="U232" s="206">
        <v>3741</v>
      </c>
      <c r="V232" s="111">
        <v>307.34415000000001</v>
      </c>
      <c r="W232" s="111">
        <f t="shared" si="73"/>
        <v>1149774.4651500001</v>
      </c>
      <c r="X232" s="97" t="s">
        <v>452</v>
      </c>
      <c r="Z232" t="s">
        <v>25</v>
      </c>
      <c r="AH232" s="97">
        <v>212</v>
      </c>
      <c r="AI232" s="111" t="s">
        <v>5447</v>
      </c>
      <c r="AJ232" s="111">
        <v>50000000</v>
      </c>
      <c r="AK232" s="97">
        <v>24</v>
      </c>
      <c r="AL232" s="20">
        <f t="shared" si="80"/>
        <v>396</v>
      </c>
      <c r="AM232" s="115">
        <f t="shared" si="81"/>
        <v>19800000000</v>
      </c>
      <c r="AN232" s="20" t="s">
        <v>4673</v>
      </c>
    </row>
    <row r="233" spans="4:45">
      <c r="D233" s="94"/>
      <c r="E233" s="94"/>
      <c r="G233" s="206" t="s">
        <v>5677</v>
      </c>
      <c r="H233" s="111">
        <v>17804396.448481999</v>
      </c>
      <c r="Q233" s="19"/>
      <c r="R233" s="19"/>
      <c r="S233" s="115"/>
      <c r="T233" s="206" t="s">
        <v>4845</v>
      </c>
      <c r="U233" s="206">
        <v>-6207</v>
      </c>
      <c r="V233" s="111">
        <v>322.214</v>
      </c>
      <c r="W233" s="111">
        <f t="shared" si="73"/>
        <v>-1999982.298</v>
      </c>
      <c r="X233" s="97" t="s">
        <v>743</v>
      </c>
      <c r="AH233" s="97">
        <v>213</v>
      </c>
      <c r="AI233" s="111" t="s">
        <v>5483</v>
      </c>
      <c r="AJ233" s="111">
        <v>-58196600</v>
      </c>
      <c r="AK233" s="97">
        <v>22</v>
      </c>
      <c r="AL233" s="20">
        <f t="shared" si="80"/>
        <v>372</v>
      </c>
      <c r="AM233" s="115">
        <f t="shared" si="81"/>
        <v>-21649135200</v>
      </c>
      <c r="AN233" s="20" t="s">
        <v>4854</v>
      </c>
    </row>
    <row r="234" spans="4:45">
      <c r="G234" s="206" t="s">
        <v>5680</v>
      </c>
      <c r="H234" s="111">
        <v>11538335.631417999</v>
      </c>
      <c r="Q234" s="19"/>
      <c r="R234" s="19"/>
      <c r="S234" s="115"/>
      <c r="T234" s="206" t="s">
        <v>4845</v>
      </c>
      <c r="U234" s="206">
        <v>6207</v>
      </c>
      <c r="V234" s="111">
        <v>322.214</v>
      </c>
      <c r="W234" s="111">
        <f t="shared" si="73"/>
        <v>1999982.298</v>
      </c>
      <c r="X234" s="97" t="s">
        <v>4406</v>
      </c>
      <c r="AH234" s="97">
        <v>214</v>
      </c>
      <c r="AI234" s="111" t="s">
        <v>5525</v>
      </c>
      <c r="AJ234" s="111">
        <v>25000</v>
      </c>
      <c r="AK234" s="97">
        <v>8</v>
      </c>
      <c r="AL234" s="20">
        <f t="shared" si="80"/>
        <v>350</v>
      </c>
      <c r="AM234" s="115">
        <f t="shared" si="81"/>
        <v>8750000</v>
      </c>
      <c r="AN234" s="20"/>
    </row>
    <row r="235" spans="4:45">
      <c r="G235" s="206" t="s">
        <v>5681</v>
      </c>
      <c r="H235" s="111">
        <v>12429517.767776001</v>
      </c>
      <c r="Q235" s="19"/>
      <c r="R235" s="19"/>
      <c r="S235" s="115"/>
      <c r="T235" s="206" t="s">
        <v>4799</v>
      </c>
      <c r="U235" s="206">
        <v>776</v>
      </c>
      <c r="V235" s="111">
        <v>322.214</v>
      </c>
      <c r="W235" s="111">
        <f t="shared" si="73"/>
        <v>250038.06400000001</v>
      </c>
      <c r="X235" s="97" t="s">
        <v>452</v>
      </c>
      <c r="AH235" s="97">
        <v>215</v>
      </c>
      <c r="AI235" s="111" t="s">
        <v>5546</v>
      </c>
      <c r="AJ235" s="111">
        <v>70000</v>
      </c>
      <c r="AK235" s="97">
        <v>6</v>
      </c>
      <c r="AL235" s="20">
        <f t="shared" si="80"/>
        <v>342</v>
      </c>
      <c r="AM235" s="115">
        <f t="shared" si="81"/>
        <v>23940000</v>
      </c>
      <c r="AN235" s="20"/>
    </row>
    <row r="236" spans="4:45">
      <c r="G236" s="206" t="s">
        <v>5689</v>
      </c>
      <c r="H236" s="111">
        <v>5031176.5087869996</v>
      </c>
      <c r="J236" t="s">
        <v>25</v>
      </c>
      <c r="Q236" s="19"/>
      <c r="R236" s="19"/>
      <c r="S236" s="115"/>
      <c r="T236" s="206" t="s">
        <v>4867</v>
      </c>
      <c r="U236" s="206">
        <v>1524</v>
      </c>
      <c r="V236" s="111">
        <v>314.95999999999998</v>
      </c>
      <c r="W236" s="111">
        <f t="shared" si="73"/>
        <v>479999.04</v>
      </c>
      <c r="X236" s="97" t="s">
        <v>1069</v>
      </c>
      <c r="AH236" s="97">
        <v>216</v>
      </c>
      <c r="AI236" s="111" t="s">
        <v>5551</v>
      </c>
      <c r="AJ236" s="111">
        <v>70000</v>
      </c>
      <c r="AK236" s="97">
        <v>1</v>
      </c>
      <c r="AL236" s="20">
        <f t="shared" si="80"/>
        <v>336</v>
      </c>
      <c r="AM236" s="115">
        <f t="shared" si="81"/>
        <v>23520000</v>
      </c>
      <c r="AN236" s="20"/>
      <c r="AR236" t="s">
        <v>25</v>
      </c>
    </row>
    <row r="237" spans="4:45">
      <c r="G237" s="206" t="s">
        <v>5691</v>
      </c>
      <c r="H237" s="111">
        <v>6822803.9080700008</v>
      </c>
      <c r="J237" t="s">
        <v>25</v>
      </c>
      <c r="Q237" s="206" t="s">
        <v>25</v>
      </c>
      <c r="R237" s="206"/>
      <c r="S237" s="111"/>
      <c r="T237" s="206" t="s">
        <v>4874</v>
      </c>
      <c r="U237" s="206">
        <v>4435</v>
      </c>
      <c r="V237" s="111">
        <v>316.4375</v>
      </c>
      <c r="W237" s="111">
        <f t="shared" si="73"/>
        <v>1403400.3125</v>
      </c>
      <c r="X237" s="97" t="s">
        <v>452</v>
      </c>
      <c r="AH237" s="97">
        <v>217</v>
      </c>
      <c r="AI237" s="111" t="s">
        <v>5540</v>
      </c>
      <c r="AJ237" s="111">
        <v>150000</v>
      </c>
      <c r="AK237" s="97">
        <v>0</v>
      </c>
      <c r="AL237" s="20">
        <f t="shared" si="80"/>
        <v>335</v>
      </c>
      <c r="AM237" s="115">
        <f t="shared" si="81"/>
        <v>50250000</v>
      </c>
      <c r="AN237" s="20"/>
      <c r="AQ237" t="s">
        <v>25</v>
      </c>
      <c r="AS237" t="s">
        <v>25</v>
      </c>
    </row>
    <row r="238" spans="4:45">
      <c r="G238" s="206" t="s">
        <v>5695</v>
      </c>
      <c r="H238" s="111">
        <v>330889.73324399994</v>
      </c>
      <c r="Q238" s="206"/>
      <c r="R238" s="206"/>
      <c r="S238" s="111">
        <f>SUM(S190:S237)</f>
        <v>160952957.13209102</v>
      </c>
      <c r="T238" s="206" t="s">
        <v>4877</v>
      </c>
      <c r="U238" s="206">
        <v>624</v>
      </c>
      <c r="V238" s="111">
        <v>320.5</v>
      </c>
      <c r="W238" s="111">
        <f t="shared" si="73"/>
        <v>199992</v>
      </c>
      <c r="X238" s="97" t="s">
        <v>452</v>
      </c>
      <c r="AH238" s="97">
        <v>218</v>
      </c>
      <c r="AI238" s="111" t="s">
        <v>5540</v>
      </c>
      <c r="AJ238" s="111">
        <v>-95599450</v>
      </c>
      <c r="AK238" s="97">
        <v>7</v>
      </c>
      <c r="AL238" s="20">
        <f t="shared" si="80"/>
        <v>335</v>
      </c>
      <c r="AM238" s="115">
        <f t="shared" si="81"/>
        <v>-32025815750</v>
      </c>
      <c r="AN238" s="20" t="s">
        <v>5554</v>
      </c>
      <c r="AR238" t="s">
        <v>25</v>
      </c>
    </row>
    <row r="239" spans="4:45">
      <c r="G239" s="206" t="s">
        <v>5704</v>
      </c>
      <c r="H239" s="111">
        <v>6610318.1610199995</v>
      </c>
      <c r="Q239" s="41"/>
      <c r="R239" s="206"/>
      <c r="S239" s="206" t="s">
        <v>6</v>
      </c>
      <c r="T239" s="206" t="s">
        <v>4882</v>
      </c>
      <c r="U239" s="206">
        <v>1086</v>
      </c>
      <c r="V239" s="111">
        <v>317.55</v>
      </c>
      <c r="W239" s="111">
        <f t="shared" si="73"/>
        <v>344859.3</v>
      </c>
      <c r="X239" s="97" t="s">
        <v>452</v>
      </c>
      <c r="AH239" s="97">
        <v>219</v>
      </c>
      <c r="AI239" s="111" t="s">
        <v>5562</v>
      </c>
      <c r="AJ239" s="111">
        <v>200000</v>
      </c>
      <c r="AK239" s="97">
        <v>7</v>
      </c>
      <c r="AL239" s="20">
        <f t="shared" si="80"/>
        <v>328</v>
      </c>
      <c r="AM239" s="115">
        <f t="shared" si="81"/>
        <v>65600000</v>
      </c>
      <c r="AN239" s="20"/>
      <c r="AR239" t="s">
        <v>25</v>
      </c>
    </row>
    <row r="240" spans="4:45">
      <c r="G240" s="206" t="s">
        <v>5705</v>
      </c>
      <c r="H240" s="111">
        <v>710713.17725199996</v>
      </c>
      <c r="Q240" s="94"/>
      <c r="T240" s="206" t="s">
        <v>4887</v>
      </c>
      <c r="U240" s="206">
        <v>2820</v>
      </c>
      <c r="V240" s="111">
        <v>319.1096</v>
      </c>
      <c r="W240" s="111">
        <f t="shared" si="73"/>
        <v>899889.07200000004</v>
      </c>
      <c r="X240" s="97" t="s">
        <v>452</v>
      </c>
      <c r="AH240" s="97">
        <v>220</v>
      </c>
      <c r="AI240" s="111" t="s">
        <v>5567</v>
      </c>
      <c r="AJ240" s="111">
        <v>150000</v>
      </c>
      <c r="AK240" s="97">
        <v>5</v>
      </c>
      <c r="AL240" s="20">
        <f t="shared" si="80"/>
        <v>321</v>
      </c>
      <c r="AM240" s="115">
        <f t="shared" si="81"/>
        <v>48150000</v>
      </c>
      <c r="AN240" s="20"/>
    </row>
    <row r="241" spans="7:46">
      <c r="G241" s="206" t="s">
        <v>5707</v>
      </c>
      <c r="H241" s="111">
        <v>81025</v>
      </c>
      <c r="P241" t="s">
        <v>25</v>
      </c>
      <c r="Q241" s="94" t="s">
        <v>25</v>
      </c>
      <c r="R241" s="94" t="s">
        <v>25</v>
      </c>
      <c r="T241" s="206" t="s">
        <v>4890</v>
      </c>
      <c r="U241" s="206">
        <v>1145</v>
      </c>
      <c r="V241" s="111">
        <v>325.44</v>
      </c>
      <c r="W241" s="111">
        <f t="shared" si="73"/>
        <v>372628.8</v>
      </c>
      <c r="X241" s="97" t="s">
        <v>452</v>
      </c>
      <c r="Y241" t="s">
        <v>25</v>
      </c>
      <c r="AH241" s="97">
        <v>221</v>
      </c>
      <c r="AI241" s="111" t="s">
        <v>5571</v>
      </c>
      <c r="AJ241" s="111">
        <v>310000</v>
      </c>
      <c r="AK241" s="97">
        <v>31</v>
      </c>
      <c r="AL241" s="20">
        <f t="shared" si="80"/>
        <v>316</v>
      </c>
      <c r="AM241" s="115">
        <f t="shared" si="81"/>
        <v>97960000</v>
      </c>
      <c r="AN241" s="20"/>
      <c r="AR241" t="s">
        <v>25</v>
      </c>
    </row>
    <row r="242" spans="7:46">
      <c r="G242" s="206" t="s">
        <v>5710</v>
      </c>
      <c r="H242" s="111">
        <v>219696.613128</v>
      </c>
      <c r="Q242" s="94" t="s">
        <v>25</v>
      </c>
      <c r="R242" s="94" t="s">
        <v>25</v>
      </c>
      <c r="S242" t="s">
        <v>25</v>
      </c>
      <c r="T242" s="206" t="s">
        <v>4898</v>
      </c>
      <c r="U242" s="206">
        <v>20153</v>
      </c>
      <c r="V242" s="111">
        <v>322</v>
      </c>
      <c r="W242" s="111">
        <f t="shared" si="73"/>
        <v>6489266</v>
      </c>
      <c r="X242" s="97" t="s">
        <v>452</v>
      </c>
      <c r="AH242" s="97">
        <v>222</v>
      </c>
      <c r="AI242" s="111" t="s">
        <v>5607</v>
      </c>
      <c r="AJ242" s="111">
        <v>4200000</v>
      </c>
      <c r="AK242" s="97">
        <v>53</v>
      </c>
      <c r="AL242" s="20">
        <f t="shared" si="80"/>
        <v>285</v>
      </c>
      <c r="AM242" s="115">
        <f t="shared" si="81"/>
        <v>1197000000</v>
      </c>
      <c r="AN242" s="20"/>
      <c r="AT242" s="94" t="s">
        <v>25</v>
      </c>
    </row>
    <row r="243" spans="7:46">
      <c r="G243" s="206" t="s">
        <v>5711</v>
      </c>
      <c r="H243" s="111">
        <v>6035472.4070199998</v>
      </c>
      <c r="S243" t="s">
        <v>25</v>
      </c>
      <c r="T243" s="206" t="s">
        <v>4908</v>
      </c>
      <c r="U243" s="206">
        <v>93720</v>
      </c>
      <c r="V243" s="111">
        <v>325.435</v>
      </c>
      <c r="W243" s="111">
        <f t="shared" si="73"/>
        <v>30499768.199999999</v>
      </c>
      <c r="X243" s="97" t="s">
        <v>1069</v>
      </c>
      <c r="AH243" s="97">
        <v>223</v>
      </c>
      <c r="AI243" s="111" t="s">
        <v>5677</v>
      </c>
      <c r="AJ243" s="111">
        <v>260000000</v>
      </c>
      <c r="AK243" s="97">
        <v>22</v>
      </c>
      <c r="AL243" s="20">
        <f t="shared" si="80"/>
        <v>232</v>
      </c>
      <c r="AM243" s="115">
        <f t="shared" si="81"/>
        <v>60320000000</v>
      </c>
      <c r="AN243" s="20" t="s">
        <v>5678</v>
      </c>
    </row>
    <row r="244" spans="7:46">
      <c r="G244" s="206" t="s">
        <v>5713</v>
      </c>
      <c r="H244" s="111">
        <v>984486.34963200008</v>
      </c>
      <c r="Q244" s="97" t="s">
        <v>743</v>
      </c>
      <c r="R244" s="97"/>
      <c r="S244" t="s">
        <v>25</v>
      </c>
      <c r="T244" s="206" t="s">
        <v>4908</v>
      </c>
      <c r="U244" s="206">
        <v>20895</v>
      </c>
      <c r="V244" s="111">
        <v>325.435</v>
      </c>
      <c r="W244" s="111">
        <f t="shared" si="73"/>
        <v>6799964.3250000002</v>
      </c>
      <c r="X244" s="97" t="s">
        <v>743</v>
      </c>
      <c r="AH244" s="97">
        <v>224</v>
      </c>
      <c r="AI244" s="111" t="s">
        <v>5705</v>
      </c>
      <c r="AJ244" s="111">
        <v>20000</v>
      </c>
      <c r="AK244" s="97">
        <v>7</v>
      </c>
      <c r="AL244" s="20">
        <f t="shared" si="80"/>
        <v>210</v>
      </c>
      <c r="AM244" s="115">
        <f t="shared" si="81"/>
        <v>4200000</v>
      </c>
      <c r="AN244" s="20"/>
      <c r="AP244" t="s">
        <v>25</v>
      </c>
    </row>
    <row r="245" spans="7:46">
      <c r="G245" s="206" t="s">
        <v>5715</v>
      </c>
      <c r="H245" s="111">
        <v>2143469.938015</v>
      </c>
      <c r="Q245" s="97" t="s">
        <v>4399</v>
      </c>
      <c r="R245" s="93">
        <v>172908000</v>
      </c>
      <c r="S245" t="s">
        <v>25</v>
      </c>
      <c r="T245" s="206" t="s">
        <v>4915</v>
      </c>
      <c r="U245" s="206">
        <v>2611</v>
      </c>
      <c r="V245" s="111">
        <v>325.435</v>
      </c>
      <c r="W245" s="111">
        <f t="shared" si="73"/>
        <v>849710.78500000003</v>
      </c>
      <c r="X245" s="97" t="s">
        <v>743</v>
      </c>
      <c r="AH245" s="97">
        <v>225</v>
      </c>
      <c r="AI245" s="111" t="s">
        <v>5715</v>
      </c>
      <c r="AJ245" s="111">
        <v>70000</v>
      </c>
      <c r="AK245" s="97">
        <v>1</v>
      </c>
      <c r="AL245" s="20">
        <f t="shared" si="80"/>
        <v>203</v>
      </c>
      <c r="AM245" s="115">
        <f t="shared" si="81"/>
        <v>14210000</v>
      </c>
      <c r="AN245" s="20"/>
    </row>
    <row r="246" spans="7:46">
      <c r="G246" s="206" t="s">
        <v>5727</v>
      </c>
      <c r="H246" s="111">
        <v>3085460.5177150001</v>
      </c>
      <c r="Q246" s="97" t="s">
        <v>4430</v>
      </c>
      <c r="R246" s="93">
        <v>1400000</v>
      </c>
      <c r="T246" s="206" t="s">
        <v>4923</v>
      </c>
      <c r="U246" s="206">
        <v>6750</v>
      </c>
      <c r="V246" s="111">
        <v>339.3</v>
      </c>
      <c r="W246" s="111">
        <f t="shared" si="73"/>
        <v>2290275</v>
      </c>
      <c r="X246" s="97" t="s">
        <v>743</v>
      </c>
      <c r="AA246" t="s">
        <v>25</v>
      </c>
      <c r="AH246" s="97">
        <v>226</v>
      </c>
      <c r="AI246" s="111" t="s">
        <v>5722</v>
      </c>
      <c r="AJ246" s="111">
        <v>330000</v>
      </c>
      <c r="AK246" s="97">
        <v>1</v>
      </c>
      <c r="AL246" s="20">
        <f t="shared" si="80"/>
        <v>202</v>
      </c>
      <c r="AM246" s="115">
        <f t="shared" si="81"/>
        <v>66660000</v>
      </c>
      <c r="AN246" s="20"/>
    </row>
    <row r="247" spans="7:46">
      <c r="G247" s="206" t="s">
        <v>5729</v>
      </c>
      <c r="H247" s="111">
        <v>8261456.790906</v>
      </c>
      <c r="O247" t="s">
        <v>25</v>
      </c>
      <c r="P247" t="s">
        <v>25</v>
      </c>
      <c r="Q247" s="97" t="s">
        <v>4205</v>
      </c>
      <c r="R247" s="93">
        <v>247393</v>
      </c>
      <c r="S247" t="s">
        <v>25</v>
      </c>
      <c r="T247" s="206" t="s">
        <v>4931</v>
      </c>
      <c r="U247" s="206">
        <v>1850</v>
      </c>
      <c r="V247" s="111">
        <v>334.10050000000001</v>
      </c>
      <c r="W247" s="111">
        <f t="shared" si="73"/>
        <v>618085.92500000005</v>
      </c>
      <c r="X247" s="97" t="s">
        <v>452</v>
      </c>
      <c r="Y247" t="s">
        <v>25</v>
      </c>
      <c r="AH247" s="97">
        <v>227</v>
      </c>
      <c r="AI247" s="111" t="s">
        <v>5820</v>
      </c>
      <c r="AJ247" s="111">
        <v>33833075</v>
      </c>
      <c r="AK247" s="97">
        <v>18</v>
      </c>
      <c r="AL247" s="20">
        <f t="shared" si="80"/>
        <v>201</v>
      </c>
      <c r="AM247" s="115">
        <f t="shared" si="81"/>
        <v>6800448075</v>
      </c>
      <c r="AN247" s="20" t="s">
        <v>5824</v>
      </c>
    </row>
    <row r="248" spans="7:46">
      <c r="G248" s="206" t="s">
        <v>5731</v>
      </c>
      <c r="H248" s="111">
        <v>6572373.7593120001</v>
      </c>
      <c r="K248" t="s">
        <v>25</v>
      </c>
      <c r="Q248" s="97" t="s">
        <v>4204</v>
      </c>
      <c r="R248" s="93">
        <v>6780000</v>
      </c>
      <c r="T248" s="206" t="s">
        <v>4931</v>
      </c>
      <c r="U248" s="206">
        <v>-1194</v>
      </c>
      <c r="V248" s="111">
        <v>335</v>
      </c>
      <c r="W248" s="111">
        <f t="shared" si="73"/>
        <v>-399990</v>
      </c>
      <c r="X248" s="97" t="s">
        <v>4406</v>
      </c>
      <c r="Y248" t="s">
        <v>25</v>
      </c>
      <c r="AH248" s="97">
        <v>228</v>
      </c>
      <c r="AI248" s="111" t="s">
        <v>5833</v>
      </c>
      <c r="AJ248" s="111">
        <v>150000</v>
      </c>
      <c r="AK248" s="97">
        <v>10</v>
      </c>
      <c r="AL248" s="20">
        <f t="shared" si="80"/>
        <v>183</v>
      </c>
      <c r="AM248" s="115"/>
      <c r="AN248" s="20"/>
    </row>
    <row r="249" spans="7:46">
      <c r="G249" s="206" t="s">
        <v>5735</v>
      </c>
      <c r="H249" s="111">
        <v>2893243.5730909999</v>
      </c>
      <c r="Q249" s="97" t="s">
        <v>4528</v>
      </c>
      <c r="R249" s="93">
        <v>-4000000</v>
      </c>
      <c r="T249" s="206" t="s">
        <v>4931</v>
      </c>
      <c r="U249" s="206">
        <v>1194</v>
      </c>
      <c r="V249" s="111">
        <v>335</v>
      </c>
      <c r="W249" s="111">
        <f t="shared" si="73"/>
        <v>399990</v>
      </c>
      <c r="X249" s="97" t="s">
        <v>743</v>
      </c>
      <c r="AH249" s="97">
        <v>229</v>
      </c>
      <c r="AI249" s="111" t="s">
        <v>5839</v>
      </c>
      <c r="AJ249" s="111">
        <v>-341847876.93843603</v>
      </c>
      <c r="AK249" s="97">
        <v>1</v>
      </c>
      <c r="AL249" s="20">
        <f t="shared" si="80"/>
        <v>173</v>
      </c>
      <c r="AM249" s="115"/>
      <c r="AN249" s="20" t="s">
        <v>4732</v>
      </c>
      <c r="AP249" t="s">
        <v>25</v>
      </c>
    </row>
    <row r="250" spans="7:46" ht="20.25" customHeight="1">
      <c r="G250" s="206" t="s">
        <v>5736</v>
      </c>
      <c r="H250" s="111">
        <v>94992058.939007998</v>
      </c>
      <c r="J250" t="s">
        <v>25</v>
      </c>
      <c r="O250" t="s">
        <v>25</v>
      </c>
      <c r="Q250" s="97" t="s">
        <v>4553</v>
      </c>
      <c r="R250" s="93">
        <v>16727037</v>
      </c>
      <c r="T250" s="206" t="s">
        <v>4938</v>
      </c>
      <c r="U250" s="206">
        <v>433</v>
      </c>
      <c r="V250" s="111">
        <v>345.68</v>
      </c>
      <c r="W250" s="111">
        <f t="shared" si="73"/>
        <v>149679.44</v>
      </c>
      <c r="X250" s="97" t="s">
        <v>743</v>
      </c>
      <c r="AH250" s="97">
        <v>230</v>
      </c>
      <c r="AI250" s="111" t="s">
        <v>5850</v>
      </c>
      <c r="AJ250" s="111">
        <v>100000000</v>
      </c>
      <c r="AK250" s="97">
        <v>0</v>
      </c>
      <c r="AL250" s="20">
        <f t="shared" si="80"/>
        <v>172</v>
      </c>
      <c r="AM250" s="115"/>
      <c r="AN250" s="20" t="s">
        <v>5851</v>
      </c>
    </row>
    <row r="251" spans="7:46" ht="30">
      <c r="G251" s="206" t="s">
        <v>5742</v>
      </c>
      <c r="H251" s="111">
        <v>275021.925965</v>
      </c>
      <c r="K251" t="s">
        <v>25</v>
      </c>
      <c r="Q251" s="97" t="s">
        <v>4558</v>
      </c>
      <c r="R251" s="93">
        <v>46460683</v>
      </c>
      <c r="S251" t="s">
        <v>25</v>
      </c>
      <c r="T251" s="206" t="s">
        <v>4942</v>
      </c>
      <c r="U251" s="206">
        <v>55459</v>
      </c>
      <c r="V251" s="111">
        <v>362.51978000000003</v>
      </c>
      <c r="W251" s="111">
        <f t="shared" si="73"/>
        <v>20104984.479020003</v>
      </c>
      <c r="X251" s="97" t="s">
        <v>452</v>
      </c>
      <c r="AH251" s="97">
        <v>231</v>
      </c>
      <c r="AI251" s="111" t="s">
        <v>5850</v>
      </c>
      <c r="AJ251" s="111">
        <v>-100000000</v>
      </c>
      <c r="AK251" s="97">
        <v>1</v>
      </c>
      <c r="AL251" s="20">
        <f t="shared" si="80"/>
        <v>172</v>
      </c>
      <c r="AM251" s="115"/>
      <c r="AN251" s="261" t="s">
        <v>5852</v>
      </c>
    </row>
    <row r="252" spans="7:46">
      <c r="G252" s="206" t="s">
        <v>5749</v>
      </c>
      <c r="H252" s="111">
        <v>327451.9203</v>
      </c>
      <c r="Q252" s="97" t="s">
        <v>4559</v>
      </c>
      <c r="R252" s="93">
        <v>19663646</v>
      </c>
      <c r="T252" s="206" t="s">
        <v>4946</v>
      </c>
      <c r="U252" s="206">
        <v>-57212</v>
      </c>
      <c r="V252" s="111">
        <v>368.45400000000001</v>
      </c>
      <c r="W252" s="111">
        <f t="shared" si="73"/>
        <v>-21079990.248</v>
      </c>
      <c r="X252" s="97" t="s">
        <v>452</v>
      </c>
      <c r="AH252" s="97">
        <v>232</v>
      </c>
      <c r="AI252" s="111" t="s">
        <v>5853</v>
      </c>
      <c r="AJ252" s="111">
        <v>90000000</v>
      </c>
      <c r="AK252" s="97">
        <v>0</v>
      </c>
      <c r="AL252" s="20">
        <f t="shared" si="80"/>
        <v>171</v>
      </c>
      <c r="AM252" s="115"/>
      <c r="AN252" s="20"/>
    </row>
    <row r="253" spans="7:46" ht="30">
      <c r="G253" s="206" t="s">
        <v>5761</v>
      </c>
      <c r="H253" s="111">
        <v>260081.94096800001</v>
      </c>
      <c r="O253" t="s">
        <v>25</v>
      </c>
      <c r="Q253" s="97" t="s">
        <v>4580</v>
      </c>
      <c r="R253" s="93">
        <v>4374525</v>
      </c>
      <c r="T253" s="206" t="s">
        <v>4947</v>
      </c>
      <c r="U253" s="206">
        <v>-15881</v>
      </c>
      <c r="V253" s="111">
        <v>374.61599999999999</v>
      </c>
      <c r="W253" s="111">
        <f t="shared" si="73"/>
        <v>-5949276.6959999995</v>
      </c>
      <c r="X253" s="97" t="s">
        <v>452</v>
      </c>
      <c r="AH253" s="97">
        <v>233</v>
      </c>
      <c r="AI253" s="111" t="s">
        <v>5853</v>
      </c>
      <c r="AJ253" s="111">
        <v>-90000000</v>
      </c>
      <c r="AK253" s="97">
        <v>1</v>
      </c>
      <c r="AL253" s="20">
        <f t="shared" si="80"/>
        <v>171</v>
      </c>
      <c r="AM253" s="115"/>
      <c r="AN253" s="261" t="s">
        <v>5854</v>
      </c>
      <c r="AQ253" t="s">
        <v>25</v>
      </c>
      <c r="AS253" t="s">
        <v>25</v>
      </c>
    </row>
    <row r="254" spans="7:46">
      <c r="G254" s="206" t="s">
        <v>5770</v>
      </c>
      <c r="H254" s="111">
        <v>2909284.5308940001</v>
      </c>
      <c r="P254" t="s">
        <v>25</v>
      </c>
      <c r="Q254" s="97" t="s">
        <v>4591</v>
      </c>
      <c r="R254" s="93">
        <v>6550580</v>
      </c>
      <c r="T254" s="206" t="s">
        <v>4953</v>
      </c>
      <c r="U254" s="206">
        <v>-41289</v>
      </c>
      <c r="V254" s="111">
        <v>372.27</v>
      </c>
      <c r="W254" s="111">
        <f t="shared" si="73"/>
        <v>-15370656.029999999</v>
      </c>
      <c r="X254" s="97" t="s">
        <v>452</v>
      </c>
      <c r="AH254" s="97">
        <v>234</v>
      </c>
      <c r="AI254" s="111" t="s">
        <v>5855</v>
      </c>
      <c r="AJ254" s="111">
        <v>30000000</v>
      </c>
      <c r="AK254" s="97">
        <v>0</v>
      </c>
      <c r="AL254" s="20">
        <f t="shared" si="80"/>
        <v>170</v>
      </c>
      <c r="AM254" s="115"/>
      <c r="AN254" s="261"/>
    </row>
    <row r="255" spans="7:46" ht="30">
      <c r="G255" s="206" t="s">
        <v>5771</v>
      </c>
      <c r="H255" s="111">
        <v>37723205.094084002</v>
      </c>
      <c r="Q255" s="97" t="s">
        <v>4593</v>
      </c>
      <c r="R255" s="93">
        <v>6650895</v>
      </c>
      <c r="T255" s="206" t="s">
        <v>4959</v>
      </c>
      <c r="U255" s="206">
        <v>13563</v>
      </c>
      <c r="V255" s="111">
        <v>365.69799999999998</v>
      </c>
      <c r="W255" s="111">
        <f t="shared" si="73"/>
        <v>4959961.9739999995</v>
      </c>
      <c r="X255" s="97" t="s">
        <v>452</v>
      </c>
      <c r="AH255" s="97">
        <v>235</v>
      </c>
      <c r="AI255" s="111" t="s">
        <v>5855</v>
      </c>
      <c r="AJ255" s="111">
        <v>-30000000</v>
      </c>
      <c r="AK255" s="97">
        <v>3</v>
      </c>
      <c r="AL255" s="20">
        <f t="shared" si="80"/>
        <v>170</v>
      </c>
      <c r="AM255" s="115"/>
      <c r="AN255" s="261" t="s">
        <v>5856</v>
      </c>
    </row>
    <row r="256" spans="7:46">
      <c r="G256" s="206" t="s">
        <v>5772</v>
      </c>
      <c r="H256" s="111">
        <v>1500094.75168</v>
      </c>
      <c r="Q256" s="97" t="s">
        <v>4609</v>
      </c>
      <c r="R256" s="93">
        <v>2145814</v>
      </c>
      <c r="T256" s="206" t="s">
        <v>4959</v>
      </c>
      <c r="U256" s="206">
        <v>27344</v>
      </c>
      <c r="V256" s="111">
        <v>365.69799999999998</v>
      </c>
      <c r="W256" s="111">
        <f t="shared" si="73"/>
        <v>9999646.1119999997</v>
      </c>
      <c r="X256" s="97" t="s">
        <v>452</v>
      </c>
      <c r="AH256" s="97">
        <v>236</v>
      </c>
      <c r="AI256" s="111" t="s">
        <v>5871</v>
      </c>
      <c r="AJ256" s="111">
        <v>50000000</v>
      </c>
      <c r="AK256" s="97">
        <v>1</v>
      </c>
      <c r="AL256" s="20">
        <f t="shared" si="80"/>
        <v>167</v>
      </c>
      <c r="AM256" s="115"/>
      <c r="AN256" s="261"/>
    </row>
    <row r="257" spans="7:45" ht="30">
      <c r="G257" s="206" t="s">
        <v>5773</v>
      </c>
      <c r="H257" s="111">
        <v>7230628.4378079996</v>
      </c>
      <c r="J257" t="s">
        <v>25</v>
      </c>
      <c r="P257" t="s">
        <v>25</v>
      </c>
      <c r="Q257" s="97" t="s">
        <v>4620</v>
      </c>
      <c r="R257" s="93">
        <v>4369730</v>
      </c>
      <c r="T257" s="206" t="s">
        <v>4966</v>
      </c>
      <c r="U257" s="206">
        <v>-103145</v>
      </c>
      <c r="V257" s="111">
        <v>393.334</v>
      </c>
      <c r="W257" s="111">
        <f t="shared" si="73"/>
        <v>-40570435.43</v>
      </c>
      <c r="X257" s="36" t="s">
        <v>4971</v>
      </c>
      <c r="AH257" s="97">
        <v>237</v>
      </c>
      <c r="AI257" s="111" t="s">
        <v>5873</v>
      </c>
      <c r="AJ257" s="111">
        <v>-50000000</v>
      </c>
      <c r="AK257" s="97">
        <v>5</v>
      </c>
      <c r="AL257" s="20">
        <f t="shared" si="80"/>
        <v>166</v>
      </c>
      <c r="AM257" s="115"/>
      <c r="AN257" s="261" t="s">
        <v>5874</v>
      </c>
      <c r="AP257" t="s">
        <v>25</v>
      </c>
    </row>
    <row r="258" spans="7:45">
      <c r="G258" s="206" t="s">
        <v>5775</v>
      </c>
      <c r="H258" s="111">
        <v>29767389.390390001</v>
      </c>
      <c r="Q258" s="97" t="s">
        <v>4622</v>
      </c>
      <c r="R258" s="93">
        <v>8739459</v>
      </c>
      <c r="S258" t="s">
        <v>25</v>
      </c>
      <c r="T258" s="206" t="s">
        <v>4966</v>
      </c>
      <c r="U258" s="206">
        <v>-369</v>
      </c>
      <c r="V258" s="111">
        <v>393.334</v>
      </c>
      <c r="W258" s="111">
        <f t="shared" si="73"/>
        <v>-145140.24600000001</v>
      </c>
      <c r="X258" s="36" t="s">
        <v>5043</v>
      </c>
      <c r="AH258" s="97">
        <v>238</v>
      </c>
      <c r="AI258" s="111" t="s">
        <v>6405</v>
      </c>
      <c r="AJ258" s="111">
        <v>10000</v>
      </c>
      <c r="AK258" s="97">
        <v>1</v>
      </c>
      <c r="AL258" s="20">
        <f t="shared" si="80"/>
        <v>161</v>
      </c>
      <c r="AM258" s="115"/>
      <c r="AN258" s="261"/>
    </row>
    <row r="259" spans="7:45" ht="15" customHeight="1">
      <c r="G259" s="206" t="s">
        <v>5777</v>
      </c>
      <c r="H259" s="111">
        <v>151560.25597</v>
      </c>
      <c r="Q259" s="97" t="s">
        <v>4631</v>
      </c>
      <c r="R259" s="93">
        <v>6667654</v>
      </c>
      <c r="T259" s="206" t="s">
        <v>4966</v>
      </c>
      <c r="U259" s="206">
        <v>-889</v>
      </c>
      <c r="V259" s="111">
        <v>393.334</v>
      </c>
      <c r="W259" s="111">
        <f t="shared" si="73"/>
        <v>-349673.92599999998</v>
      </c>
      <c r="X259" s="36" t="s">
        <v>5044</v>
      </c>
      <c r="AH259" s="97">
        <v>239</v>
      </c>
      <c r="AI259" s="111" t="s">
        <v>6408</v>
      </c>
      <c r="AJ259" s="111">
        <v>50000000</v>
      </c>
      <c r="AK259" s="97">
        <v>43</v>
      </c>
      <c r="AL259" s="20">
        <f t="shared" si="80"/>
        <v>160</v>
      </c>
      <c r="AM259" s="115"/>
      <c r="AN259" s="261" t="s">
        <v>5342</v>
      </c>
    </row>
    <row r="260" spans="7:45">
      <c r="G260" s="206" t="s">
        <v>5778</v>
      </c>
      <c r="H260" s="111">
        <v>481318.88078800001</v>
      </c>
      <c r="J260" t="s">
        <v>25</v>
      </c>
      <c r="Q260" s="97" t="s">
        <v>4639</v>
      </c>
      <c r="R260" s="93">
        <v>8981245</v>
      </c>
      <c r="T260" s="206" t="s">
        <v>4975</v>
      </c>
      <c r="U260" s="206">
        <v>2546</v>
      </c>
      <c r="V260" s="111">
        <v>393</v>
      </c>
      <c r="W260" s="111">
        <f t="shared" si="73"/>
        <v>1000578</v>
      </c>
      <c r="X260" s="36" t="s">
        <v>452</v>
      </c>
      <c r="AH260" s="97">
        <v>240</v>
      </c>
      <c r="AI260" s="111" t="s">
        <v>6471</v>
      </c>
      <c r="AJ260" s="111">
        <v>50000000</v>
      </c>
      <c r="AK260" s="97">
        <v>10</v>
      </c>
      <c r="AL260" s="20">
        <f t="shared" si="80"/>
        <v>117</v>
      </c>
      <c r="AM260" s="115"/>
      <c r="AN260" s="261" t="s">
        <v>6472</v>
      </c>
    </row>
    <row r="261" spans="7:45">
      <c r="G261" s="206" t="s">
        <v>5781</v>
      </c>
      <c r="H261" s="111">
        <v>146277.56820000001</v>
      </c>
      <c r="P261" t="s">
        <v>25</v>
      </c>
      <c r="Q261" s="97" t="s">
        <v>4643</v>
      </c>
      <c r="R261" s="93">
        <v>9181756</v>
      </c>
      <c r="T261" s="206" t="s">
        <v>4976</v>
      </c>
      <c r="U261" s="206">
        <v>1034</v>
      </c>
      <c r="V261" s="111">
        <v>386.608</v>
      </c>
      <c r="W261" s="111">
        <f t="shared" si="73"/>
        <v>399752.67200000002</v>
      </c>
      <c r="X261" s="36" t="s">
        <v>452</v>
      </c>
      <c r="AH261" s="97">
        <v>241</v>
      </c>
      <c r="AI261" s="111" t="s">
        <v>6473</v>
      </c>
      <c r="AJ261" s="111">
        <v>8200000</v>
      </c>
      <c r="AK261" s="97">
        <v>29</v>
      </c>
      <c r="AL261" s="20">
        <f t="shared" si="80"/>
        <v>107</v>
      </c>
      <c r="AM261" s="115"/>
      <c r="AN261" s="261" t="s">
        <v>6472</v>
      </c>
      <c r="AR261" t="s">
        <v>25</v>
      </c>
      <c r="AS261" t="s">
        <v>25</v>
      </c>
    </row>
    <row r="262" spans="7:45">
      <c r="G262" s="206" t="s">
        <v>5793</v>
      </c>
      <c r="H262" s="111">
        <v>424693.40162399999</v>
      </c>
      <c r="J262" t="s">
        <v>25</v>
      </c>
      <c r="Q262" s="97" t="s">
        <v>4646</v>
      </c>
      <c r="R262" s="93">
        <v>11811208</v>
      </c>
      <c r="S262" t="s">
        <v>25</v>
      </c>
      <c r="T262" s="206" t="s">
        <v>4983</v>
      </c>
      <c r="U262" s="206">
        <v>300</v>
      </c>
      <c r="V262" s="111">
        <v>400</v>
      </c>
      <c r="W262" s="111">
        <f t="shared" si="73"/>
        <v>120000</v>
      </c>
      <c r="X262" s="36" t="s">
        <v>452</v>
      </c>
      <c r="AH262" s="97">
        <v>242</v>
      </c>
      <c r="AI262" s="111" t="s">
        <v>6513</v>
      </c>
      <c r="AJ262" s="111">
        <v>-180000000</v>
      </c>
      <c r="AK262" s="97">
        <v>16</v>
      </c>
      <c r="AL262" s="20">
        <f t="shared" si="80"/>
        <v>78</v>
      </c>
      <c r="AM262" s="115"/>
      <c r="AN262" s="261" t="s">
        <v>6517</v>
      </c>
    </row>
    <row r="263" spans="7:45" ht="17.25" customHeight="1">
      <c r="G263" s="206" t="s">
        <v>5796</v>
      </c>
      <c r="H263" s="111">
        <v>558320.40202399995</v>
      </c>
      <c r="J263" t="s">
        <v>25</v>
      </c>
      <c r="Q263" s="97" t="s">
        <v>4659</v>
      </c>
      <c r="R263" s="93">
        <v>41248054</v>
      </c>
      <c r="S263" t="s">
        <v>25</v>
      </c>
      <c r="T263" s="206" t="s">
        <v>4991</v>
      </c>
      <c r="U263" s="206">
        <v>782</v>
      </c>
      <c r="V263" s="111">
        <v>409</v>
      </c>
      <c r="W263" s="111">
        <f t="shared" si="73"/>
        <v>319838</v>
      </c>
      <c r="X263" s="36" t="s">
        <v>743</v>
      </c>
      <c r="AH263" s="97">
        <v>243</v>
      </c>
      <c r="AI263" s="111" t="s">
        <v>6625</v>
      </c>
      <c r="AJ263" s="111">
        <v>60000000</v>
      </c>
      <c r="AK263" s="97">
        <v>6</v>
      </c>
      <c r="AL263" s="20">
        <f t="shared" si="80"/>
        <v>62</v>
      </c>
      <c r="AM263" s="115"/>
      <c r="AN263" s="261" t="s">
        <v>6626</v>
      </c>
      <c r="AS263" t="s">
        <v>25</v>
      </c>
    </row>
    <row r="264" spans="7:45">
      <c r="G264" s="206" t="s">
        <v>5798</v>
      </c>
      <c r="H264" s="111">
        <v>207642.22201140001</v>
      </c>
      <c r="J264" t="s">
        <v>25</v>
      </c>
      <c r="Q264" s="97" t="s">
        <v>4666</v>
      </c>
      <c r="R264" s="93">
        <v>37328780</v>
      </c>
      <c r="T264" s="206" t="s">
        <v>4995</v>
      </c>
      <c r="U264" s="206">
        <v>1220</v>
      </c>
      <c r="V264" s="111">
        <v>409.9</v>
      </c>
      <c r="W264" s="111">
        <f t="shared" si="73"/>
        <v>500078</v>
      </c>
      <c r="X264" s="36" t="s">
        <v>743</v>
      </c>
      <c r="AH264" s="97">
        <v>244</v>
      </c>
      <c r="AI264" s="111" t="s">
        <v>6635</v>
      </c>
      <c r="AJ264" s="111">
        <v>5000</v>
      </c>
      <c r="AK264" s="97">
        <v>8</v>
      </c>
      <c r="AL264" s="20">
        <f t="shared" si="80"/>
        <v>56</v>
      </c>
      <c r="AM264" s="115"/>
      <c r="AN264" s="261" t="s">
        <v>6472</v>
      </c>
    </row>
    <row r="265" spans="7:45">
      <c r="G265" s="279" t="s">
        <v>5831</v>
      </c>
      <c r="H265" s="88">
        <v>637977.33504399995</v>
      </c>
      <c r="Q265" s="97" t="s">
        <v>4744</v>
      </c>
      <c r="R265" s="93">
        <v>-2194100</v>
      </c>
      <c r="T265" s="206" t="s">
        <v>4997</v>
      </c>
      <c r="U265" s="206">
        <v>1285</v>
      </c>
      <c r="V265" s="111">
        <v>388.84</v>
      </c>
      <c r="W265" s="111">
        <f t="shared" si="73"/>
        <v>499659.39999999997</v>
      </c>
      <c r="X265" s="36" t="s">
        <v>452</v>
      </c>
      <c r="AH265" s="97">
        <v>245</v>
      </c>
      <c r="AI265" s="111" t="s">
        <v>6642</v>
      </c>
      <c r="AJ265" s="111">
        <v>102750000</v>
      </c>
      <c r="AK265" s="97">
        <v>5</v>
      </c>
      <c r="AL265" s="20">
        <f t="shared" si="80"/>
        <v>48</v>
      </c>
      <c r="AM265" s="115"/>
      <c r="AN265" s="261"/>
    </row>
    <row r="266" spans="7:45" ht="30">
      <c r="G266" s="206" t="s">
        <v>5832</v>
      </c>
      <c r="H266" s="111">
        <v>466552.25632400002</v>
      </c>
      <c r="Q266" s="97" t="s">
        <v>4780</v>
      </c>
      <c r="R266" s="93">
        <v>20193916</v>
      </c>
      <c r="T266" s="206" t="s">
        <v>4988</v>
      </c>
      <c r="U266" s="206">
        <v>1924</v>
      </c>
      <c r="V266" s="111">
        <v>386.69600000000003</v>
      </c>
      <c r="W266" s="111">
        <f t="shared" si="73"/>
        <v>744003.10400000005</v>
      </c>
      <c r="X266" s="36" t="s">
        <v>452</v>
      </c>
      <c r="AH266" s="97">
        <v>246</v>
      </c>
      <c r="AI266" s="111" t="s">
        <v>6650</v>
      </c>
      <c r="AJ266" s="111">
        <v>-60000000</v>
      </c>
      <c r="AK266" s="97">
        <v>42</v>
      </c>
      <c r="AL266" s="20">
        <f t="shared" si="80"/>
        <v>43</v>
      </c>
      <c r="AM266" s="115"/>
      <c r="AN266" s="261" t="s">
        <v>6656</v>
      </c>
    </row>
    <row r="267" spans="7:45" ht="20.25" customHeight="1">
      <c r="G267" s="206" t="s">
        <v>5833</v>
      </c>
      <c r="H267" s="111">
        <v>189134.85153000001</v>
      </c>
      <c r="J267" t="s">
        <v>25</v>
      </c>
      <c r="Q267" s="97" t="s">
        <v>4845</v>
      </c>
      <c r="R267" s="93">
        <v>-2000000</v>
      </c>
      <c r="T267" s="206" t="s">
        <v>5013</v>
      </c>
      <c r="U267" s="206">
        <v>165</v>
      </c>
      <c r="V267" s="111">
        <v>393.5</v>
      </c>
      <c r="W267" s="111">
        <f t="shared" si="73"/>
        <v>64927.5</v>
      </c>
      <c r="X267" s="36" t="s">
        <v>452</v>
      </c>
      <c r="AH267" s="97">
        <v>247</v>
      </c>
      <c r="AI267" s="111" t="s">
        <v>7025</v>
      </c>
      <c r="AJ267" s="111">
        <v>50000</v>
      </c>
      <c r="AK267" s="97">
        <v>1</v>
      </c>
      <c r="AL267" s="20">
        <f t="shared" si="80"/>
        <v>1</v>
      </c>
      <c r="AM267" s="115"/>
      <c r="AN267" s="261" t="s">
        <v>6472</v>
      </c>
      <c r="AS267" t="s">
        <v>25</v>
      </c>
    </row>
    <row r="268" spans="7:45" ht="30">
      <c r="G268" s="206" t="s">
        <v>5835</v>
      </c>
      <c r="H268" s="111">
        <v>564888.82799599995</v>
      </c>
      <c r="Q268" s="97" t="s">
        <v>4908</v>
      </c>
      <c r="R268" s="93">
        <v>6800000</v>
      </c>
      <c r="S268" t="s">
        <v>25</v>
      </c>
      <c r="T268" s="206" t="s">
        <v>5018</v>
      </c>
      <c r="U268" s="206">
        <v>-34859</v>
      </c>
      <c r="V268" s="111">
        <v>403.1585</v>
      </c>
      <c r="W268" s="111">
        <f t="shared" si="73"/>
        <v>-14053702.1515</v>
      </c>
      <c r="X268" s="36" t="s">
        <v>5021</v>
      </c>
      <c r="AH268" s="97"/>
      <c r="AI268" s="111"/>
      <c r="AJ268" s="111"/>
      <c r="AK268" s="97"/>
      <c r="AL268" s="20">
        <f t="shared" si="80"/>
        <v>0</v>
      </c>
      <c r="AM268" s="115"/>
      <c r="AN268" s="261"/>
    </row>
    <row r="269" spans="7:45" ht="21.75" customHeight="1">
      <c r="G269" s="206" t="s">
        <v>5871</v>
      </c>
      <c r="H269" s="111">
        <v>259993.58394100002</v>
      </c>
      <c r="J269" t="s">
        <v>25</v>
      </c>
      <c r="Q269" s="97" t="s">
        <v>4915</v>
      </c>
      <c r="R269" s="93">
        <v>850000</v>
      </c>
      <c r="T269" s="206" t="s">
        <v>4989</v>
      </c>
      <c r="U269" s="206">
        <v>8476</v>
      </c>
      <c r="V269" s="111">
        <v>419.49900000000002</v>
      </c>
      <c r="W269" s="111">
        <f t="shared" si="73"/>
        <v>3555673.5240000002</v>
      </c>
      <c r="X269" s="36" t="s">
        <v>5027</v>
      </c>
      <c r="AH269" s="97"/>
      <c r="AI269" s="111"/>
      <c r="AJ269" s="111"/>
      <c r="AK269" s="97"/>
      <c r="AL269" s="20">
        <f t="shared" si="80"/>
        <v>0</v>
      </c>
      <c r="AM269" s="115"/>
      <c r="AN269" s="261"/>
    </row>
    <row r="270" spans="7:45">
      <c r="G270" s="206" t="s">
        <v>5873</v>
      </c>
      <c r="H270" s="111">
        <v>269955.31205999997</v>
      </c>
      <c r="Q270" s="97" t="s">
        <v>4923</v>
      </c>
      <c r="R270" s="93">
        <v>2290500</v>
      </c>
      <c r="T270" s="206" t="s">
        <v>5039</v>
      </c>
      <c r="U270" s="206">
        <v>903</v>
      </c>
      <c r="V270" s="111">
        <v>442.77379999999999</v>
      </c>
      <c r="W270" s="111">
        <f t="shared" si="73"/>
        <v>399824.7414</v>
      </c>
      <c r="X270" s="36" t="s">
        <v>743</v>
      </c>
      <c r="AH270" s="97"/>
      <c r="AI270" s="111"/>
      <c r="AJ270" s="111"/>
      <c r="AK270" s="97"/>
      <c r="AL270" s="20">
        <f t="shared" si="80"/>
        <v>0</v>
      </c>
      <c r="AM270" s="115"/>
      <c r="AN270" s="20"/>
    </row>
    <row r="271" spans="7:45">
      <c r="G271" s="206" t="s">
        <v>6414</v>
      </c>
      <c r="H271" s="111">
        <v>560534.38387200003</v>
      </c>
      <c r="Q271" s="97" t="s">
        <v>4931</v>
      </c>
      <c r="R271" s="93">
        <v>400000</v>
      </c>
      <c r="S271" t="s">
        <v>25</v>
      </c>
      <c r="T271" s="206" t="s">
        <v>5042</v>
      </c>
      <c r="U271" s="206">
        <v>113</v>
      </c>
      <c r="V271" s="111">
        <v>442.48200000000003</v>
      </c>
      <c r="W271" s="111">
        <f t="shared" ref="W271:W352" si="82">U271*V271</f>
        <v>50000.466</v>
      </c>
      <c r="X271" s="36" t="s">
        <v>743</v>
      </c>
      <c r="AC271" t="s">
        <v>25</v>
      </c>
      <c r="AH271" s="97"/>
      <c r="AI271" s="111"/>
      <c r="AJ271" s="111"/>
      <c r="AK271" s="97"/>
      <c r="AL271" s="20">
        <f t="shared" si="80"/>
        <v>0</v>
      </c>
      <c r="AM271" s="115"/>
      <c r="AN271" s="20"/>
      <c r="AR271" t="s">
        <v>25</v>
      </c>
    </row>
    <row r="272" spans="7:45">
      <c r="G272" s="206" t="s">
        <v>6420</v>
      </c>
      <c r="H272" s="111">
        <v>581484.96802499995</v>
      </c>
      <c r="Q272" s="97" t="s">
        <v>4938</v>
      </c>
      <c r="R272" s="93">
        <v>150000</v>
      </c>
      <c r="T272" s="206" t="s">
        <v>5052</v>
      </c>
      <c r="U272" s="206">
        <v>671</v>
      </c>
      <c r="V272" s="111">
        <v>447</v>
      </c>
      <c r="W272" s="111">
        <f t="shared" si="82"/>
        <v>299937</v>
      </c>
      <c r="X272" s="36" t="s">
        <v>743</v>
      </c>
      <c r="AH272" s="97"/>
      <c r="AI272" s="111"/>
      <c r="AJ272" s="111"/>
      <c r="AK272" s="97"/>
      <c r="AL272" s="20">
        <f t="shared" si="80"/>
        <v>0</v>
      </c>
      <c r="AM272" s="115"/>
      <c r="AN272" s="20"/>
    </row>
    <row r="273" spans="7:40">
      <c r="G273" s="206" t="s">
        <v>6423</v>
      </c>
      <c r="H273" s="111">
        <v>2136964.3409779998</v>
      </c>
      <c r="J273" t="s">
        <v>25</v>
      </c>
      <c r="Q273" s="97" t="s">
        <v>4966</v>
      </c>
      <c r="R273" s="93">
        <v>-144950</v>
      </c>
      <c r="T273" s="206" t="s">
        <v>5054</v>
      </c>
      <c r="U273" s="206">
        <v>7</v>
      </c>
      <c r="V273" s="111">
        <v>465.31200000000001</v>
      </c>
      <c r="W273" s="111">
        <f t="shared" si="82"/>
        <v>3257.1840000000002</v>
      </c>
      <c r="X273" s="36" t="s">
        <v>452</v>
      </c>
      <c r="AH273" s="97"/>
      <c r="AI273" s="111"/>
      <c r="AJ273" s="111">
        <v>0</v>
      </c>
      <c r="AK273" s="97"/>
      <c r="AL273" s="20">
        <f t="shared" si="80"/>
        <v>0</v>
      </c>
      <c r="AM273" s="115">
        <f t="shared" si="81"/>
        <v>0</v>
      </c>
      <c r="AN273" s="20"/>
    </row>
    <row r="274" spans="7:40">
      <c r="G274" s="206" t="s">
        <v>6427</v>
      </c>
      <c r="H274" s="111">
        <v>593783.22629999998</v>
      </c>
      <c r="J274" t="s">
        <v>25</v>
      </c>
      <c r="Q274" s="97" t="s">
        <v>4991</v>
      </c>
      <c r="R274" s="93">
        <v>320000</v>
      </c>
      <c r="T274" s="206" t="s">
        <v>5058</v>
      </c>
      <c r="U274" s="206">
        <v>12950</v>
      </c>
      <c r="V274" s="111">
        <v>463.31599999999997</v>
      </c>
      <c r="W274" s="111">
        <f t="shared" si="82"/>
        <v>5999942.1999999993</v>
      </c>
      <c r="X274" s="36" t="s">
        <v>452</v>
      </c>
      <c r="AH274" s="97"/>
      <c r="AI274" s="111"/>
      <c r="AJ274" s="111"/>
      <c r="AK274" s="97">
        <v>0</v>
      </c>
      <c r="AL274" s="20">
        <f t="shared" si="80"/>
        <v>0</v>
      </c>
      <c r="AM274" s="115">
        <f t="shared" si="81"/>
        <v>0</v>
      </c>
      <c r="AN274" s="20"/>
    </row>
    <row r="275" spans="7:40">
      <c r="G275" s="206" t="s">
        <v>6431</v>
      </c>
      <c r="H275" s="111">
        <v>469469.96222000004</v>
      </c>
      <c r="J275" t="s">
        <v>25</v>
      </c>
      <c r="K275" t="s">
        <v>25</v>
      </c>
      <c r="Q275" s="97" t="s">
        <v>4995</v>
      </c>
      <c r="R275" s="93">
        <v>500000</v>
      </c>
      <c r="S275" t="s">
        <v>25</v>
      </c>
      <c r="T275" s="206" t="s">
        <v>5060</v>
      </c>
      <c r="U275" s="206">
        <v>37</v>
      </c>
      <c r="V275" s="111">
        <v>463.315</v>
      </c>
      <c r="W275" s="111">
        <f t="shared" si="82"/>
        <v>17142.654999999999</v>
      </c>
      <c r="X275" s="36" t="s">
        <v>452</v>
      </c>
      <c r="AH275" s="97"/>
      <c r="AI275" s="97"/>
      <c r="AJ275" s="93">
        <f>SUM(AJ20:AJ274)</f>
        <v>469485949.06156397</v>
      </c>
      <c r="AK275" s="97"/>
      <c r="AL275" s="97">
        <v>0</v>
      </c>
      <c r="AM275" s="93">
        <f>SUM(AM20:AM274)</f>
        <v>560108210802</v>
      </c>
      <c r="AN275" s="93">
        <f>AM275*AN278/31</f>
        <v>301139469.33667535</v>
      </c>
    </row>
    <row r="276" spans="7:40">
      <c r="G276" s="206" t="s">
        <v>6474</v>
      </c>
      <c r="H276" s="111">
        <v>15777944</v>
      </c>
      <c r="Q276" s="97" t="s">
        <v>5039</v>
      </c>
      <c r="R276" s="93">
        <v>400000</v>
      </c>
      <c r="S276" t="s">
        <v>25</v>
      </c>
      <c r="T276" s="206" t="s">
        <v>5061</v>
      </c>
      <c r="U276" s="206">
        <v>19</v>
      </c>
      <c r="V276" s="111">
        <v>434.3</v>
      </c>
      <c r="W276" s="111">
        <f t="shared" si="82"/>
        <v>8251.7000000000007</v>
      </c>
      <c r="X276" s="36" t="s">
        <v>452</v>
      </c>
      <c r="Y276" t="s">
        <v>25</v>
      </c>
      <c r="AH276" s="97"/>
      <c r="AI276" s="97"/>
      <c r="AJ276" s="97" t="s">
        <v>4041</v>
      </c>
      <c r="AK276" s="97"/>
      <c r="AL276" s="97"/>
      <c r="AM276" s="97" t="s">
        <v>284</v>
      </c>
      <c r="AN276" s="97" t="s">
        <v>926</v>
      </c>
    </row>
    <row r="277" spans="7:40">
      <c r="G277" s="206" t="s">
        <v>6482</v>
      </c>
      <c r="H277" s="111">
        <v>3585319.2317280001</v>
      </c>
      <c r="J277" t="s">
        <v>25</v>
      </c>
      <c r="K277" t="s">
        <v>25</v>
      </c>
      <c r="Q277" s="97" t="s">
        <v>5042</v>
      </c>
      <c r="R277" s="93">
        <v>50000</v>
      </c>
      <c r="S277" t="s">
        <v>25</v>
      </c>
      <c r="T277" s="206" t="s">
        <v>5063</v>
      </c>
      <c r="U277" s="206">
        <v>16</v>
      </c>
      <c r="V277" s="111">
        <v>439</v>
      </c>
      <c r="W277" s="111">
        <f t="shared" si="82"/>
        <v>7024</v>
      </c>
      <c r="X277" s="36" t="s">
        <v>452</v>
      </c>
      <c r="Y277" t="s">
        <v>25</v>
      </c>
      <c r="AH277" s="97"/>
      <c r="AI277" s="97"/>
      <c r="AJ277" s="97"/>
      <c r="AK277" s="97"/>
      <c r="AL277" s="97"/>
      <c r="AM277" s="97"/>
      <c r="AN277" s="97"/>
    </row>
    <row r="278" spans="7:40" ht="45">
      <c r="G278" s="206" t="s">
        <v>6485</v>
      </c>
      <c r="H278" s="111">
        <v>676700.69889600005</v>
      </c>
      <c r="J278" t="s">
        <v>25</v>
      </c>
      <c r="Q278" s="97" t="s">
        <v>5052</v>
      </c>
      <c r="R278" s="93">
        <v>300000</v>
      </c>
      <c r="T278" s="206" t="s">
        <v>5063</v>
      </c>
      <c r="U278" s="206">
        <v>9191</v>
      </c>
      <c r="V278" s="111">
        <v>440.24630000000002</v>
      </c>
      <c r="W278" s="111">
        <f t="shared" si="82"/>
        <v>4046303.7433000002</v>
      </c>
      <c r="X278" s="36" t="s">
        <v>5064</v>
      </c>
      <c r="AH278" s="97"/>
      <c r="AI278" s="97"/>
      <c r="AJ278" s="97"/>
      <c r="AK278" s="97"/>
      <c r="AL278" s="97"/>
      <c r="AM278" s="97" t="s">
        <v>4042</v>
      </c>
      <c r="AN278" s="97">
        <v>1.6667000000000001E-2</v>
      </c>
    </row>
    <row r="279" spans="7:40">
      <c r="G279" s="206" t="s">
        <v>6494</v>
      </c>
      <c r="H279" s="111">
        <v>1105777.5430340001</v>
      </c>
      <c r="J279" t="s">
        <v>25</v>
      </c>
      <c r="Q279" s="97" t="s">
        <v>5073</v>
      </c>
      <c r="R279" s="93">
        <v>250000</v>
      </c>
      <c r="T279" s="206" t="s">
        <v>5066</v>
      </c>
      <c r="U279" s="206">
        <v>-8792</v>
      </c>
      <c r="V279" s="111">
        <v>441.90665999999999</v>
      </c>
      <c r="W279" s="111">
        <f t="shared" si="82"/>
        <v>-3885243.3547199997</v>
      </c>
      <c r="X279" s="36" t="s">
        <v>5067</v>
      </c>
      <c r="AH279" s="97"/>
      <c r="AI279" s="97"/>
      <c r="AJ279" s="97"/>
      <c r="AK279" s="97"/>
      <c r="AL279" s="97"/>
      <c r="AM279" s="97"/>
      <c r="AN279" s="97"/>
    </row>
    <row r="280" spans="7:40">
      <c r="G280" s="206" t="s">
        <v>6498</v>
      </c>
      <c r="H280" s="111">
        <v>2315234.8602510002</v>
      </c>
      <c r="Q280" s="97" t="s">
        <v>5106</v>
      </c>
      <c r="R280" s="93">
        <v>200000</v>
      </c>
      <c r="T280" s="206" t="s">
        <v>5073</v>
      </c>
      <c r="U280" s="206">
        <v>530</v>
      </c>
      <c r="V280" s="111">
        <v>472</v>
      </c>
      <c r="W280" s="111">
        <f t="shared" si="82"/>
        <v>250160</v>
      </c>
      <c r="X280" s="36" t="s">
        <v>743</v>
      </c>
      <c r="AH280" s="97"/>
      <c r="AI280" s="97" t="s">
        <v>4043</v>
      </c>
      <c r="AJ280" s="93">
        <f>AJ275+AN275</f>
        <v>770625418.39823937</v>
      </c>
      <c r="AK280" s="97"/>
      <c r="AL280" s="97"/>
      <c r="AM280" s="97"/>
      <c r="AN280" s="97"/>
    </row>
    <row r="281" spans="7:40" ht="30">
      <c r="G281" s="206" t="s">
        <v>6500</v>
      </c>
      <c r="H281" s="111">
        <v>4136360.6541840001</v>
      </c>
      <c r="J281" t="s">
        <v>25</v>
      </c>
      <c r="Q281" s="97" t="s">
        <v>5138</v>
      </c>
      <c r="R281" s="93">
        <v>122000</v>
      </c>
      <c r="T281" s="206" t="s">
        <v>5073</v>
      </c>
      <c r="U281" s="206">
        <v>12</v>
      </c>
      <c r="V281" s="111">
        <v>481.86</v>
      </c>
      <c r="W281" s="111">
        <f t="shared" si="82"/>
        <v>5782.32</v>
      </c>
      <c r="X281" s="36" t="s">
        <v>5075</v>
      </c>
      <c r="AI281" t="s">
        <v>4046</v>
      </c>
      <c r="AJ281" s="112">
        <f>SUM(N44:N53)</f>
        <v>7065095904</v>
      </c>
      <c r="AM281" t="s">
        <v>25</v>
      </c>
    </row>
    <row r="282" spans="7:40">
      <c r="G282" s="206" t="s">
        <v>6502</v>
      </c>
      <c r="H282" s="111">
        <v>3035714.4702960001</v>
      </c>
      <c r="O282" t="s">
        <v>25</v>
      </c>
      <c r="Q282" s="97" t="s">
        <v>5146</v>
      </c>
      <c r="R282" s="93">
        <v>200000</v>
      </c>
      <c r="S282" t="s">
        <v>25</v>
      </c>
      <c r="T282" s="206" t="s">
        <v>5099</v>
      </c>
      <c r="U282" s="206">
        <v>846</v>
      </c>
      <c r="V282" s="111">
        <v>472.7</v>
      </c>
      <c r="W282" s="111">
        <f t="shared" si="82"/>
        <v>399904.2</v>
      </c>
      <c r="X282" s="36" t="s">
        <v>452</v>
      </c>
      <c r="AI282" t="s">
        <v>4116</v>
      </c>
      <c r="AJ282" s="112">
        <f>AJ281-AJ275</f>
        <v>6595609954.9384365</v>
      </c>
      <c r="AM282" t="s">
        <v>25</v>
      </c>
    </row>
    <row r="283" spans="7:40">
      <c r="G283" s="206" t="s">
        <v>6513</v>
      </c>
      <c r="H283" s="111">
        <v>93814</v>
      </c>
      <c r="Q283" s="97" t="s">
        <v>5156</v>
      </c>
      <c r="R283" s="93">
        <v>60000</v>
      </c>
      <c r="T283" s="206" t="s">
        <v>5102</v>
      </c>
      <c r="U283" s="206">
        <v>191</v>
      </c>
      <c r="V283" s="111">
        <v>484.572</v>
      </c>
      <c r="W283" s="111">
        <f t="shared" si="82"/>
        <v>92553.252000000008</v>
      </c>
      <c r="X283" s="36" t="s">
        <v>5103</v>
      </c>
      <c r="AI283" t="s">
        <v>926</v>
      </c>
      <c r="AJ283" s="112">
        <f>AN275</f>
        <v>301139469.33667535</v>
      </c>
      <c r="AN283" t="s">
        <v>25</v>
      </c>
    </row>
    <row r="284" spans="7:40">
      <c r="G284" s="206" t="s">
        <v>6519</v>
      </c>
      <c r="H284" s="111">
        <v>345069.28943499998</v>
      </c>
      <c r="Q284" s="97" t="s">
        <v>5215</v>
      </c>
      <c r="R284" s="93">
        <v>-200000</v>
      </c>
      <c r="S284" t="s">
        <v>25</v>
      </c>
      <c r="T284" s="206" t="s">
        <v>5102</v>
      </c>
      <c r="U284" s="206">
        <v>-206</v>
      </c>
      <c r="V284" s="111">
        <v>484.572</v>
      </c>
      <c r="W284" s="111">
        <f t="shared" si="82"/>
        <v>-99821.831999999995</v>
      </c>
      <c r="X284" s="36" t="s">
        <v>5105</v>
      </c>
      <c r="AI284" t="s">
        <v>4047</v>
      </c>
      <c r="AJ284" s="112">
        <f>AJ281-AJ280</f>
        <v>6294470485.6017609</v>
      </c>
      <c r="AN284" t="s">
        <v>25</v>
      </c>
    </row>
    <row r="285" spans="7:40">
      <c r="G285" s="206" t="s">
        <v>6612</v>
      </c>
      <c r="H285" s="111">
        <v>567785.37859199999</v>
      </c>
      <c r="Q285" s="97" t="s">
        <v>5277</v>
      </c>
      <c r="R285" s="93">
        <v>-9000000</v>
      </c>
      <c r="T285" s="206" t="s">
        <v>5106</v>
      </c>
      <c r="U285" s="206">
        <v>20685</v>
      </c>
      <c r="V285" s="111">
        <v>483.43312200000003</v>
      </c>
      <c r="W285" s="111">
        <f t="shared" si="82"/>
        <v>9999814.1285699997</v>
      </c>
      <c r="X285" s="36" t="s">
        <v>5108</v>
      </c>
      <c r="AM285" t="s">
        <v>25</v>
      </c>
    </row>
    <row r="286" spans="7:40">
      <c r="G286" s="206" t="s">
        <v>6624</v>
      </c>
      <c r="H286" s="111">
        <v>189683.91675</v>
      </c>
      <c r="J286" t="s">
        <v>25</v>
      </c>
      <c r="Q286" s="97" t="s">
        <v>5335</v>
      </c>
      <c r="R286" s="93">
        <v>-26000000</v>
      </c>
      <c r="T286" s="206" t="s">
        <v>5106</v>
      </c>
      <c r="U286" s="206">
        <v>-413</v>
      </c>
      <c r="V286" s="111">
        <v>483.40199999999999</v>
      </c>
      <c r="W286" s="111">
        <f t="shared" si="82"/>
        <v>-199645.02599999998</v>
      </c>
      <c r="X286" s="36" t="s">
        <v>4406</v>
      </c>
      <c r="AJ286" t="s">
        <v>25</v>
      </c>
    </row>
    <row r="287" spans="7:40">
      <c r="G287" s="206" t="s">
        <v>6625</v>
      </c>
      <c r="H287" s="111">
        <v>519135.75707200001</v>
      </c>
      <c r="Q287" s="97" t="s">
        <v>5339</v>
      </c>
      <c r="R287" s="93">
        <v>-95900000</v>
      </c>
      <c r="T287" s="206" t="s">
        <v>5106</v>
      </c>
      <c r="U287" s="206">
        <v>413</v>
      </c>
      <c r="V287" s="111">
        <v>483.40199999999999</v>
      </c>
      <c r="W287" s="111">
        <f t="shared" si="82"/>
        <v>199645.02599999998</v>
      </c>
      <c r="X287" s="36" t="s">
        <v>743</v>
      </c>
    </row>
    <row r="288" spans="7:40">
      <c r="G288" s="206" t="s">
        <v>6632</v>
      </c>
      <c r="H288" s="111">
        <v>3406413.9029760002</v>
      </c>
      <c r="Q288" s="97" t="s">
        <v>5340</v>
      </c>
      <c r="R288" s="93">
        <v>-28950000</v>
      </c>
      <c r="S288" t="s">
        <v>25</v>
      </c>
      <c r="T288" s="206" t="s">
        <v>5111</v>
      </c>
      <c r="U288" s="206">
        <v>-828</v>
      </c>
      <c r="V288" s="111">
        <v>483.43312200000003</v>
      </c>
      <c r="W288" s="111">
        <f t="shared" si="82"/>
        <v>-400282.62501600001</v>
      </c>
      <c r="X288" s="36" t="s">
        <v>452</v>
      </c>
    </row>
    <row r="289" spans="7:44">
      <c r="G289" s="418" t="s">
        <v>6634</v>
      </c>
      <c r="H289" s="77">
        <v>435036.348168</v>
      </c>
      <c r="Q289" s="97" t="s">
        <v>5483</v>
      </c>
      <c r="R289" s="93">
        <v>-93000000</v>
      </c>
      <c r="S289" t="s">
        <v>25</v>
      </c>
      <c r="T289" s="206" t="s">
        <v>5114</v>
      </c>
      <c r="U289" s="206">
        <v>12</v>
      </c>
      <c r="V289" s="111">
        <v>473.61898300000001</v>
      </c>
      <c r="W289" s="111">
        <f t="shared" si="82"/>
        <v>5683.4277959999999</v>
      </c>
      <c r="X289" s="36" t="s">
        <v>452</v>
      </c>
    </row>
    <row r="290" spans="7:44">
      <c r="G290" s="206" t="s">
        <v>6680</v>
      </c>
      <c r="H290" s="111">
        <v>2321535.4633200001</v>
      </c>
      <c r="O290" t="s">
        <v>25</v>
      </c>
      <c r="Q290" s="97" t="s">
        <v>5492</v>
      </c>
      <c r="R290" s="93">
        <v>50000000</v>
      </c>
      <c r="T290" s="206" t="s">
        <v>5117</v>
      </c>
      <c r="U290" s="206">
        <v>963</v>
      </c>
      <c r="V290" s="111">
        <v>477.92200000000003</v>
      </c>
      <c r="W290" s="111">
        <f t="shared" si="82"/>
        <v>460238.886</v>
      </c>
      <c r="X290" s="36" t="s">
        <v>452</v>
      </c>
    </row>
    <row r="291" spans="7:44">
      <c r="G291" s="206" t="s">
        <v>7011</v>
      </c>
      <c r="H291" s="111">
        <v>1098146.8035800001</v>
      </c>
      <c r="Q291" s="97" t="s">
        <v>4209</v>
      </c>
      <c r="R291" s="93">
        <v>2749471.1668000002</v>
      </c>
      <c r="T291" s="206" t="s">
        <v>5118</v>
      </c>
      <c r="U291" s="206">
        <v>2815</v>
      </c>
      <c r="V291" s="111">
        <v>461.79</v>
      </c>
      <c r="W291" s="111">
        <f t="shared" si="82"/>
        <v>1299938.8500000001</v>
      </c>
      <c r="X291" s="36" t="s">
        <v>452</v>
      </c>
      <c r="AH291" s="97" t="s">
        <v>3623</v>
      </c>
      <c r="AI291" s="97" t="s">
        <v>180</v>
      </c>
      <c r="AJ291" s="97" t="s">
        <v>267</v>
      </c>
      <c r="AK291" s="97" t="s">
        <v>4040</v>
      </c>
      <c r="AL291" s="97" t="s">
        <v>4032</v>
      </c>
      <c r="AM291" s="97" t="s">
        <v>282</v>
      </c>
      <c r="AN291" s="97" t="s">
        <v>4265</v>
      </c>
    </row>
    <row r="292" spans="7:44">
      <c r="G292" s="206" t="s">
        <v>7018</v>
      </c>
      <c r="H292" s="111">
        <v>540424.560405</v>
      </c>
      <c r="Q292" s="97" t="s">
        <v>5583</v>
      </c>
      <c r="R292" s="93">
        <v>-680940.07019999996</v>
      </c>
      <c r="T292" s="206" t="s">
        <v>5118</v>
      </c>
      <c r="U292" s="206">
        <v>1581</v>
      </c>
      <c r="V292" s="111">
        <v>461.79</v>
      </c>
      <c r="W292" s="111">
        <f t="shared" si="82"/>
        <v>730089.99</v>
      </c>
      <c r="X292" s="36" t="s">
        <v>452</v>
      </c>
      <c r="Y292" t="s">
        <v>25</v>
      </c>
      <c r="AH292" s="97">
        <v>1</v>
      </c>
      <c r="AI292" s="97" t="s">
        <v>3931</v>
      </c>
      <c r="AJ292" s="115">
        <v>3555820</v>
      </c>
      <c r="AK292" s="97">
        <v>2</v>
      </c>
      <c r="AL292" s="97">
        <f>AK292+AL293</f>
        <v>991</v>
      </c>
      <c r="AM292" s="97">
        <f>AJ292*AL292</f>
        <v>3523817620</v>
      </c>
      <c r="AN292" s="97" t="s">
        <v>4283</v>
      </c>
    </row>
    <row r="293" spans="7:44">
      <c r="G293" s="206" t="s">
        <v>7020</v>
      </c>
      <c r="H293" s="111">
        <v>2781712.2405709997</v>
      </c>
      <c r="Q293" s="97" t="s">
        <v>5583</v>
      </c>
      <c r="R293" s="93">
        <v>-48684800.338199995</v>
      </c>
      <c r="T293" s="206" t="s">
        <v>975</v>
      </c>
      <c r="U293" s="206">
        <v>41</v>
      </c>
      <c r="V293" s="111">
        <v>514.48099999999999</v>
      </c>
      <c r="W293" s="111">
        <f t="shared" si="82"/>
        <v>21093.721000000001</v>
      </c>
      <c r="X293" s="36" t="s">
        <v>5103</v>
      </c>
      <c r="AH293" s="97">
        <v>2</v>
      </c>
      <c r="AI293" s="97" t="s">
        <v>4006</v>
      </c>
      <c r="AJ293" s="115">
        <v>1720837</v>
      </c>
      <c r="AK293" s="97">
        <v>51</v>
      </c>
      <c r="AL293" s="97">
        <f t="shared" ref="AL293:AL302" si="83">AK293+AL294</f>
        <v>989</v>
      </c>
      <c r="AM293" s="97">
        <f t="shared" ref="AM293:AM321" si="84">AJ293*AL293</f>
        <v>1701907793</v>
      </c>
      <c r="AN293" s="97" t="s">
        <v>4284</v>
      </c>
    </row>
    <row r="294" spans="7:44">
      <c r="G294" s="206" t="s">
        <v>6485</v>
      </c>
      <c r="H294" s="111">
        <v>109680.86334900001</v>
      </c>
      <c r="Q294" s="97" t="s">
        <v>5607</v>
      </c>
      <c r="R294" s="93">
        <v>1500000</v>
      </c>
      <c r="S294" t="s">
        <v>25</v>
      </c>
      <c r="T294" s="206" t="s">
        <v>4253</v>
      </c>
      <c r="U294" s="206">
        <v>71</v>
      </c>
      <c r="V294" s="111">
        <v>482.57</v>
      </c>
      <c r="W294" s="111">
        <f t="shared" si="82"/>
        <v>34262.47</v>
      </c>
      <c r="X294" s="36" t="s">
        <v>5103</v>
      </c>
      <c r="AH294" s="97">
        <v>3</v>
      </c>
      <c r="AI294" s="97" t="s">
        <v>4110</v>
      </c>
      <c r="AJ294" s="115">
        <v>150000</v>
      </c>
      <c r="AK294" s="97">
        <v>3</v>
      </c>
      <c r="AL294" s="97">
        <f t="shared" si="83"/>
        <v>938</v>
      </c>
      <c r="AM294" s="97">
        <f t="shared" si="84"/>
        <v>140700000</v>
      </c>
      <c r="AN294" s="97"/>
    </row>
    <row r="295" spans="7:44">
      <c r="G295" s="206"/>
      <c r="H295" s="111"/>
      <c r="Q295" s="97" t="s">
        <v>963</v>
      </c>
      <c r="R295" s="93">
        <v>11221062</v>
      </c>
      <c r="S295" t="s">
        <v>25</v>
      </c>
      <c r="T295" s="206" t="s">
        <v>5138</v>
      </c>
      <c r="U295" s="206">
        <v>-250</v>
      </c>
      <c r="V295" s="111">
        <v>487.125</v>
      </c>
      <c r="W295" s="111">
        <f t="shared" si="82"/>
        <v>-121781.25</v>
      </c>
      <c r="X295" s="36" t="s">
        <v>4406</v>
      </c>
      <c r="AH295" s="97">
        <v>4</v>
      </c>
      <c r="AI295" s="97" t="s">
        <v>4125</v>
      </c>
      <c r="AJ295" s="115">
        <v>-95000</v>
      </c>
      <c r="AK295" s="97">
        <v>8</v>
      </c>
      <c r="AL295" s="97">
        <f t="shared" si="83"/>
        <v>935</v>
      </c>
      <c r="AM295" s="97">
        <f t="shared" si="84"/>
        <v>-88825000</v>
      </c>
      <c r="AN295" s="97"/>
    </row>
    <row r="296" spans="7:44">
      <c r="G296" s="206"/>
      <c r="H296" s="111"/>
      <c r="Q296" s="97" t="s">
        <v>5825</v>
      </c>
      <c r="R296" s="93">
        <v>20031495.928431001</v>
      </c>
      <c r="T296" s="206" t="s">
        <v>5138</v>
      </c>
      <c r="U296" s="206">
        <v>250</v>
      </c>
      <c r="V296" s="111">
        <v>487.125</v>
      </c>
      <c r="W296" s="111">
        <f t="shared" si="82"/>
        <v>121781.25</v>
      </c>
      <c r="X296" s="36" t="s">
        <v>743</v>
      </c>
      <c r="AH296" s="97">
        <v>5</v>
      </c>
      <c r="AI296" s="97" t="s">
        <v>4149</v>
      </c>
      <c r="AJ296" s="115">
        <v>3150000</v>
      </c>
      <c r="AK296" s="97">
        <v>16</v>
      </c>
      <c r="AL296" s="97">
        <f t="shared" si="83"/>
        <v>927</v>
      </c>
      <c r="AM296" s="97">
        <f t="shared" si="84"/>
        <v>2920050000</v>
      </c>
      <c r="AN296" s="97"/>
    </row>
    <row r="297" spans="7:44">
      <c r="G297" s="206"/>
      <c r="H297" s="111"/>
      <c r="Q297" s="97" t="s">
        <v>5839</v>
      </c>
      <c r="R297" s="93">
        <v>-154353015.43906799</v>
      </c>
      <c r="S297" t="s">
        <v>25</v>
      </c>
      <c r="T297" s="206" t="s">
        <v>5146</v>
      </c>
      <c r="U297" s="206">
        <v>-1439</v>
      </c>
      <c r="V297" s="111">
        <v>486.53068999999999</v>
      </c>
      <c r="W297" s="111">
        <f t="shared" si="82"/>
        <v>-700117.66290999996</v>
      </c>
      <c r="X297" s="36" t="s">
        <v>4406</v>
      </c>
      <c r="AH297" s="97">
        <v>6</v>
      </c>
      <c r="AI297" s="97" t="s">
        <v>4214</v>
      </c>
      <c r="AJ297" s="115">
        <v>-65000</v>
      </c>
      <c r="AK297" s="97">
        <v>1</v>
      </c>
      <c r="AL297" s="97">
        <f t="shared" si="83"/>
        <v>911</v>
      </c>
      <c r="AM297" s="97">
        <f t="shared" si="84"/>
        <v>-59215000</v>
      </c>
      <c r="AN297" s="97"/>
    </row>
    <row r="298" spans="7:44">
      <c r="G298" s="206" t="s">
        <v>5479</v>
      </c>
      <c r="H298" s="111">
        <v>-87000000</v>
      </c>
      <c r="O298" t="s">
        <v>25</v>
      </c>
      <c r="Q298" s="97" t="s">
        <v>5858</v>
      </c>
      <c r="R298" s="93">
        <v>16643927.89773</v>
      </c>
      <c r="S298" t="s">
        <v>25</v>
      </c>
      <c r="T298" s="206" t="s">
        <v>5146</v>
      </c>
      <c r="U298" s="206">
        <v>411</v>
      </c>
      <c r="V298" s="111">
        <v>486.53068999999999</v>
      </c>
      <c r="W298" s="111">
        <f t="shared" si="82"/>
        <v>199964.11358999999</v>
      </c>
      <c r="X298" s="36" t="s">
        <v>743</v>
      </c>
      <c r="Y298" t="s">
        <v>25</v>
      </c>
      <c r="AH298" s="97">
        <v>7</v>
      </c>
      <c r="AI298" s="97" t="s">
        <v>4285</v>
      </c>
      <c r="AJ298" s="115">
        <v>-95000</v>
      </c>
      <c r="AK298" s="97">
        <v>6</v>
      </c>
      <c r="AL298" s="97">
        <f t="shared" si="83"/>
        <v>910</v>
      </c>
      <c r="AM298" s="97">
        <f t="shared" si="84"/>
        <v>-86450000</v>
      </c>
      <c r="AN298" s="97"/>
    </row>
    <row r="299" spans="7:44">
      <c r="G299" s="206"/>
      <c r="H299" s="111"/>
      <c r="Q299" s="97" t="s">
        <v>5859</v>
      </c>
      <c r="R299" s="93">
        <v>33355467.51292</v>
      </c>
      <c r="T299" s="206" t="s">
        <v>5116</v>
      </c>
      <c r="U299" s="206">
        <v>-4290</v>
      </c>
      <c r="V299" s="111">
        <v>497.57670000000002</v>
      </c>
      <c r="W299" s="111">
        <f t="shared" si="82"/>
        <v>-2134604.0430000001</v>
      </c>
      <c r="X299" s="36" t="s">
        <v>452</v>
      </c>
      <c r="AH299" s="97">
        <v>8</v>
      </c>
      <c r="AI299" s="97" t="s">
        <v>4286</v>
      </c>
      <c r="AJ299" s="115">
        <v>232000</v>
      </c>
      <c r="AK299" s="97">
        <v>7</v>
      </c>
      <c r="AL299" s="97">
        <f t="shared" si="83"/>
        <v>904</v>
      </c>
      <c r="AM299" s="97">
        <f t="shared" si="84"/>
        <v>209728000</v>
      </c>
      <c r="AN299" s="97"/>
    </row>
    <row r="300" spans="7:44">
      <c r="G300" s="206"/>
      <c r="H300" s="1"/>
      <c r="P300" t="s">
        <v>25</v>
      </c>
      <c r="Q300" s="97" t="s">
        <v>6405</v>
      </c>
      <c r="R300" s="93">
        <v>30000000</v>
      </c>
      <c r="S300" t="s">
        <v>25</v>
      </c>
      <c r="T300" s="206" t="s">
        <v>5153</v>
      </c>
      <c r="U300" s="206">
        <v>-644</v>
      </c>
      <c r="V300" s="111">
        <v>494.76464499999997</v>
      </c>
      <c r="W300" s="111">
        <f t="shared" si="82"/>
        <v>-318628.43137999997</v>
      </c>
      <c r="X300" s="36" t="s">
        <v>452</v>
      </c>
      <c r="AH300" s="97">
        <v>9</v>
      </c>
      <c r="AI300" s="97" t="s">
        <v>4264</v>
      </c>
      <c r="AJ300" s="115">
        <v>13000000</v>
      </c>
      <c r="AK300" s="97">
        <v>2</v>
      </c>
      <c r="AL300" s="97">
        <f t="shared" si="83"/>
        <v>897</v>
      </c>
      <c r="AM300" s="97">
        <f t="shared" si="84"/>
        <v>11661000000</v>
      </c>
      <c r="AN300" s="97"/>
      <c r="AR300" t="s">
        <v>25</v>
      </c>
    </row>
    <row r="301" spans="7:44">
      <c r="G301" s="206"/>
      <c r="H301" s="1"/>
      <c r="Q301" s="97" t="s">
        <v>6423</v>
      </c>
      <c r="R301" s="93">
        <v>6000000</v>
      </c>
      <c r="T301" s="206" t="s">
        <v>5156</v>
      </c>
      <c r="U301" s="206">
        <v>-112</v>
      </c>
      <c r="V301" s="111">
        <v>485.78</v>
      </c>
      <c r="W301" s="111">
        <f t="shared" si="82"/>
        <v>-54407.360000000001</v>
      </c>
      <c r="X301" s="36" t="s">
        <v>452</v>
      </c>
      <c r="AH301" s="97">
        <v>10</v>
      </c>
      <c r="AI301" s="97" t="s">
        <v>4287</v>
      </c>
      <c r="AJ301" s="115">
        <v>10000000</v>
      </c>
      <c r="AK301" s="97">
        <v>3</v>
      </c>
      <c r="AL301" s="97">
        <f t="shared" si="83"/>
        <v>895</v>
      </c>
      <c r="AM301" s="97">
        <f t="shared" si="84"/>
        <v>8950000000</v>
      </c>
      <c r="AN301" s="97"/>
    </row>
    <row r="302" spans="7:44">
      <c r="G302" s="206"/>
      <c r="H302" s="1"/>
      <c r="Q302" s="97" t="s">
        <v>6519</v>
      </c>
      <c r="R302" s="93">
        <v>126128.77475900001</v>
      </c>
      <c r="T302" s="206" t="s">
        <v>5156</v>
      </c>
      <c r="U302" s="206">
        <v>123</v>
      </c>
      <c r="V302" s="111">
        <v>485.78</v>
      </c>
      <c r="W302" s="111">
        <f t="shared" si="82"/>
        <v>59750.939999999995</v>
      </c>
      <c r="X302" s="36" t="s">
        <v>743</v>
      </c>
      <c r="AH302" s="97">
        <v>11</v>
      </c>
      <c r="AI302" s="97" t="s">
        <v>4276</v>
      </c>
      <c r="AJ302" s="115">
        <v>3400000</v>
      </c>
      <c r="AK302" s="97">
        <v>9</v>
      </c>
      <c r="AL302" s="97">
        <f t="shared" si="83"/>
        <v>892</v>
      </c>
      <c r="AM302" s="97">
        <f t="shared" si="84"/>
        <v>3032800000</v>
      </c>
      <c r="AN302" s="97"/>
    </row>
    <row r="303" spans="7:44">
      <c r="G303" s="206" t="s">
        <v>6</v>
      </c>
      <c r="H303" s="1">
        <f>SUM(H163:H302)</f>
        <v>1494636827.2216434</v>
      </c>
      <c r="Q303" s="97"/>
      <c r="R303" s="93"/>
      <c r="T303" s="206" t="s">
        <v>5156</v>
      </c>
      <c r="U303" s="206">
        <v>-123</v>
      </c>
      <c r="V303" s="111">
        <v>485.78</v>
      </c>
      <c r="W303" s="111">
        <f t="shared" si="82"/>
        <v>-59750.939999999995</v>
      </c>
      <c r="X303" s="36" t="s">
        <v>4406</v>
      </c>
      <c r="AH303" s="97">
        <v>12</v>
      </c>
      <c r="AI303" s="97" t="s">
        <v>4313</v>
      </c>
      <c r="AJ303" s="115">
        <v>-8736514</v>
      </c>
      <c r="AK303" s="97">
        <v>1</v>
      </c>
      <c r="AL303" s="97">
        <f>AK303+AL304</f>
        <v>883</v>
      </c>
      <c r="AM303" s="97">
        <f t="shared" si="84"/>
        <v>-7714341862</v>
      </c>
      <c r="AN303" s="97"/>
    </row>
    <row r="304" spans="7:44">
      <c r="G304" s="280"/>
      <c r="H304" s="1"/>
      <c r="Q304" s="97"/>
      <c r="R304" s="93"/>
      <c r="S304" t="s">
        <v>25</v>
      </c>
      <c r="T304" s="206" t="s">
        <v>5199</v>
      </c>
      <c r="U304" s="206">
        <v>32367</v>
      </c>
      <c r="V304" s="111">
        <v>556.12900000000002</v>
      </c>
      <c r="W304" s="111">
        <f t="shared" si="82"/>
        <v>18000227.343000002</v>
      </c>
      <c r="X304" s="36" t="s">
        <v>452</v>
      </c>
      <c r="AH304" s="97">
        <v>13</v>
      </c>
      <c r="AI304" s="97" t="s">
        <v>4314</v>
      </c>
      <c r="AJ304" s="115">
        <v>555000</v>
      </c>
      <c r="AK304" s="97">
        <v>5</v>
      </c>
      <c r="AL304" s="97">
        <f t="shared" ref="AL304:AL320" si="85">AK304+AL305</f>
        <v>882</v>
      </c>
      <c r="AM304" s="97">
        <f t="shared" si="84"/>
        <v>489510000</v>
      </c>
      <c r="AN304" s="97"/>
    </row>
    <row r="305" spans="7:40">
      <c r="O305" t="s">
        <v>25</v>
      </c>
      <c r="Q305" s="97" t="s">
        <v>25</v>
      </c>
      <c r="R305" s="93"/>
      <c r="T305" s="206" t="s">
        <v>5215</v>
      </c>
      <c r="U305" s="206">
        <v>1254</v>
      </c>
      <c r="V305" s="111">
        <v>558.24400000000003</v>
      </c>
      <c r="W305" s="111">
        <f t="shared" si="82"/>
        <v>700037.97600000002</v>
      </c>
      <c r="X305" s="36" t="s">
        <v>4406</v>
      </c>
      <c r="AH305" s="97">
        <v>14</v>
      </c>
      <c r="AI305" s="97" t="s">
        <v>4338</v>
      </c>
      <c r="AJ305" s="115">
        <v>-448308</v>
      </c>
      <c r="AK305" s="97">
        <v>6</v>
      </c>
      <c r="AL305" s="97">
        <f t="shared" si="85"/>
        <v>877</v>
      </c>
      <c r="AM305" s="97">
        <f t="shared" si="84"/>
        <v>-393166116</v>
      </c>
      <c r="AN305" s="97"/>
    </row>
    <row r="306" spans="7:40">
      <c r="Q306" s="97"/>
      <c r="R306" s="93">
        <f>SUM(R245:R305)</f>
        <v>151842622.43317199</v>
      </c>
      <c r="T306" s="166" t="s">
        <v>5215</v>
      </c>
      <c r="U306" s="206">
        <v>-358</v>
      </c>
      <c r="V306" s="111">
        <v>558.24400000000003</v>
      </c>
      <c r="W306" s="111">
        <f t="shared" si="82"/>
        <v>-199851.35200000001</v>
      </c>
      <c r="X306" s="36" t="s">
        <v>743</v>
      </c>
      <c r="Z306" t="s">
        <v>25</v>
      </c>
      <c r="AH306" s="97">
        <v>15</v>
      </c>
      <c r="AI306" s="97" t="s">
        <v>4365</v>
      </c>
      <c r="AJ306" s="115">
        <v>33225</v>
      </c>
      <c r="AK306" s="97">
        <v>0</v>
      </c>
      <c r="AL306" s="97">
        <f t="shared" si="85"/>
        <v>871</v>
      </c>
      <c r="AM306" s="97">
        <f t="shared" si="84"/>
        <v>28938975</v>
      </c>
      <c r="AN306" s="97"/>
    </row>
    <row r="307" spans="7:40">
      <c r="G307" s="94"/>
      <c r="H307" s="9" t="s">
        <v>452</v>
      </c>
      <c r="R307" s="97" t="s">
        <v>6</v>
      </c>
      <c r="T307" s="187" t="s">
        <v>5234</v>
      </c>
      <c r="U307" s="187">
        <v>63259</v>
      </c>
      <c r="V307" s="186">
        <v>632.31960000000004</v>
      </c>
      <c r="W307" s="186">
        <f t="shared" si="82"/>
        <v>39999905.576400004</v>
      </c>
      <c r="X307" s="260" t="s">
        <v>1069</v>
      </c>
      <c r="AH307" s="147">
        <v>16</v>
      </c>
      <c r="AI307" s="147" t="s">
        <v>4365</v>
      </c>
      <c r="AJ307" s="186">
        <v>4098523</v>
      </c>
      <c r="AK307" s="147">
        <v>2</v>
      </c>
      <c r="AL307" s="147">
        <f t="shared" si="85"/>
        <v>871</v>
      </c>
      <c r="AM307" s="147">
        <f t="shared" si="84"/>
        <v>3569813533</v>
      </c>
      <c r="AN307" s="147" t="s">
        <v>649</v>
      </c>
    </row>
    <row r="308" spans="7:40">
      <c r="G308" s="94"/>
      <c r="H308" s="9" t="s">
        <v>743</v>
      </c>
      <c r="R308" t="s">
        <v>25</v>
      </c>
      <c r="T308" s="19" t="s">
        <v>5238</v>
      </c>
      <c r="U308" s="19">
        <v>-1278</v>
      </c>
      <c r="V308" s="115">
        <v>625.98</v>
      </c>
      <c r="W308" s="115">
        <f t="shared" si="82"/>
        <v>-800002.44000000006</v>
      </c>
      <c r="X308" s="261" t="s">
        <v>5239</v>
      </c>
      <c r="AH308" s="147">
        <v>17</v>
      </c>
      <c r="AI308" s="147" t="s">
        <v>4376</v>
      </c>
      <c r="AJ308" s="186">
        <v>-1000000</v>
      </c>
      <c r="AK308" s="147">
        <v>7</v>
      </c>
      <c r="AL308" s="147">
        <f t="shared" si="85"/>
        <v>869</v>
      </c>
      <c r="AM308" s="147">
        <f t="shared" si="84"/>
        <v>-869000000</v>
      </c>
      <c r="AN308" s="147" t="s">
        <v>649</v>
      </c>
    </row>
    <row r="309" spans="7:40">
      <c r="G309" s="94"/>
      <c r="H309" s="9" t="s">
        <v>5413</v>
      </c>
      <c r="Q309" s="97" t="s">
        <v>452</v>
      </c>
      <c r="T309" s="19" t="s">
        <v>5243</v>
      </c>
      <c r="U309" s="19">
        <v>32049</v>
      </c>
      <c r="V309" s="115">
        <v>624.04600000000005</v>
      </c>
      <c r="W309" s="115">
        <f t="shared" si="82"/>
        <v>20000050.254000001</v>
      </c>
      <c r="X309" s="261" t="s">
        <v>5108</v>
      </c>
      <c r="Z309" t="s">
        <v>25</v>
      </c>
      <c r="AH309" s="147">
        <v>18</v>
      </c>
      <c r="AI309" s="147" t="s">
        <v>4396</v>
      </c>
      <c r="AJ309" s="186">
        <v>750000</v>
      </c>
      <c r="AK309" s="147">
        <v>1</v>
      </c>
      <c r="AL309" s="147">
        <f t="shared" si="85"/>
        <v>862</v>
      </c>
      <c r="AM309" s="147">
        <f t="shared" si="84"/>
        <v>646500000</v>
      </c>
      <c r="AN309" s="147" t="s">
        <v>649</v>
      </c>
    </row>
    <row r="310" spans="7:40" ht="30">
      <c r="G310" s="94"/>
      <c r="H310" s="9" t="s">
        <v>1069</v>
      </c>
      <c r="P310" t="s">
        <v>25</v>
      </c>
      <c r="Q310" s="97" t="s">
        <v>4399</v>
      </c>
      <c r="R310" s="97"/>
      <c r="T310" s="19" t="s">
        <v>5250</v>
      </c>
      <c r="U310" s="19">
        <v>45094</v>
      </c>
      <c r="V310" s="115">
        <v>614.13559759999998</v>
      </c>
      <c r="W310" s="115">
        <f t="shared" si="82"/>
        <v>27693830.6381744</v>
      </c>
      <c r="X310" s="261" t="s">
        <v>5252</v>
      </c>
      <c r="Y310" t="s">
        <v>25</v>
      </c>
      <c r="AH310" s="192">
        <v>19</v>
      </c>
      <c r="AI310" s="192" t="s">
        <v>4397</v>
      </c>
      <c r="AJ310" s="193">
        <v>-604152</v>
      </c>
      <c r="AK310" s="192">
        <v>0</v>
      </c>
      <c r="AL310" s="192">
        <f t="shared" si="85"/>
        <v>861</v>
      </c>
      <c r="AM310" s="192">
        <f t="shared" si="84"/>
        <v>-520174872</v>
      </c>
      <c r="AN310" s="192" t="s">
        <v>649</v>
      </c>
    </row>
    <row r="311" spans="7:40" ht="30">
      <c r="H311" s="9" t="s">
        <v>5350</v>
      </c>
      <c r="P311" t="s">
        <v>25</v>
      </c>
      <c r="Q311" s="97" t="s">
        <v>4443</v>
      </c>
      <c r="R311" s="93">
        <v>63115000</v>
      </c>
      <c r="T311" s="19" t="s">
        <v>5277</v>
      </c>
      <c r="U311" s="19">
        <v>-11804</v>
      </c>
      <c r="V311" s="115">
        <v>762.46640000000002</v>
      </c>
      <c r="W311" s="115">
        <f t="shared" si="82"/>
        <v>-9000153.3856000006</v>
      </c>
      <c r="X311" s="261" t="s">
        <v>5279</v>
      </c>
      <c r="AH311" s="97">
        <v>20</v>
      </c>
      <c r="AI311" s="97" t="s">
        <v>4398</v>
      </c>
      <c r="AJ311" s="115">
        <v>-587083</v>
      </c>
      <c r="AK311" s="97">
        <v>4</v>
      </c>
      <c r="AL311" s="97">
        <f t="shared" si="85"/>
        <v>861</v>
      </c>
      <c r="AM311" s="97">
        <f t="shared" si="84"/>
        <v>-505478463</v>
      </c>
      <c r="AN311" s="97"/>
    </row>
    <row r="312" spans="7:40">
      <c r="H312" s="9" t="s">
        <v>5513</v>
      </c>
      <c r="Q312" s="97" t="s">
        <v>4451</v>
      </c>
      <c r="R312" s="93">
        <v>13300000</v>
      </c>
      <c r="T312" s="19" t="s">
        <v>5321</v>
      </c>
      <c r="U312" s="19">
        <v>844</v>
      </c>
      <c r="V312" s="115">
        <v>830</v>
      </c>
      <c r="W312" s="115">
        <f t="shared" si="82"/>
        <v>700520</v>
      </c>
      <c r="X312" s="261" t="s">
        <v>4406</v>
      </c>
      <c r="Y312" t="s">
        <v>25</v>
      </c>
      <c r="AH312" s="192">
        <v>21</v>
      </c>
      <c r="AI312" s="192" t="s">
        <v>4399</v>
      </c>
      <c r="AJ312" s="193">
        <v>-754351</v>
      </c>
      <c r="AK312" s="192">
        <v>0</v>
      </c>
      <c r="AL312" s="147">
        <f t="shared" si="85"/>
        <v>857</v>
      </c>
      <c r="AM312" s="192">
        <f t="shared" si="84"/>
        <v>-646478807</v>
      </c>
      <c r="AN312" s="192" t="s">
        <v>649</v>
      </c>
    </row>
    <row r="313" spans="7:40">
      <c r="H313" s="281" t="s">
        <v>5514</v>
      </c>
      <c r="Q313" s="97" t="s">
        <v>4549</v>
      </c>
      <c r="R313" s="93">
        <v>2269000</v>
      </c>
      <c r="T313" s="19" t="s">
        <v>5325</v>
      </c>
      <c r="U313" s="19">
        <v>8662</v>
      </c>
      <c r="V313" s="115">
        <v>832.57011999999997</v>
      </c>
      <c r="W313" s="115">
        <f t="shared" si="82"/>
        <v>7211722.3794399993</v>
      </c>
      <c r="X313" s="261" t="s">
        <v>5103</v>
      </c>
      <c r="Z313" t="s">
        <v>25</v>
      </c>
      <c r="AH313" s="97">
        <v>22</v>
      </c>
      <c r="AI313" s="97" t="s">
        <v>4399</v>
      </c>
      <c r="AJ313" s="115">
        <v>-189619</v>
      </c>
      <c r="AK313" s="97">
        <v>15</v>
      </c>
      <c r="AL313" s="97">
        <f t="shared" si="85"/>
        <v>857</v>
      </c>
      <c r="AM313" s="97">
        <f t="shared" si="84"/>
        <v>-162503483</v>
      </c>
      <c r="AN313" s="97"/>
    </row>
    <row r="314" spans="7:40" ht="30">
      <c r="H314" s="281" t="s">
        <v>743</v>
      </c>
      <c r="Q314" s="97" t="s">
        <v>4558</v>
      </c>
      <c r="R314" s="93">
        <v>25071612</v>
      </c>
      <c r="T314" s="19" t="s">
        <v>5326</v>
      </c>
      <c r="U314" s="19">
        <v>10253</v>
      </c>
      <c r="V314" s="115">
        <v>827.2568</v>
      </c>
      <c r="W314" s="115">
        <f t="shared" si="82"/>
        <v>8481863.9704</v>
      </c>
      <c r="X314" s="261" t="s">
        <v>5329</v>
      </c>
      <c r="AA314" t="s">
        <v>25</v>
      </c>
      <c r="AH314" s="192">
        <v>23</v>
      </c>
      <c r="AI314" s="192" t="s">
        <v>4459</v>
      </c>
      <c r="AJ314" s="186">
        <v>7100</v>
      </c>
      <c r="AK314" s="192">
        <v>0</v>
      </c>
      <c r="AL314" s="147">
        <f t="shared" si="85"/>
        <v>842</v>
      </c>
      <c r="AM314" s="192">
        <f t="shared" si="84"/>
        <v>5978200</v>
      </c>
      <c r="AN314" s="192" t="s">
        <v>649</v>
      </c>
    </row>
    <row r="315" spans="7:40">
      <c r="H315" s="9" t="s">
        <v>5515</v>
      </c>
      <c r="Q315" s="97" t="s">
        <v>4559</v>
      </c>
      <c r="R315" s="93">
        <v>42236984</v>
      </c>
      <c r="T315" s="230" t="s">
        <v>5330</v>
      </c>
      <c r="U315" s="230">
        <v>-33077</v>
      </c>
      <c r="V315" s="231">
        <v>786.02973999999995</v>
      </c>
      <c r="W315" s="231">
        <f t="shared" si="82"/>
        <v>-25999505.70998</v>
      </c>
      <c r="X315" s="269" t="s">
        <v>5332</v>
      </c>
      <c r="AH315" s="20">
        <v>24</v>
      </c>
      <c r="AI315" s="20" t="s">
        <v>4459</v>
      </c>
      <c r="AJ315" s="115">
        <v>-147902</v>
      </c>
      <c r="AK315" s="20">
        <v>3</v>
      </c>
      <c r="AL315" s="97">
        <f t="shared" si="85"/>
        <v>842</v>
      </c>
      <c r="AM315" s="20">
        <f t="shared" si="84"/>
        <v>-124533484</v>
      </c>
      <c r="AN315" s="20"/>
    </row>
    <row r="316" spans="7:40">
      <c r="H316" s="9" t="s">
        <v>5516</v>
      </c>
      <c r="Q316" s="97" t="s">
        <v>4580</v>
      </c>
      <c r="R316" s="93">
        <v>19663646</v>
      </c>
      <c r="T316" s="19" t="s">
        <v>5330</v>
      </c>
      <c r="U316" s="19">
        <v>-33077</v>
      </c>
      <c r="V316" s="115">
        <v>786.02973999999995</v>
      </c>
      <c r="W316" s="115">
        <f t="shared" si="82"/>
        <v>-25999505.70998</v>
      </c>
      <c r="X316" s="261" t="s">
        <v>5333</v>
      </c>
      <c r="Y316" t="s">
        <v>25</v>
      </c>
      <c r="AH316" s="147">
        <v>25</v>
      </c>
      <c r="AI316" s="147" t="s">
        <v>4467</v>
      </c>
      <c r="AJ316" s="186">
        <v>-37200</v>
      </c>
      <c r="AK316" s="147">
        <v>4</v>
      </c>
      <c r="AL316" s="147">
        <f t="shared" si="85"/>
        <v>839</v>
      </c>
      <c r="AM316" s="192">
        <f t="shared" si="84"/>
        <v>-31210800</v>
      </c>
      <c r="AN316" s="147" t="s">
        <v>649</v>
      </c>
    </row>
    <row r="317" spans="7:40">
      <c r="H317" s="9" t="s">
        <v>5544</v>
      </c>
      <c r="Q317" s="97" t="s">
        <v>4591</v>
      </c>
      <c r="R317" s="93">
        <v>4374525</v>
      </c>
      <c r="T317" s="19" t="s">
        <v>5330</v>
      </c>
      <c r="U317" s="19">
        <v>1983</v>
      </c>
      <c r="V317" s="115">
        <v>786.02973999999995</v>
      </c>
      <c r="W317" s="115">
        <f t="shared" si="82"/>
        <v>1558696.9744199999</v>
      </c>
      <c r="X317" s="261" t="s">
        <v>5103</v>
      </c>
      <c r="AH317" s="97">
        <v>26</v>
      </c>
      <c r="AI317" s="97" t="s">
        <v>4494</v>
      </c>
      <c r="AJ317" s="115">
        <v>-372326</v>
      </c>
      <c r="AK317" s="97">
        <v>21</v>
      </c>
      <c r="AL317" s="97">
        <f t="shared" si="85"/>
        <v>835</v>
      </c>
      <c r="AM317" s="20">
        <f t="shared" si="84"/>
        <v>-310892210</v>
      </c>
      <c r="AN317" s="97"/>
    </row>
    <row r="318" spans="7:40">
      <c r="H318" s="281"/>
      <c r="Q318" s="97" t="s">
        <v>4593</v>
      </c>
      <c r="R318" s="93">
        <v>6550580</v>
      </c>
      <c r="T318" s="230" t="s">
        <v>5334</v>
      </c>
      <c r="U318" s="230">
        <v>-119753</v>
      </c>
      <c r="V318" s="231">
        <v>800.81560000000002</v>
      </c>
      <c r="W318" s="231">
        <f t="shared" si="82"/>
        <v>-95900070.546800002</v>
      </c>
      <c r="X318" s="269" t="s">
        <v>5332</v>
      </c>
      <c r="AH318" s="97">
        <v>27</v>
      </c>
      <c r="AI318" s="97" t="s">
        <v>4541</v>
      </c>
      <c r="AJ318" s="115">
        <v>235062</v>
      </c>
      <c r="AK318" s="97">
        <v>0</v>
      </c>
      <c r="AL318" s="97">
        <f t="shared" si="85"/>
        <v>814</v>
      </c>
      <c r="AM318" s="20">
        <f t="shared" si="84"/>
        <v>191340468</v>
      </c>
      <c r="AN318" s="97"/>
    </row>
    <row r="319" spans="7:40">
      <c r="Q319" s="97" t="s">
        <v>4609</v>
      </c>
      <c r="R319" s="93">
        <v>7054895</v>
      </c>
      <c r="T319" s="19" t="s">
        <v>5334</v>
      </c>
      <c r="U319" s="19">
        <v>-119753</v>
      </c>
      <c r="V319" s="115">
        <v>800.81560000000002</v>
      </c>
      <c r="W319" s="115">
        <f t="shared" si="82"/>
        <v>-95900070.546800002</v>
      </c>
      <c r="X319" s="261" t="s">
        <v>5333</v>
      </c>
      <c r="AH319" s="147">
        <v>28</v>
      </c>
      <c r="AI319" s="147" t="s">
        <v>4541</v>
      </c>
      <c r="AJ319" s="186">
        <v>235062</v>
      </c>
      <c r="AK319" s="147">
        <v>9</v>
      </c>
      <c r="AL319" s="97">
        <f t="shared" si="85"/>
        <v>814</v>
      </c>
      <c r="AM319" s="147">
        <f t="shared" si="84"/>
        <v>191340468</v>
      </c>
      <c r="AN319" s="147" t="s">
        <v>649</v>
      </c>
    </row>
    <row r="320" spans="7:40">
      <c r="Q320" s="97" t="s">
        <v>4620</v>
      </c>
      <c r="R320" s="93">
        <v>2145814</v>
      </c>
      <c r="S320" s="112"/>
      <c r="T320" s="19" t="s">
        <v>5334</v>
      </c>
      <c r="U320" s="19">
        <v>11291</v>
      </c>
      <c r="V320" s="115">
        <v>800.81560000000002</v>
      </c>
      <c r="W320" s="115">
        <f t="shared" si="82"/>
        <v>9042008.9396000002</v>
      </c>
      <c r="X320" s="261" t="s">
        <v>452</v>
      </c>
      <c r="AA320" t="s">
        <v>25</v>
      </c>
      <c r="AH320" s="147">
        <v>29</v>
      </c>
      <c r="AI320" s="147" t="s">
        <v>4559</v>
      </c>
      <c r="AJ320" s="186">
        <v>450000</v>
      </c>
      <c r="AK320" s="147">
        <v>0</v>
      </c>
      <c r="AL320" s="97">
        <f t="shared" si="85"/>
        <v>805</v>
      </c>
      <c r="AM320" s="147">
        <f t="shared" si="84"/>
        <v>362250000</v>
      </c>
      <c r="AN320" s="147" t="s">
        <v>649</v>
      </c>
    </row>
    <row r="321" spans="17:44">
      <c r="Q321" s="97" t="s">
        <v>4622</v>
      </c>
      <c r="R321" s="93">
        <v>4369730</v>
      </c>
      <c r="T321" s="187" t="s">
        <v>5335</v>
      </c>
      <c r="U321" s="187">
        <v>-35361</v>
      </c>
      <c r="V321" s="186">
        <v>818.697</v>
      </c>
      <c r="W321" s="186">
        <f t="shared" si="82"/>
        <v>-28949944.616999999</v>
      </c>
      <c r="X321" s="260" t="s">
        <v>5332</v>
      </c>
      <c r="Y321" t="s">
        <v>25</v>
      </c>
      <c r="AH321" s="20">
        <v>30</v>
      </c>
      <c r="AI321" s="20" t="s">
        <v>4559</v>
      </c>
      <c r="AJ321" s="115">
        <v>450000</v>
      </c>
      <c r="AK321" s="20">
        <v>22</v>
      </c>
      <c r="AL321" s="97">
        <f>AK321+AL322</f>
        <v>805</v>
      </c>
      <c r="AM321" s="20">
        <f t="shared" si="84"/>
        <v>362250000</v>
      </c>
      <c r="AN321" s="20"/>
    </row>
    <row r="322" spans="17:44">
      <c r="Q322" s="97" t="s">
        <v>4631</v>
      </c>
      <c r="R322" s="93">
        <v>8739459</v>
      </c>
      <c r="T322" s="19" t="s">
        <v>5335</v>
      </c>
      <c r="U322" s="19">
        <v>-35361</v>
      </c>
      <c r="V322" s="115">
        <v>818.697</v>
      </c>
      <c r="W322" s="115">
        <f t="shared" si="82"/>
        <v>-28949944.616999999</v>
      </c>
      <c r="X322" s="261" t="s">
        <v>5333</v>
      </c>
      <c r="Y322" t="s">
        <v>25</v>
      </c>
      <c r="Z322" t="s">
        <v>25</v>
      </c>
      <c r="AH322" s="147">
        <v>31</v>
      </c>
      <c r="AI322" s="147" t="s">
        <v>4622</v>
      </c>
      <c r="AJ322" s="186">
        <v>300000</v>
      </c>
      <c r="AK322" s="147">
        <v>0</v>
      </c>
      <c r="AL322" s="147">
        <f t="shared" ref="AL322:AL337" si="86">AK322+AL323</f>
        <v>783</v>
      </c>
      <c r="AM322" s="147">
        <f t="shared" ref="AM322:AM331" si="87">AJ322*AL322</f>
        <v>234900000</v>
      </c>
      <c r="AN322" s="147"/>
    </row>
    <row r="323" spans="17:44" ht="30">
      <c r="Q323" s="97" t="s">
        <v>3666</v>
      </c>
      <c r="R323" s="93">
        <v>6667654</v>
      </c>
      <c r="T323" s="19" t="s">
        <v>5335</v>
      </c>
      <c r="U323" s="19">
        <v>116</v>
      </c>
      <c r="V323" s="115">
        <v>818.697</v>
      </c>
      <c r="W323" s="115">
        <f t="shared" si="82"/>
        <v>94968.851999999999</v>
      </c>
      <c r="X323" s="261" t="s">
        <v>5103</v>
      </c>
      <c r="AH323" s="119">
        <v>32</v>
      </c>
      <c r="AI323" s="119" t="s">
        <v>4622</v>
      </c>
      <c r="AJ323" s="77">
        <v>288936</v>
      </c>
      <c r="AK323" s="119">
        <v>3</v>
      </c>
      <c r="AL323" s="119">
        <f t="shared" si="86"/>
        <v>783</v>
      </c>
      <c r="AM323" s="119">
        <f t="shared" si="87"/>
        <v>226236888</v>
      </c>
      <c r="AN323" s="201" t="s">
        <v>4633</v>
      </c>
    </row>
    <row r="324" spans="17:44">
      <c r="Q324" s="97" t="s">
        <v>4643</v>
      </c>
      <c r="R324" s="93">
        <v>8981245</v>
      </c>
      <c r="T324" s="19" t="s">
        <v>5339</v>
      </c>
      <c r="U324" s="19">
        <v>48633</v>
      </c>
      <c r="V324" s="115">
        <v>822.47199999999998</v>
      </c>
      <c r="W324" s="115">
        <f t="shared" si="82"/>
        <v>39999280.776000001</v>
      </c>
      <c r="X324" s="261" t="s">
        <v>5342</v>
      </c>
      <c r="AA324" t="s">
        <v>25</v>
      </c>
      <c r="AH324" s="119">
        <v>33</v>
      </c>
      <c r="AI324" s="119" t="s">
        <v>4631</v>
      </c>
      <c r="AJ324" s="77">
        <v>17962491</v>
      </c>
      <c r="AK324" s="119">
        <v>1</v>
      </c>
      <c r="AL324" s="119">
        <f t="shared" si="86"/>
        <v>780</v>
      </c>
      <c r="AM324" s="119">
        <f t="shared" si="87"/>
        <v>14010742980</v>
      </c>
      <c r="AN324" s="119" t="s">
        <v>4638</v>
      </c>
    </row>
    <row r="325" spans="17:44">
      <c r="Q325" s="97" t="s">
        <v>4646</v>
      </c>
      <c r="R325" s="93">
        <v>9181756</v>
      </c>
      <c r="T325" s="19" t="s">
        <v>5339</v>
      </c>
      <c r="U325" s="19">
        <v>3412</v>
      </c>
      <c r="V325" s="115">
        <v>822.47199999999998</v>
      </c>
      <c r="W325" s="115">
        <f t="shared" si="82"/>
        <v>2806274.4640000002</v>
      </c>
      <c r="X325" s="261" t="s">
        <v>5344</v>
      </c>
      <c r="AH325" s="119">
        <v>34</v>
      </c>
      <c r="AI325" s="119" t="s">
        <v>3666</v>
      </c>
      <c r="AJ325" s="77">
        <v>18363511</v>
      </c>
      <c r="AK325" s="119">
        <v>1</v>
      </c>
      <c r="AL325" s="119">
        <f t="shared" si="86"/>
        <v>779</v>
      </c>
      <c r="AM325" s="119">
        <f t="shared" si="87"/>
        <v>14305175069</v>
      </c>
      <c r="AN325" s="119" t="s">
        <v>4638</v>
      </c>
    </row>
    <row r="326" spans="17:44">
      <c r="Q326" s="97" t="s">
        <v>4659</v>
      </c>
      <c r="R326" s="93">
        <v>11811208</v>
      </c>
      <c r="T326" s="19" t="s">
        <v>5340</v>
      </c>
      <c r="U326" s="19">
        <v>1531</v>
      </c>
      <c r="V326" s="115">
        <v>869.82500000000005</v>
      </c>
      <c r="W326" s="115">
        <f t="shared" si="82"/>
        <v>1331702.075</v>
      </c>
      <c r="X326" s="261" t="s">
        <v>5345</v>
      </c>
      <c r="AH326" s="119">
        <v>35</v>
      </c>
      <c r="AI326" s="119" t="s">
        <v>4643</v>
      </c>
      <c r="AJ326" s="77">
        <v>23622417</v>
      </c>
      <c r="AK326" s="119">
        <v>5</v>
      </c>
      <c r="AL326" s="119">
        <f t="shared" si="86"/>
        <v>778</v>
      </c>
      <c r="AM326" s="119">
        <f t="shared" si="87"/>
        <v>18378240426</v>
      </c>
      <c r="AN326" s="119" t="s">
        <v>4645</v>
      </c>
    </row>
    <row r="327" spans="17:44">
      <c r="Q327" s="97" t="s">
        <v>4666</v>
      </c>
      <c r="R327" s="93">
        <v>41248054</v>
      </c>
      <c r="T327" s="19" t="s">
        <v>5348</v>
      </c>
      <c r="U327" s="19">
        <v>1019</v>
      </c>
      <c r="V327" s="115">
        <v>835.36580000000004</v>
      </c>
      <c r="W327" s="115">
        <f t="shared" si="82"/>
        <v>851237.75020000001</v>
      </c>
      <c r="X327" s="261" t="s">
        <v>452</v>
      </c>
      <c r="AH327" s="119">
        <v>36</v>
      </c>
      <c r="AI327" s="119" t="s">
        <v>4657</v>
      </c>
      <c r="AJ327" s="77">
        <v>82496108</v>
      </c>
      <c r="AK327" s="119">
        <v>1</v>
      </c>
      <c r="AL327" s="119">
        <f t="shared" si="86"/>
        <v>773</v>
      </c>
      <c r="AM327" s="119">
        <f t="shared" si="87"/>
        <v>63769491484</v>
      </c>
      <c r="AN327" s="119" t="s">
        <v>4660</v>
      </c>
    </row>
    <row r="328" spans="17:44">
      <c r="Q328" s="97" t="s">
        <v>4672</v>
      </c>
      <c r="R328" s="93">
        <v>37328780</v>
      </c>
      <c r="T328" s="187" t="s">
        <v>5354</v>
      </c>
      <c r="U328" s="187">
        <v>2316</v>
      </c>
      <c r="V328" s="186">
        <v>818.697</v>
      </c>
      <c r="W328" s="186">
        <f t="shared" si="82"/>
        <v>1896102.2520000001</v>
      </c>
      <c r="X328" s="260" t="s">
        <v>5357</v>
      </c>
      <c r="AH328" s="119">
        <v>37</v>
      </c>
      <c r="AI328" s="119" t="s">
        <v>4659</v>
      </c>
      <c r="AJ328" s="77">
        <v>74657561</v>
      </c>
      <c r="AK328" s="119">
        <v>16</v>
      </c>
      <c r="AL328" s="119">
        <f t="shared" si="86"/>
        <v>772</v>
      </c>
      <c r="AM328" s="119">
        <f t="shared" si="87"/>
        <v>57635637092</v>
      </c>
      <c r="AN328" s="119" t="s">
        <v>4665</v>
      </c>
    </row>
    <row r="329" spans="17:44">
      <c r="Q329" s="97" t="s">
        <v>4730</v>
      </c>
      <c r="R329" s="93">
        <v>50000000</v>
      </c>
      <c r="T329" s="19" t="s">
        <v>5360</v>
      </c>
      <c r="U329" s="19">
        <v>315</v>
      </c>
      <c r="V329" s="115">
        <v>680</v>
      </c>
      <c r="W329" s="115">
        <f t="shared" si="82"/>
        <v>214200</v>
      </c>
      <c r="X329" s="261" t="s">
        <v>5103</v>
      </c>
      <c r="AH329" s="97">
        <v>38</v>
      </c>
      <c r="AI329" s="97" t="s">
        <v>4730</v>
      </c>
      <c r="AJ329" s="115">
        <v>665000</v>
      </c>
      <c r="AK329" s="97">
        <v>0</v>
      </c>
      <c r="AL329" s="97">
        <f t="shared" si="86"/>
        <v>756</v>
      </c>
      <c r="AM329" s="20">
        <f t="shared" si="87"/>
        <v>502740000</v>
      </c>
      <c r="AN329" s="97"/>
    </row>
    <row r="330" spans="17:44">
      <c r="Q330" s="97" t="s">
        <v>4739</v>
      </c>
      <c r="R330" s="93">
        <v>68656</v>
      </c>
      <c r="T330" s="19" t="s">
        <v>5382</v>
      </c>
      <c r="U330" s="19">
        <v>832</v>
      </c>
      <c r="V330" s="115">
        <v>784.36500000000001</v>
      </c>
      <c r="W330" s="115">
        <f t="shared" si="82"/>
        <v>652591.68000000005</v>
      </c>
      <c r="X330" s="261" t="s">
        <v>5103</v>
      </c>
      <c r="Y330" t="s">
        <v>25</v>
      </c>
      <c r="AH330" s="147">
        <v>39</v>
      </c>
      <c r="AI330" s="147" t="s">
        <v>4730</v>
      </c>
      <c r="AJ330" s="186">
        <v>665000</v>
      </c>
      <c r="AK330" s="147">
        <v>4</v>
      </c>
      <c r="AL330" s="192">
        <f t="shared" si="86"/>
        <v>756</v>
      </c>
      <c r="AM330" s="192">
        <f t="shared" si="87"/>
        <v>502740000</v>
      </c>
      <c r="AN330" s="192"/>
    </row>
    <row r="331" spans="17:44">
      <c r="Q331" s="97" t="s">
        <v>4739</v>
      </c>
      <c r="R331" s="93">
        <v>4000236</v>
      </c>
      <c r="T331" s="19" t="s">
        <v>5426</v>
      </c>
      <c r="U331" s="19">
        <v>382</v>
      </c>
      <c r="V331" s="115">
        <v>1450.6065000000001</v>
      </c>
      <c r="W331" s="115">
        <f t="shared" si="82"/>
        <v>554131.68300000008</v>
      </c>
      <c r="X331" s="261" t="s">
        <v>5103</v>
      </c>
      <c r="Y331" t="s">
        <v>25</v>
      </c>
      <c r="AH331" s="20">
        <v>40</v>
      </c>
      <c r="AI331" s="20" t="s">
        <v>4739</v>
      </c>
      <c r="AJ331" s="115">
        <v>2000000</v>
      </c>
      <c r="AK331" s="20">
        <v>1</v>
      </c>
      <c r="AL331" s="97">
        <f t="shared" si="86"/>
        <v>752</v>
      </c>
      <c r="AM331" s="20">
        <f t="shared" si="87"/>
        <v>1504000000</v>
      </c>
      <c r="AN331" s="97"/>
    </row>
    <row r="332" spans="17:44">
      <c r="Q332" s="97" t="s">
        <v>4744</v>
      </c>
      <c r="R332" s="93">
        <v>2250000</v>
      </c>
      <c r="T332" s="19" t="s">
        <v>5427</v>
      </c>
      <c r="U332" s="19">
        <v>50047</v>
      </c>
      <c r="V332" s="115">
        <v>1406.14</v>
      </c>
      <c r="W332" s="115">
        <f t="shared" si="82"/>
        <v>70373088.579999998</v>
      </c>
      <c r="X332" s="261" t="s">
        <v>5103</v>
      </c>
      <c r="Z332" t="s">
        <v>25</v>
      </c>
      <c r="AH332" s="20">
        <v>41</v>
      </c>
      <c r="AI332" s="20" t="s">
        <v>4744</v>
      </c>
      <c r="AJ332" s="115">
        <v>-2060725</v>
      </c>
      <c r="AK332" s="20">
        <v>0</v>
      </c>
      <c r="AL332" s="97">
        <f t="shared" si="86"/>
        <v>751</v>
      </c>
      <c r="AM332" s="20">
        <f t="shared" ref="AM332:AM337" si="88">AJ332*AL332</f>
        <v>-1547604475</v>
      </c>
      <c r="AN332" s="97" t="s">
        <v>4745</v>
      </c>
      <c r="AR332" t="s">
        <v>25</v>
      </c>
    </row>
    <row r="333" spans="17:44">
      <c r="Q333" s="97" t="s">
        <v>4753</v>
      </c>
      <c r="R333" s="93">
        <v>-2512200</v>
      </c>
      <c r="T333" s="19" t="s">
        <v>5428</v>
      </c>
      <c r="U333" s="19">
        <v>846</v>
      </c>
      <c r="V333" s="115">
        <v>1441.6724569999999</v>
      </c>
      <c r="W333" s="115">
        <f t="shared" si="82"/>
        <v>1219654.8986219999</v>
      </c>
      <c r="X333" s="261" t="s">
        <v>5103</v>
      </c>
      <c r="Y333" t="s">
        <v>25</v>
      </c>
      <c r="Z333" t="s">
        <v>25</v>
      </c>
      <c r="AH333" s="147">
        <v>42</v>
      </c>
      <c r="AI333" s="147" t="s">
        <v>4744</v>
      </c>
      <c r="AJ333" s="186">
        <v>-433375</v>
      </c>
      <c r="AK333" s="147">
        <v>0</v>
      </c>
      <c r="AL333" s="147">
        <f t="shared" si="86"/>
        <v>751</v>
      </c>
      <c r="AM333" s="147">
        <f t="shared" si="88"/>
        <v>-325464625</v>
      </c>
      <c r="AN333" s="147" t="s">
        <v>4746</v>
      </c>
    </row>
    <row r="334" spans="17:44">
      <c r="Q334" s="97" t="s">
        <v>964</v>
      </c>
      <c r="R334" s="93">
        <v>300000</v>
      </c>
      <c r="T334" s="19" t="s">
        <v>5429</v>
      </c>
      <c r="U334" s="19">
        <v>10573</v>
      </c>
      <c r="V334" s="115">
        <v>1451.825</v>
      </c>
      <c r="W334" s="115">
        <f t="shared" si="82"/>
        <v>15350145.725</v>
      </c>
      <c r="X334" s="261" t="s">
        <v>5103</v>
      </c>
      <c r="Y334" t="s">
        <v>25</v>
      </c>
      <c r="AH334" s="20">
        <v>43</v>
      </c>
      <c r="AI334" s="20" t="s">
        <v>4744</v>
      </c>
      <c r="AJ334" s="115">
        <v>28000000</v>
      </c>
      <c r="AK334" s="20">
        <v>1</v>
      </c>
      <c r="AL334" s="97">
        <f t="shared" si="86"/>
        <v>751</v>
      </c>
      <c r="AM334" s="20">
        <f t="shared" si="88"/>
        <v>21028000000</v>
      </c>
      <c r="AN334" s="97" t="s">
        <v>3873</v>
      </c>
    </row>
    <row r="335" spans="17:44" ht="30">
      <c r="Q335" s="97" t="s">
        <v>4759</v>
      </c>
      <c r="R335" s="93">
        <v>1100000</v>
      </c>
      <c r="T335" s="19" t="s">
        <v>5430</v>
      </c>
      <c r="U335" s="19">
        <v>85</v>
      </c>
      <c r="V335" s="115">
        <v>1423.74</v>
      </c>
      <c r="W335" s="115">
        <f t="shared" si="82"/>
        <v>121017.9</v>
      </c>
      <c r="X335" s="261" t="s">
        <v>5431</v>
      </c>
      <c r="Y335" t="s">
        <v>25</v>
      </c>
      <c r="AH335" s="20">
        <v>44</v>
      </c>
      <c r="AI335" s="20" t="s">
        <v>4753</v>
      </c>
      <c r="AJ335" s="115">
        <v>160000</v>
      </c>
      <c r="AK335" s="20">
        <v>0</v>
      </c>
      <c r="AL335" s="97">
        <f t="shared" si="86"/>
        <v>750</v>
      </c>
      <c r="AM335" s="20">
        <f t="shared" si="88"/>
        <v>120000000</v>
      </c>
      <c r="AN335" s="97"/>
    </row>
    <row r="336" spans="17:44" ht="30">
      <c r="Q336" s="97" t="s">
        <v>4779</v>
      </c>
      <c r="R336" s="93">
        <v>890000</v>
      </c>
      <c r="T336" s="19" t="s">
        <v>5434</v>
      </c>
      <c r="U336" s="19">
        <v>738</v>
      </c>
      <c r="V336" s="115">
        <v>1388.87895</v>
      </c>
      <c r="W336" s="115">
        <f t="shared" si="82"/>
        <v>1024992.6651</v>
      </c>
      <c r="X336" s="261" t="s">
        <v>5438</v>
      </c>
      <c r="Y336" t="s">
        <v>25</v>
      </c>
      <c r="AH336" s="147">
        <v>45</v>
      </c>
      <c r="AI336" s="147" t="s">
        <v>4753</v>
      </c>
      <c r="AJ336" s="186">
        <v>70000</v>
      </c>
      <c r="AK336" s="147">
        <v>9</v>
      </c>
      <c r="AL336" s="147">
        <f t="shared" si="86"/>
        <v>750</v>
      </c>
      <c r="AM336" s="147">
        <f t="shared" si="88"/>
        <v>52500000</v>
      </c>
      <c r="AN336" s="147"/>
      <c r="AR336" t="s">
        <v>25</v>
      </c>
    </row>
    <row r="337" spans="17:46">
      <c r="Q337" s="97" t="s">
        <v>4780</v>
      </c>
      <c r="R337" s="93">
        <v>1000000</v>
      </c>
      <c r="T337" s="19" t="s">
        <v>5446</v>
      </c>
      <c r="U337" s="19">
        <v>1442</v>
      </c>
      <c r="V337" s="115">
        <v>1350.9547279999999</v>
      </c>
      <c r="W337" s="115">
        <f t="shared" si="82"/>
        <v>1948076.7177759998</v>
      </c>
      <c r="X337" s="261" t="s">
        <v>5103</v>
      </c>
      <c r="AA337" t="s">
        <v>25</v>
      </c>
      <c r="AH337" s="20">
        <v>46</v>
      </c>
      <c r="AI337" s="20" t="s">
        <v>4759</v>
      </c>
      <c r="AJ337" s="115">
        <v>850000</v>
      </c>
      <c r="AK337" s="20">
        <v>0</v>
      </c>
      <c r="AL337" s="97">
        <f t="shared" si="86"/>
        <v>741</v>
      </c>
      <c r="AM337" s="20">
        <f t="shared" si="88"/>
        <v>629850000</v>
      </c>
      <c r="AN337" s="97"/>
      <c r="AS337" t="s">
        <v>25</v>
      </c>
    </row>
    <row r="338" spans="17:46">
      <c r="Q338" s="97" t="s">
        <v>4780</v>
      </c>
      <c r="R338" s="93">
        <v>45436311</v>
      </c>
      <c r="T338" s="19" t="s">
        <v>5447</v>
      </c>
      <c r="U338" s="19">
        <v>36847</v>
      </c>
      <c r="V338" s="115">
        <v>1356.9658300000001</v>
      </c>
      <c r="W338" s="115">
        <f t="shared" si="82"/>
        <v>50000119.938010007</v>
      </c>
      <c r="X338" s="261" t="s">
        <v>5108</v>
      </c>
      <c r="AH338" s="192">
        <v>47</v>
      </c>
      <c r="AI338" s="192" t="s">
        <v>4759</v>
      </c>
      <c r="AJ338" s="193">
        <v>20000</v>
      </c>
      <c r="AK338" s="192">
        <v>4</v>
      </c>
      <c r="AL338" s="192">
        <f t="shared" ref="AL338:AL346" si="89">AK338+AL339</f>
        <v>741</v>
      </c>
      <c r="AM338" s="192">
        <f t="shared" ref="AM338:AM346" si="90">AJ338*AL338</f>
        <v>14820000</v>
      </c>
      <c r="AN338" s="192"/>
      <c r="AR338" t="s">
        <v>25</v>
      </c>
      <c r="AT338" s="94" t="s">
        <v>25</v>
      </c>
    </row>
    <row r="339" spans="17:46" ht="30">
      <c r="Q339" s="97" t="s">
        <v>4792</v>
      </c>
      <c r="R339" s="93">
        <v>-3500000</v>
      </c>
      <c r="T339" s="19" t="s">
        <v>5448</v>
      </c>
      <c r="U339" s="19">
        <v>13738</v>
      </c>
      <c r="V339" s="115">
        <v>1455.82</v>
      </c>
      <c r="W339" s="115">
        <f t="shared" si="82"/>
        <v>20000055.16</v>
      </c>
      <c r="X339" s="261" t="s">
        <v>5464</v>
      </c>
      <c r="Y339" t="s">
        <v>25</v>
      </c>
      <c r="AA339" t="s">
        <v>25</v>
      </c>
      <c r="AH339" s="192">
        <v>48</v>
      </c>
      <c r="AI339" s="192" t="s">
        <v>4772</v>
      </c>
      <c r="AJ339" s="193">
        <v>30000000</v>
      </c>
      <c r="AK339" s="192">
        <v>27</v>
      </c>
      <c r="AL339" s="192">
        <f t="shared" si="89"/>
        <v>737</v>
      </c>
      <c r="AM339" s="192">
        <f t="shared" si="90"/>
        <v>22110000000</v>
      </c>
      <c r="AN339" s="192" t="s">
        <v>4773</v>
      </c>
      <c r="AS339" t="s">
        <v>25</v>
      </c>
    </row>
    <row r="340" spans="17:46">
      <c r="Q340" s="97" t="s">
        <v>4827</v>
      </c>
      <c r="R340" s="93">
        <v>2520000</v>
      </c>
      <c r="T340" s="19" t="s">
        <v>5471</v>
      </c>
      <c r="U340" s="19">
        <v>3100</v>
      </c>
      <c r="V340" s="115">
        <v>1853.4507470000001</v>
      </c>
      <c r="W340" s="115">
        <f t="shared" si="82"/>
        <v>5745697.3157000002</v>
      </c>
      <c r="X340" s="261" t="s">
        <v>5103</v>
      </c>
      <c r="Y340" t="s">
        <v>25</v>
      </c>
      <c r="AH340" s="20">
        <v>49</v>
      </c>
      <c r="AI340" s="20" t="s">
        <v>4840</v>
      </c>
      <c r="AJ340" s="115">
        <v>1100000</v>
      </c>
      <c r="AK340" s="20">
        <v>1</v>
      </c>
      <c r="AL340" s="20">
        <f t="shared" si="89"/>
        <v>710</v>
      </c>
      <c r="AM340" s="20">
        <f t="shared" si="90"/>
        <v>781000000</v>
      </c>
      <c r="AN340" s="20"/>
    </row>
    <row r="341" spans="17:46">
      <c r="Q341" s="97" t="s">
        <v>4840</v>
      </c>
      <c r="R341" s="93">
        <v>4900000</v>
      </c>
      <c r="T341" s="19" t="s">
        <v>5472</v>
      </c>
      <c r="U341" s="19">
        <v>480</v>
      </c>
      <c r="V341" s="115">
        <v>1891.9962069999999</v>
      </c>
      <c r="W341" s="115">
        <f t="shared" si="82"/>
        <v>908158.17935999995</v>
      </c>
      <c r="X341" s="261" t="s">
        <v>5103</v>
      </c>
      <c r="Y341" t="s">
        <v>25</v>
      </c>
      <c r="AH341" s="20">
        <v>50</v>
      </c>
      <c r="AI341" s="20" t="s">
        <v>4841</v>
      </c>
      <c r="AJ341" s="115">
        <v>450000</v>
      </c>
      <c r="AK341" s="20">
        <v>0</v>
      </c>
      <c r="AL341" s="20">
        <f t="shared" si="89"/>
        <v>709</v>
      </c>
      <c r="AM341" s="20">
        <f t="shared" si="90"/>
        <v>319050000</v>
      </c>
      <c r="AN341" s="20"/>
    </row>
    <row r="342" spans="17:46">
      <c r="Q342" s="97" t="s">
        <v>4799</v>
      </c>
      <c r="R342" s="93">
        <v>1150000</v>
      </c>
      <c r="T342" s="19" t="s">
        <v>5473</v>
      </c>
      <c r="U342" s="19">
        <v>6522</v>
      </c>
      <c r="V342" s="115">
        <v>1938.4694340000001</v>
      </c>
      <c r="W342" s="115">
        <f t="shared" si="82"/>
        <v>12642697.648548001</v>
      </c>
      <c r="X342" s="261" t="s">
        <v>5103</v>
      </c>
      <c r="AH342" s="147">
        <v>51</v>
      </c>
      <c r="AI342" s="147" t="s">
        <v>4841</v>
      </c>
      <c r="AJ342" s="186">
        <v>550000</v>
      </c>
      <c r="AK342" s="147">
        <v>1</v>
      </c>
      <c r="AL342" s="147">
        <f t="shared" si="89"/>
        <v>709</v>
      </c>
      <c r="AM342" s="147">
        <f t="shared" si="90"/>
        <v>389950000</v>
      </c>
      <c r="AN342" s="147"/>
    </row>
    <row r="343" spans="17:46">
      <c r="Q343" s="97" t="s">
        <v>4874</v>
      </c>
      <c r="R343" s="93">
        <v>250000</v>
      </c>
      <c r="T343" s="19" t="s">
        <v>5474</v>
      </c>
      <c r="U343" s="19">
        <v>6197</v>
      </c>
      <c r="V343" s="115">
        <v>1984.3985499999999</v>
      </c>
      <c r="W343" s="115">
        <f t="shared" si="82"/>
        <v>12297317.81435</v>
      </c>
      <c r="X343" s="261" t="s">
        <v>5103</v>
      </c>
      <c r="AA343" t="s">
        <v>25</v>
      </c>
      <c r="AH343" s="147">
        <v>52</v>
      </c>
      <c r="AI343" s="147" t="s">
        <v>4843</v>
      </c>
      <c r="AJ343" s="186">
        <v>1000000</v>
      </c>
      <c r="AK343" s="147">
        <v>8</v>
      </c>
      <c r="AL343" s="147">
        <f t="shared" si="89"/>
        <v>708</v>
      </c>
      <c r="AM343" s="147">
        <f t="shared" si="90"/>
        <v>708000000</v>
      </c>
      <c r="AN343" s="147"/>
    </row>
    <row r="344" spans="17:46">
      <c r="Q344" s="97" t="s">
        <v>4877</v>
      </c>
      <c r="R344" s="93">
        <v>1403460</v>
      </c>
      <c r="T344" s="19" t="s">
        <v>5475</v>
      </c>
      <c r="U344" s="19">
        <v>4646</v>
      </c>
      <c r="V344" s="115">
        <v>1928.464023</v>
      </c>
      <c r="W344" s="115">
        <f t="shared" si="82"/>
        <v>8959643.8508579992</v>
      </c>
      <c r="X344" s="261" t="s">
        <v>5103</v>
      </c>
      <c r="Z344" t="s">
        <v>25</v>
      </c>
      <c r="AA344" t="s">
        <v>25</v>
      </c>
      <c r="AH344" s="20">
        <v>53</v>
      </c>
      <c r="AI344" s="20" t="s">
        <v>4852</v>
      </c>
      <c r="AJ344" s="115">
        <v>-2668880</v>
      </c>
      <c r="AK344" s="20">
        <v>0</v>
      </c>
      <c r="AL344" s="20">
        <f t="shared" si="89"/>
        <v>700</v>
      </c>
      <c r="AM344" s="20">
        <f t="shared" si="90"/>
        <v>-1868216000</v>
      </c>
      <c r="AN344" s="20" t="s">
        <v>4854</v>
      </c>
    </row>
    <row r="345" spans="17:46">
      <c r="Q345" s="97" t="s">
        <v>4882</v>
      </c>
      <c r="R345" s="93">
        <v>200000</v>
      </c>
      <c r="T345" s="19" t="s">
        <v>5476</v>
      </c>
      <c r="U345" s="19">
        <v>7668</v>
      </c>
      <c r="V345" s="115">
        <v>1976.2774959999999</v>
      </c>
      <c r="W345" s="115">
        <f t="shared" si="82"/>
        <v>15154095.839328</v>
      </c>
      <c r="X345" s="261" t="s">
        <v>5103</v>
      </c>
      <c r="AH345" s="147">
        <v>54</v>
      </c>
      <c r="AI345" s="147" t="s">
        <v>4852</v>
      </c>
      <c r="AJ345" s="186">
        <v>-1528620</v>
      </c>
      <c r="AK345" s="147">
        <v>0</v>
      </c>
      <c r="AL345" s="147">
        <f t="shared" si="89"/>
        <v>700</v>
      </c>
      <c r="AM345" s="147">
        <f t="shared" si="90"/>
        <v>-1070034000</v>
      </c>
      <c r="AN345" s="147" t="s">
        <v>4854</v>
      </c>
    </row>
    <row r="346" spans="17:46" ht="30">
      <c r="Q346" s="97" t="s">
        <v>4887</v>
      </c>
      <c r="R346" s="93">
        <v>345000</v>
      </c>
      <c r="T346" s="19" t="s">
        <v>5483</v>
      </c>
      <c r="U346" s="19">
        <v>-43325</v>
      </c>
      <c r="V346" s="115">
        <v>2146.5548840000001</v>
      </c>
      <c r="W346" s="115">
        <f t="shared" si="82"/>
        <v>-92999490.349300012</v>
      </c>
      <c r="X346" s="261" t="s">
        <v>5484</v>
      </c>
      <c r="Y346" t="s">
        <v>25</v>
      </c>
      <c r="AH346" s="20">
        <v>55</v>
      </c>
      <c r="AI346" s="20" t="s">
        <v>4852</v>
      </c>
      <c r="AJ346" s="115">
        <v>50000000</v>
      </c>
      <c r="AK346" s="20">
        <v>4</v>
      </c>
      <c r="AL346" s="20">
        <f t="shared" si="89"/>
        <v>700</v>
      </c>
      <c r="AM346" s="20">
        <f t="shared" si="90"/>
        <v>35000000000</v>
      </c>
      <c r="AN346" s="20"/>
    </row>
    <row r="347" spans="17:46">
      <c r="Q347" s="97" t="s">
        <v>4890</v>
      </c>
      <c r="R347" s="93">
        <v>900000</v>
      </c>
      <c r="S347" s="112"/>
      <c r="T347" s="19" t="s">
        <v>5491</v>
      </c>
      <c r="U347" s="19">
        <v>20888</v>
      </c>
      <c r="V347" s="115">
        <v>2428.4521530000002</v>
      </c>
      <c r="W347" s="115">
        <f t="shared" si="82"/>
        <v>50725508.571864001</v>
      </c>
      <c r="X347" s="261" t="s">
        <v>5103</v>
      </c>
      <c r="AH347" s="20">
        <v>56</v>
      </c>
      <c r="AI347" s="20" t="s">
        <v>4858</v>
      </c>
      <c r="AJ347" s="115">
        <v>400000</v>
      </c>
      <c r="AK347" s="20">
        <v>4</v>
      </c>
      <c r="AL347" s="20">
        <f t="shared" ref="AL347:AL356" si="91">AK347+AL348</f>
        <v>696</v>
      </c>
      <c r="AM347" s="20">
        <f t="shared" ref="AM347:AM356" si="92">AJ347*AL347</f>
        <v>278400000</v>
      </c>
      <c r="AN347" s="20"/>
    </row>
    <row r="348" spans="17:46">
      <c r="Q348" s="97" t="s">
        <v>4898</v>
      </c>
      <c r="R348" s="93">
        <v>372517</v>
      </c>
      <c r="T348" s="19" t="s">
        <v>5492</v>
      </c>
      <c r="U348" s="19">
        <v>21663</v>
      </c>
      <c r="V348" s="115">
        <v>2308.0067819999999</v>
      </c>
      <c r="W348" s="115">
        <f t="shared" si="82"/>
        <v>49998350.918466002</v>
      </c>
      <c r="X348" s="261" t="s">
        <v>5495</v>
      </c>
      <c r="Y348" t="s">
        <v>25</v>
      </c>
      <c r="AH348" s="20">
        <v>57</v>
      </c>
      <c r="AI348" s="20" t="s">
        <v>4867</v>
      </c>
      <c r="AJ348" s="115">
        <v>2000000</v>
      </c>
      <c r="AK348" s="20">
        <v>3</v>
      </c>
      <c r="AL348" s="20">
        <f t="shared" si="91"/>
        <v>692</v>
      </c>
      <c r="AM348" s="20">
        <f t="shared" si="92"/>
        <v>1384000000</v>
      </c>
      <c r="AN348" s="20"/>
    </row>
    <row r="349" spans="17:46">
      <c r="Q349" s="97" t="s">
        <v>4931</v>
      </c>
      <c r="R349" s="93">
        <v>6489257</v>
      </c>
      <c r="T349" s="19" t="s">
        <v>5492</v>
      </c>
      <c r="U349" s="19">
        <v>977</v>
      </c>
      <c r="V349" s="115">
        <v>2335.6821479999999</v>
      </c>
      <c r="W349" s="115">
        <f t="shared" si="82"/>
        <v>2281961.458596</v>
      </c>
      <c r="X349" s="261" t="s">
        <v>5103</v>
      </c>
      <c r="AH349" s="20">
        <v>58</v>
      </c>
      <c r="AI349" s="20" t="s">
        <v>4870</v>
      </c>
      <c r="AJ349" s="115">
        <v>100000</v>
      </c>
      <c r="AK349" s="20">
        <v>4</v>
      </c>
      <c r="AL349" s="20">
        <f t="shared" si="91"/>
        <v>689</v>
      </c>
      <c r="AM349" s="20">
        <f t="shared" si="92"/>
        <v>68900000</v>
      </c>
      <c r="AN349" s="20" t="s">
        <v>3873</v>
      </c>
    </row>
    <row r="350" spans="17:46">
      <c r="Q350" s="97" t="s">
        <v>4942</v>
      </c>
      <c r="R350" s="93">
        <v>618000</v>
      </c>
      <c r="T350" s="19" t="s">
        <v>5499</v>
      </c>
      <c r="U350" s="19">
        <v>4155</v>
      </c>
      <c r="V350" s="115">
        <v>2647</v>
      </c>
      <c r="W350" s="115">
        <f t="shared" si="82"/>
        <v>10998285</v>
      </c>
      <c r="X350" s="261" t="s">
        <v>5103</v>
      </c>
      <c r="AH350" s="20">
        <v>59</v>
      </c>
      <c r="AI350" s="20" t="s">
        <v>4877</v>
      </c>
      <c r="AJ350" s="115">
        <v>100000</v>
      </c>
      <c r="AK350" s="20">
        <v>7</v>
      </c>
      <c r="AL350" s="20">
        <f t="shared" si="91"/>
        <v>685</v>
      </c>
      <c r="AM350" s="20">
        <f t="shared" si="92"/>
        <v>68500000</v>
      </c>
      <c r="AN350" s="20"/>
    </row>
    <row r="351" spans="17:46">
      <c r="Q351" s="97" t="s">
        <v>4946</v>
      </c>
      <c r="R351" s="93">
        <v>20105000</v>
      </c>
      <c r="T351" s="19" t="s">
        <v>5500</v>
      </c>
      <c r="U351" s="19">
        <v>351</v>
      </c>
      <c r="V351" s="115">
        <v>2800.6238229999999</v>
      </c>
      <c r="W351" s="115">
        <f t="shared" si="82"/>
        <v>983018.96187300002</v>
      </c>
      <c r="X351" s="261" t="s">
        <v>5103</v>
      </c>
      <c r="Y351" t="s">
        <v>25</v>
      </c>
      <c r="AH351" s="20">
        <v>60</v>
      </c>
      <c r="AI351" s="20" t="s">
        <v>4890</v>
      </c>
      <c r="AJ351" s="115">
        <v>50000</v>
      </c>
      <c r="AK351" s="20">
        <v>0</v>
      </c>
      <c r="AL351" s="20">
        <f t="shared" si="91"/>
        <v>678</v>
      </c>
      <c r="AM351" s="20">
        <f t="shared" si="92"/>
        <v>33900000</v>
      </c>
      <c r="AN351" s="20"/>
    </row>
    <row r="352" spans="17:46">
      <c r="Q352" s="97" t="s">
        <v>4947</v>
      </c>
      <c r="R352" s="93">
        <v>-21079990</v>
      </c>
      <c r="T352" s="19" t="s">
        <v>5502</v>
      </c>
      <c r="U352" s="19">
        <v>5877</v>
      </c>
      <c r="V352" s="115">
        <v>2901.0160000000001</v>
      </c>
      <c r="W352" s="115">
        <f t="shared" si="82"/>
        <v>17049271.032000002</v>
      </c>
      <c r="X352" s="261" t="s">
        <v>5103</v>
      </c>
      <c r="Y352" t="s">
        <v>25</v>
      </c>
      <c r="AH352" s="147">
        <v>61</v>
      </c>
      <c r="AI352" s="147" t="s">
        <v>4890</v>
      </c>
      <c r="AJ352" s="186">
        <v>50000</v>
      </c>
      <c r="AK352" s="147">
        <v>3</v>
      </c>
      <c r="AL352" s="147">
        <f t="shared" si="91"/>
        <v>678</v>
      </c>
      <c r="AM352" s="147">
        <f t="shared" si="92"/>
        <v>33900000</v>
      </c>
      <c r="AN352" s="147"/>
    </row>
    <row r="353" spans="17:45">
      <c r="Q353" s="97" t="s">
        <v>4953</v>
      </c>
      <c r="R353" s="93">
        <v>-5949277</v>
      </c>
      <c r="T353" s="19" t="s">
        <v>5505</v>
      </c>
      <c r="U353" s="19">
        <v>2374</v>
      </c>
      <c r="V353" s="115">
        <v>2877</v>
      </c>
      <c r="W353" s="115">
        <f t="shared" ref="W353:W390" si="93">U353*V353</f>
        <v>6829998</v>
      </c>
      <c r="X353" s="261" t="s">
        <v>5103</v>
      </c>
      <c r="AH353" s="20">
        <v>62</v>
      </c>
      <c r="AI353" s="20" t="s">
        <v>4893</v>
      </c>
      <c r="AJ353" s="115">
        <v>50000</v>
      </c>
      <c r="AK353" s="20">
        <v>0</v>
      </c>
      <c r="AL353" s="20">
        <f t="shared" si="91"/>
        <v>675</v>
      </c>
      <c r="AM353" s="20">
        <f t="shared" si="92"/>
        <v>33750000</v>
      </c>
      <c r="AN353" s="20"/>
    </row>
    <row r="354" spans="17:45">
      <c r="Q354" s="97" t="s">
        <v>4959</v>
      </c>
      <c r="R354" s="93">
        <v>-15370656</v>
      </c>
      <c r="T354" s="19" t="s">
        <v>4209</v>
      </c>
      <c r="U354" s="19">
        <v>2532</v>
      </c>
      <c r="V354" s="115">
        <v>2757.7444</v>
      </c>
      <c r="W354" s="115">
        <f t="shared" si="93"/>
        <v>6982608.8207999999</v>
      </c>
      <c r="X354" s="261" t="s">
        <v>5103</v>
      </c>
      <c r="AH354" s="192">
        <v>63</v>
      </c>
      <c r="AI354" s="192" t="s">
        <v>4893</v>
      </c>
      <c r="AJ354" s="193">
        <v>50000</v>
      </c>
      <c r="AK354" s="192">
        <v>2</v>
      </c>
      <c r="AL354" s="192">
        <f t="shared" si="91"/>
        <v>675</v>
      </c>
      <c r="AM354" s="192">
        <f t="shared" si="92"/>
        <v>33750000</v>
      </c>
      <c r="AN354" s="192"/>
    </row>
    <row r="355" spans="17:45">
      <c r="Q355" s="97" t="s">
        <v>4959</v>
      </c>
      <c r="R355" s="93">
        <v>4960000</v>
      </c>
      <c r="T355" s="19" t="s">
        <v>4209</v>
      </c>
      <c r="U355" s="19">
        <v>4987</v>
      </c>
      <c r="V355" s="115">
        <v>2757.7444</v>
      </c>
      <c r="W355" s="115">
        <f t="shared" si="93"/>
        <v>13752871.322800001</v>
      </c>
      <c r="X355" s="261" t="s">
        <v>5521</v>
      </c>
      <c r="Y355" t="s">
        <v>25</v>
      </c>
      <c r="AH355" s="20">
        <v>64</v>
      </c>
      <c r="AI355" s="20" t="s">
        <v>4900</v>
      </c>
      <c r="AJ355" s="115">
        <v>25000</v>
      </c>
      <c r="AK355" s="20">
        <v>0</v>
      </c>
      <c r="AL355" s="20">
        <f t="shared" si="91"/>
        <v>673</v>
      </c>
      <c r="AM355" s="20">
        <f t="shared" si="92"/>
        <v>16825000</v>
      </c>
      <c r="AN355" s="20"/>
    </row>
    <row r="356" spans="17:45">
      <c r="Q356" s="97" t="s">
        <v>4966</v>
      </c>
      <c r="R356" s="93">
        <v>10000000</v>
      </c>
      <c r="S356" t="s">
        <v>25</v>
      </c>
      <c r="T356" s="19" t="s">
        <v>4209</v>
      </c>
      <c r="U356" s="19">
        <v>997</v>
      </c>
      <c r="V356" s="115">
        <v>2757.7444</v>
      </c>
      <c r="W356" s="115">
        <f t="shared" si="93"/>
        <v>2749471.1668000002</v>
      </c>
      <c r="X356" s="261" t="s">
        <v>5522</v>
      </c>
      <c r="AH356" s="147">
        <v>65</v>
      </c>
      <c r="AI356" s="147" t="s">
        <v>4900</v>
      </c>
      <c r="AJ356" s="186">
        <v>35000</v>
      </c>
      <c r="AK356" s="147">
        <v>7</v>
      </c>
      <c r="AL356" s="147">
        <f t="shared" si="91"/>
        <v>673</v>
      </c>
      <c r="AM356" s="147">
        <f t="shared" si="92"/>
        <v>23555000</v>
      </c>
      <c r="AN356" s="147"/>
    </row>
    <row r="357" spans="17:45">
      <c r="Q357" s="97" t="s">
        <v>4975</v>
      </c>
      <c r="R357" s="93">
        <v>-40570100</v>
      </c>
      <c r="T357" s="19" t="s">
        <v>5526</v>
      </c>
      <c r="U357" s="19">
        <v>2874</v>
      </c>
      <c r="V357" s="115">
        <v>2613.1284000000001</v>
      </c>
      <c r="W357" s="115">
        <f t="shared" si="93"/>
        <v>7510131.0216000006</v>
      </c>
      <c r="X357" s="261" t="s">
        <v>5103</v>
      </c>
      <c r="AH357" s="147">
        <v>66</v>
      </c>
      <c r="AI357" s="147" t="s">
        <v>4908</v>
      </c>
      <c r="AJ357" s="186">
        <v>30000000</v>
      </c>
      <c r="AK357" s="147">
        <v>0</v>
      </c>
      <c r="AL357" s="147">
        <f t="shared" ref="AL357:AL376" si="94">AK357+AL358</f>
        <v>666</v>
      </c>
      <c r="AM357" s="147">
        <f t="shared" ref="AM357:AM376" si="95">AJ357*AL357</f>
        <v>19980000000</v>
      </c>
      <c r="AN357" s="147"/>
    </row>
    <row r="358" spans="17:45" ht="18" customHeight="1">
      <c r="Q358" s="97" t="s">
        <v>4976</v>
      </c>
      <c r="R358" s="93">
        <v>1000000</v>
      </c>
      <c r="T358" s="19" t="s">
        <v>5532</v>
      </c>
      <c r="U358" s="19">
        <v>2847</v>
      </c>
      <c r="V358" s="115">
        <v>2556.3841000000002</v>
      </c>
      <c r="W358" s="115">
        <f t="shared" si="93"/>
        <v>7278025.5327000003</v>
      </c>
      <c r="X358" s="261" t="s">
        <v>5103</v>
      </c>
      <c r="AH358" s="20">
        <v>67</v>
      </c>
      <c r="AI358" s="20" t="s">
        <v>4908</v>
      </c>
      <c r="AJ358" s="115">
        <v>6800000</v>
      </c>
      <c r="AK358" s="20">
        <v>1</v>
      </c>
      <c r="AL358" s="20">
        <f t="shared" si="94"/>
        <v>666</v>
      </c>
      <c r="AM358" s="20">
        <f t="shared" si="95"/>
        <v>4528800000</v>
      </c>
      <c r="AN358" s="20"/>
      <c r="AS358" t="s">
        <v>25</v>
      </c>
    </row>
    <row r="359" spans="17:45" ht="21" customHeight="1">
      <c r="Q359" s="97" t="s">
        <v>4983</v>
      </c>
      <c r="R359" s="93">
        <v>400000</v>
      </c>
      <c r="T359" s="19" t="s">
        <v>5532</v>
      </c>
      <c r="U359" s="19">
        <v>1222</v>
      </c>
      <c r="V359" s="115">
        <v>2556.3841000000002</v>
      </c>
      <c r="W359" s="115">
        <f t="shared" si="93"/>
        <v>3123901.3702000002</v>
      </c>
      <c r="X359" s="261" t="s">
        <v>5533</v>
      </c>
      <c r="AH359" s="20">
        <v>68</v>
      </c>
      <c r="AI359" s="20" t="s">
        <v>4911</v>
      </c>
      <c r="AJ359" s="115">
        <v>500000</v>
      </c>
      <c r="AK359" s="20">
        <v>1</v>
      </c>
      <c r="AL359" s="20">
        <f t="shared" si="94"/>
        <v>665</v>
      </c>
      <c r="AM359" s="20">
        <f t="shared" si="95"/>
        <v>332500000</v>
      </c>
      <c r="AN359" s="20"/>
    </row>
    <row r="360" spans="17:45">
      <c r="Q360" s="97" t="s">
        <v>4997</v>
      </c>
      <c r="R360" s="93">
        <v>120000</v>
      </c>
      <c r="T360" s="19" t="s">
        <v>5541</v>
      </c>
      <c r="U360" s="19">
        <v>73</v>
      </c>
      <c r="V360" s="115">
        <v>2672.0459999999998</v>
      </c>
      <c r="W360" s="115">
        <f t="shared" si="93"/>
        <v>195059.35799999998</v>
      </c>
      <c r="X360" s="261" t="s">
        <v>5103</v>
      </c>
      <c r="AH360" s="20">
        <v>69</v>
      </c>
      <c r="AI360" s="20" t="s">
        <v>4915</v>
      </c>
      <c r="AJ360" s="115">
        <v>850000</v>
      </c>
      <c r="AK360" s="20">
        <v>5</v>
      </c>
      <c r="AL360" s="20">
        <f t="shared" si="94"/>
        <v>664</v>
      </c>
      <c r="AM360" s="20">
        <f t="shared" si="95"/>
        <v>564400000</v>
      </c>
      <c r="AN360" s="20"/>
    </row>
    <row r="361" spans="17:45" ht="30">
      <c r="Q361" s="97" t="s">
        <v>4988</v>
      </c>
      <c r="R361" s="93">
        <v>500000</v>
      </c>
      <c r="T361" s="19" t="s">
        <v>5546</v>
      </c>
      <c r="U361" s="19">
        <v>332</v>
      </c>
      <c r="V361" s="115">
        <v>2598.1260000000002</v>
      </c>
      <c r="W361" s="115">
        <f t="shared" si="93"/>
        <v>862577.83200000005</v>
      </c>
      <c r="X361" s="261" t="s">
        <v>5547</v>
      </c>
      <c r="Y361" t="s">
        <v>25</v>
      </c>
      <c r="Z361" t="s">
        <v>25</v>
      </c>
      <c r="AH361" s="20">
        <v>70</v>
      </c>
      <c r="AI361" s="20" t="s">
        <v>4923</v>
      </c>
      <c r="AJ361" s="115">
        <v>1130250</v>
      </c>
      <c r="AK361" s="20">
        <v>0</v>
      </c>
      <c r="AL361" s="20">
        <f t="shared" si="94"/>
        <v>659</v>
      </c>
      <c r="AM361" s="20">
        <f t="shared" si="95"/>
        <v>744834750</v>
      </c>
      <c r="AN361" s="20"/>
    </row>
    <row r="362" spans="17:45" ht="18.75" customHeight="1">
      <c r="Q362" s="97" t="s">
        <v>5013</v>
      </c>
      <c r="R362" s="93">
        <v>744000</v>
      </c>
      <c r="T362" s="19" t="s">
        <v>5548</v>
      </c>
      <c r="U362" s="19">
        <v>346</v>
      </c>
      <c r="V362" s="115">
        <v>2659.8510000000001</v>
      </c>
      <c r="W362" s="115">
        <f t="shared" si="93"/>
        <v>920308.446</v>
      </c>
      <c r="X362" s="261" t="s">
        <v>5103</v>
      </c>
      <c r="AH362" s="240">
        <v>71</v>
      </c>
      <c r="AI362" s="240" t="s">
        <v>4923</v>
      </c>
      <c r="AJ362" s="231">
        <v>30000</v>
      </c>
      <c r="AK362" s="240">
        <v>5</v>
      </c>
      <c r="AL362" s="240">
        <f t="shared" si="94"/>
        <v>659</v>
      </c>
      <c r="AM362" s="240">
        <f t="shared" si="95"/>
        <v>19770000</v>
      </c>
      <c r="AN362" s="240"/>
    </row>
    <row r="363" spans="17:45">
      <c r="Q363" s="97" t="s">
        <v>5018</v>
      </c>
      <c r="R363" s="93">
        <v>65000</v>
      </c>
      <c r="T363" s="19" t="s">
        <v>5549</v>
      </c>
      <c r="U363" s="19">
        <v>1722</v>
      </c>
      <c r="V363" s="115">
        <v>2692.1079220000001</v>
      </c>
      <c r="W363" s="115">
        <f t="shared" si="93"/>
        <v>4635809.8416840006</v>
      </c>
      <c r="X363" s="261" t="s">
        <v>5103</v>
      </c>
      <c r="Y363" t="s">
        <v>25</v>
      </c>
      <c r="AH363" s="20">
        <v>72</v>
      </c>
      <c r="AI363" s="20" t="s">
        <v>4931</v>
      </c>
      <c r="AJ363" s="115">
        <v>206000</v>
      </c>
      <c r="AK363" s="20">
        <v>0</v>
      </c>
      <c r="AL363" s="20">
        <f t="shared" si="94"/>
        <v>654</v>
      </c>
      <c r="AM363" s="20">
        <f t="shared" si="95"/>
        <v>134724000</v>
      </c>
      <c r="AN363" s="20"/>
    </row>
    <row r="364" spans="17:45">
      <c r="Q364" s="97" t="s">
        <v>4989</v>
      </c>
      <c r="R364" s="93">
        <v>-14053702</v>
      </c>
      <c r="T364" s="19" t="s">
        <v>5551</v>
      </c>
      <c r="U364" s="19">
        <v>106</v>
      </c>
      <c r="V364" s="115">
        <v>2725.4</v>
      </c>
      <c r="W364" s="115">
        <f t="shared" si="93"/>
        <v>288892.40000000002</v>
      </c>
      <c r="X364" s="261" t="s">
        <v>452</v>
      </c>
      <c r="Y364" t="s">
        <v>25</v>
      </c>
      <c r="Z364" t="s">
        <v>25</v>
      </c>
      <c r="AH364" s="147">
        <v>73</v>
      </c>
      <c r="AI364" s="147" t="s">
        <v>4931</v>
      </c>
      <c r="AJ364" s="186">
        <v>206000</v>
      </c>
      <c r="AK364" s="147">
        <v>2</v>
      </c>
      <c r="AL364" s="147">
        <f t="shared" si="94"/>
        <v>654</v>
      </c>
      <c r="AM364" s="147">
        <f t="shared" si="95"/>
        <v>134724000</v>
      </c>
      <c r="AN364" s="147"/>
    </row>
    <row r="365" spans="17:45">
      <c r="Q365" s="97" t="s">
        <v>5054</v>
      </c>
      <c r="R365" s="93">
        <v>3555678</v>
      </c>
      <c r="T365" s="19" t="s">
        <v>5579</v>
      </c>
      <c r="U365" s="19">
        <v>25901</v>
      </c>
      <c r="V365" s="115">
        <v>2258.9090000000001</v>
      </c>
      <c r="W365" s="115">
        <f t="shared" si="93"/>
        <v>58508002.009000003</v>
      </c>
      <c r="X365" s="261" t="s">
        <v>5103</v>
      </c>
      <c r="AH365" s="20">
        <v>74</v>
      </c>
      <c r="AI365" s="20" t="s">
        <v>4938</v>
      </c>
      <c r="AJ365" s="115">
        <v>50000</v>
      </c>
      <c r="AK365" s="20">
        <v>0</v>
      </c>
      <c r="AL365" s="20">
        <f t="shared" si="94"/>
        <v>652</v>
      </c>
      <c r="AM365" s="20">
        <f t="shared" si="95"/>
        <v>32600000</v>
      </c>
      <c r="AN365" s="20"/>
    </row>
    <row r="366" spans="17:45">
      <c r="Q366" s="97" t="s">
        <v>5058</v>
      </c>
      <c r="R366" s="93">
        <v>3495</v>
      </c>
      <c r="T366" s="19" t="s">
        <v>5581</v>
      </c>
      <c r="U366" s="19">
        <v>951</v>
      </c>
      <c r="V366" s="115">
        <v>2361.2150799999999</v>
      </c>
      <c r="W366" s="115">
        <f t="shared" si="93"/>
        <v>2245515.5410799999</v>
      </c>
      <c r="X366" s="261" t="s">
        <v>5103</v>
      </c>
      <c r="AH366" s="240">
        <v>75</v>
      </c>
      <c r="AI366" s="240" t="s">
        <v>4938</v>
      </c>
      <c r="AJ366" s="231">
        <v>50000</v>
      </c>
      <c r="AK366" s="240">
        <v>2</v>
      </c>
      <c r="AL366" s="240">
        <f t="shared" si="94"/>
        <v>652</v>
      </c>
      <c r="AM366" s="240">
        <f t="shared" si="95"/>
        <v>32600000</v>
      </c>
      <c r="AN366" s="240"/>
    </row>
    <row r="367" spans="17:45">
      <c r="Q367" s="97" t="s">
        <v>5060</v>
      </c>
      <c r="R367" s="93">
        <v>6000000</v>
      </c>
      <c r="T367" s="19" t="s">
        <v>5583</v>
      </c>
      <c r="U367" s="19">
        <v>7622</v>
      </c>
      <c r="V367" s="115">
        <v>2414.6810999999998</v>
      </c>
      <c r="W367" s="115">
        <f t="shared" si="93"/>
        <v>18404699.3442</v>
      </c>
      <c r="X367" s="261" t="s">
        <v>5103</v>
      </c>
      <c r="AH367" s="20">
        <v>76</v>
      </c>
      <c r="AI367" s="20" t="s">
        <v>4942</v>
      </c>
      <c r="AJ367" s="115">
        <v>20000000</v>
      </c>
      <c r="AK367" s="20">
        <v>7</v>
      </c>
      <c r="AL367" s="20">
        <f t="shared" si="94"/>
        <v>650</v>
      </c>
      <c r="AM367" s="20">
        <f t="shared" si="95"/>
        <v>13000000000</v>
      </c>
      <c r="AN367" s="20" t="s">
        <v>4943</v>
      </c>
    </row>
    <row r="368" spans="17:45">
      <c r="Q368" s="97" t="s">
        <v>5061</v>
      </c>
      <c r="R368" s="93">
        <v>17220</v>
      </c>
      <c r="T368" s="19" t="s">
        <v>5583</v>
      </c>
      <c r="U368" s="19">
        <v>-282</v>
      </c>
      <c r="V368" s="115">
        <v>2414.6810999999998</v>
      </c>
      <c r="W368" s="115">
        <f t="shared" si="93"/>
        <v>-680940.07019999996</v>
      </c>
      <c r="X368" s="261" t="s">
        <v>5584</v>
      </c>
      <c r="AH368" s="20">
        <v>77</v>
      </c>
      <c r="AI368" s="20" t="s">
        <v>4953</v>
      </c>
      <c r="AJ368" s="115">
        <v>50000</v>
      </c>
      <c r="AK368" s="20">
        <v>0</v>
      </c>
      <c r="AL368" s="20">
        <f t="shared" si="94"/>
        <v>643</v>
      </c>
      <c r="AM368" s="20">
        <f t="shared" si="95"/>
        <v>32150000</v>
      </c>
      <c r="AN368" s="20"/>
    </row>
    <row r="369" spans="17:45">
      <c r="Q369" s="97" t="s">
        <v>5063</v>
      </c>
      <c r="R369" s="93">
        <v>8249</v>
      </c>
      <c r="T369" s="19" t="s">
        <v>5583</v>
      </c>
      <c r="U369" s="19">
        <v>20162</v>
      </c>
      <c r="V369" s="115">
        <v>2414.6810999999998</v>
      </c>
      <c r="W369" s="115">
        <f t="shared" si="93"/>
        <v>48684800.338199995</v>
      </c>
      <c r="X369" s="261" t="s">
        <v>5585</v>
      </c>
      <c r="AH369" s="147">
        <v>78</v>
      </c>
      <c r="AI369" s="147" t="s">
        <v>4953</v>
      </c>
      <c r="AJ369" s="186">
        <v>50000</v>
      </c>
      <c r="AK369" s="147">
        <v>7</v>
      </c>
      <c r="AL369" s="147">
        <f t="shared" si="94"/>
        <v>643</v>
      </c>
      <c r="AM369" s="147">
        <f t="shared" si="95"/>
        <v>32150000</v>
      </c>
      <c r="AN369" s="147"/>
    </row>
    <row r="370" spans="17:45">
      <c r="Q370" s="97" t="s">
        <v>5063</v>
      </c>
      <c r="R370" s="93">
        <v>6937</v>
      </c>
      <c r="T370" s="19" t="s">
        <v>5583</v>
      </c>
      <c r="U370" s="19">
        <v>-20162</v>
      </c>
      <c r="V370" s="115">
        <v>2414.6810999999998</v>
      </c>
      <c r="W370" s="115">
        <f t="shared" si="93"/>
        <v>-48684800.338199995</v>
      </c>
      <c r="X370" s="261" t="s">
        <v>743</v>
      </c>
      <c r="AH370" s="20">
        <v>79</v>
      </c>
      <c r="AI370" s="20" t="s">
        <v>4959</v>
      </c>
      <c r="AJ370" s="115">
        <v>2480000</v>
      </c>
      <c r="AK370" s="20">
        <v>0</v>
      </c>
      <c r="AL370" s="20">
        <f t="shared" si="94"/>
        <v>636</v>
      </c>
      <c r="AM370" s="20">
        <f t="shared" si="95"/>
        <v>1577280000</v>
      </c>
      <c r="AN370" s="20"/>
    </row>
    <row r="371" spans="17:45">
      <c r="Q371" s="97" t="s">
        <v>5066</v>
      </c>
      <c r="R371" s="93">
        <v>4046552</v>
      </c>
      <c r="T371" s="19" t="s">
        <v>5586</v>
      </c>
      <c r="U371" s="19">
        <v>977</v>
      </c>
      <c r="V371" s="115">
        <v>2317.971947</v>
      </c>
      <c r="W371" s="115">
        <f t="shared" si="93"/>
        <v>2264658.5922190002</v>
      </c>
      <c r="X371" s="261" t="s">
        <v>5103</v>
      </c>
      <c r="AH371" s="147">
        <v>80</v>
      </c>
      <c r="AI371" s="147" t="s">
        <v>4959</v>
      </c>
      <c r="AJ371" s="186">
        <v>2480000</v>
      </c>
      <c r="AK371" s="147">
        <v>12</v>
      </c>
      <c r="AL371" s="147">
        <f t="shared" si="94"/>
        <v>636</v>
      </c>
      <c r="AM371" s="147">
        <f t="shared" si="95"/>
        <v>1577280000</v>
      </c>
      <c r="AN371" s="147"/>
    </row>
    <row r="372" spans="17:45">
      <c r="Q372" s="97" t="s">
        <v>5073</v>
      </c>
      <c r="R372" s="93">
        <v>-3884943</v>
      </c>
      <c r="S372" t="s">
        <v>25</v>
      </c>
      <c r="T372" s="19" t="s">
        <v>5588</v>
      </c>
      <c r="U372" s="19">
        <v>10280</v>
      </c>
      <c r="V372" s="115">
        <v>2225.429357</v>
      </c>
      <c r="W372" s="115">
        <f t="shared" si="93"/>
        <v>22877413.789960001</v>
      </c>
      <c r="X372" s="261" t="s">
        <v>5103</v>
      </c>
      <c r="AH372" s="20">
        <v>81</v>
      </c>
      <c r="AI372" s="20" t="s">
        <v>4966</v>
      </c>
      <c r="AJ372" s="115">
        <v>-24159500</v>
      </c>
      <c r="AK372" s="20">
        <v>4</v>
      </c>
      <c r="AL372" s="20">
        <f t="shared" si="94"/>
        <v>624</v>
      </c>
      <c r="AM372" s="20">
        <f t="shared" si="95"/>
        <v>-15075528000</v>
      </c>
      <c r="AN372" s="20" t="s">
        <v>4974</v>
      </c>
      <c r="AR372" t="s">
        <v>25</v>
      </c>
    </row>
    <row r="373" spans="17:45">
      <c r="Q373" s="97" t="s">
        <v>5099</v>
      </c>
      <c r="R373" s="93">
        <v>6022</v>
      </c>
      <c r="T373" s="19" t="s">
        <v>5591</v>
      </c>
      <c r="U373" s="19">
        <v>1022</v>
      </c>
      <c r="V373" s="115">
        <v>2311.6824240000001</v>
      </c>
      <c r="W373" s="115">
        <f t="shared" si="93"/>
        <v>2362539.4373280001</v>
      </c>
      <c r="X373" s="261" t="s">
        <v>5103</v>
      </c>
      <c r="AB373" t="s">
        <v>25</v>
      </c>
      <c r="AH373" s="20">
        <v>82</v>
      </c>
      <c r="AI373" s="20" t="s">
        <v>4976</v>
      </c>
      <c r="AJ373" s="115">
        <v>400000</v>
      </c>
      <c r="AK373" s="20">
        <v>3</v>
      </c>
      <c r="AL373" s="20">
        <f t="shared" si="94"/>
        <v>620</v>
      </c>
      <c r="AM373" s="20">
        <f t="shared" si="95"/>
        <v>248000000</v>
      </c>
      <c r="AN373" s="20"/>
    </row>
    <row r="374" spans="17:45">
      <c r="Q374" s="97" t="s">
        <v>5102</v>
      </c>
      <c r="R374" s="93">
        <v>400000</v>
      </c>
      <c r="T374" s="19" t="s">
        <v>5592</v>
      </c>
      <c r="U374" s="19">
        <v>6818</v>
      </c>
      <c r="V374" s="115">
        <v>2352.988656</v>
      </c>
      <c r="W374" s="115">
        <f t="shared" si="93"/>
        <v>16042676.656608</v>
      </c>
      <c r="X374" s="261" t="s">
        <v>5103</v>
      </c>
      <c r="AH374" s="147">
        <v>83</v>
      </c>
      <c r="AI374" s="147" t="s">
        <v>4983</v>
      </c>
      <c r="AJ374" s="186">
        <v>40000</v>
      </c>
      <c r="AK374" s="147">
        <v>0</v>
      </c>
      <c r="AL374" s="147">
        <f t="shared" si="94"/>
        <v>617</v>
      </c>
      <c r="AM374" s="147">
        <f t="shared" si="95"/>
        <v>24680000</v>
      </c>
      <c r="AN374" s="147"/>
      <c r="AS374" t="s">
        <v>25</v>
      </c>
    </row>
    <row r="375" spans="17:45">
      <c r="Q375" s="97" t="s">
        <v>5102</v>
      </c>
      <c r="R375" s="93">
        <v>92847</v>
      </c>
      <c r="T375" s="19" t="s">
        <v>5593</v>
      </c>
      <c r="U375" s="19">
        <v>8023</v>
      </c>
      <c r="V375" s="115">
        <v>2293.8167079999998</v>
      </c>
      <c r="W375" s="115">
        <f t="shared" si="93"/>
        <v>18403291.448284</v>
      </c>
      <c r="X375" s="261" t="s">
        <v>5103</v>
      </c>
      <c r="AH375" s="20">
        <v>84</v>
      </c>
      <c r="AI375" s="20" t="s">
        <v>4983</v>
      </c>
      <c r="AJ375" s="115">
        <v>40000</v>
      </c>
      <c r="AK375" s="20">
        <v>5</v>
      </c>
      <c r="AL375" s="20">
        <f t="shared" si="94"/>
        <v>617</v>
      </c>
      <c r="AM375" s="20">
        <f t="shared" si="95"/>
        <v>24680000</v>
      </c>
      <c r="AN375" s="20"/>
    </row>
    <row r="376" spans="17:45">
      <c r="Q376" s="97" t="s">
        <v>5106</v>
      </c>
      <c r="R376" s="93">
        <v>-100000</v>
      </c>
      <c r="T376" s="19" t="s">
        <v>5596</v>
      </c>
      <c r="U376" s="19">
        <v>4666</v>
      </c>
      <c r="V376" s="115">
        <v>2263.4906230000001</v>
      </c>
      <c r="W376" s="115">
        <f t="shared" si="93"/>
        <v>10561447.246918</v>
      </c>
      <c r="X376" s="261" t="s">
        <v>5103</v>
      </c>
      <c r="AH376" s="20">
        <v>85</v>
      </c>
      <c r="AI376" s="20" t="s">
        <v>4991</v>
      </c>
      <c r="AJ376" s="115">
        <v>200000</v>
      </c>
      <c r="AK376" s="20">
        <v>1</v>
      </c>
      <c r="AL376" s="20">
        <f t="shared" si="94"/>
        <v>612</v>
      </c>
      <c r="AM376" s="20">
        <f t="shared" si="95"/>
        <v>122400000</v>
      </c>
      <c r="AN376" s="20"/>
    </row>
    <row r="377" spans="17:45">
      <c r="Q377" s="97" t="s">
        <v>5111</v>
      </c>
      <c r="R377" s="93">
        <v>10000000</v>
      </c>
      <c r="T377" s="19" t="s">
        <v>5597</v>
      </c>
      <c r="U377" s="19">
        <v>542</v>
      </c>
      <c r="V377" s="115">
        <v>2263.4906230000001</v>
      </c>
      <c r="W377" s="115">
        <f t="shared" si="93"/>
        <v>1226811.9176660001</v>
      </c>
      <c r="X377" s="261" t="s">
        <v>5103</v>
      </c>
      <c r="AH377" s="20">
        <v>86</v>
      </c>
      <c r="AI377" s="20" t="s">
        <v>4995</v>
      </c>
      <c r="AJ377" s="115">
        <v>500000</v>
      </c>
      <c r="AK377" s="20">
        <v>2</v>
      </c>
      <c r="AL377" s="20">
        <f t="shared" ref="AL377:AL406" si="96">AK377+AL378</f>
        <v>611</v>
      </c>
      <c r="AM377" s="20">
        <f t="shared" ref="AM377:AM406" si="97">AJ377*AL377</f>
        <v>305500000</v>
      </c>
      <c r="AN377" s="20"/>
      <c r="AR377" t="s">
        <v>25</v>
      </c>
    </row>
    <row r="378" spans="17:45">
      <c r="Q378" s="97" t="s">
        <v>5115</v>
      </c>
      <c r="R378" s="93">
        <v>-400000</v>
      </c>
      <c r="T378" s="19" t="s">
        <v>5598</v>
      </c>
      <c r="U378" s="19">
        <v>16629</v>
      </c>
      <c r="V378" s="115">
        <v>2367.7887540000002</v>
      </c>
      <c r="W378" s="115">
        <f t="shared" si="93"/>
        <v>39373959.190266006</v>
      </c>
      <c r="X378" s="261" t="s">
        <v>5103</v>
      </c>
      <c r="AH378" s="20">
        <v>87</v>
      </c>
      <c r="AI378" s="20" t="s">
        <v>4997</v>
      </c>
      <c r="AJ378" s="115">
        <v>500000</v>
      </c>
      <c r="AK378" s="20">
        <v>3</v>
      </c>
      <c r="AL378" s="20">
        <f t="shared" si="96"/>
        <v>609</v>
      </c>
      <c r="AM378" s="20">
        <f t="shared" si="97"/>
        <v>304500000</v>
      </c>
      <c r="AN378" s="20"/>
    </row>
    <row r="379" spans="17:45">
      <c r="Q379" s="97" t="s">
        <v>5117</v>
      </c>
      <c r="R379" s="93">
        <v>5649</v>
      </c>
      <c r="T379" s="19" t="s">
        <v>5603</v>
      </c>
      <c r="U379" s="19">
        <v>11765</v>
      </c>
      <c r="V379" s="115">
        <v>2354.7375320000001</v>
      </c>
      <c r="W379" s="115">
        <f t="shared" si="93"/>
        <v>27703487.063980002</v>
      </c>
      <c r="X379" s="261" t="s">
        <v>5103</v>
      </c>
      <c r="AH379" s="20">
        <v>88</v>
      </c>
      <c r="AI379" s="20" t="s">
        <v>4988</v>
      </c>
      <c r="AJ379" s="115">
        <v>250000</v>
      </c>
      <c r="AK379" s="20">
        <v>0</v>
      </c>
      <c r="AL379" s="20">
        <f t="shared" si="96"/>
        <v>606</v>
      </c>
      <c r="AM379" s="20">
        <f t="shared" si="97"/>
        <v>151500000</v>
      </c>
      <c r="AN379" s="20"/>
    </row>
    <row r="380" spans="17:45">
      <c r="Q380" s="97" t="s">
        <v>5118</v>
      </c>
      <c r="R380" s="93">
        <v>460000</v>
      </c>
      <c r="T380" s="19" t="s">
        <v>5604</v>
      </c>
      <c r="U380" s="19">
        <v>3672</v>
      </c>
      <c r="V380" s="115">
        <v>2379.873826</v>
      </c>
      <c r="W380" s="115">
        <f t="shared" si="93"/>
        <v>8738896.6890719999</v>
      </c>
      <c r="X380" s="261" t="s">
        <v>5103</v>
      </c>
      <c r="Z380" t="s">
        <v>25</v>
      </c>
      <c r="AH380" s="240">
        <v>89</v>
      </c>
      <c r="AI380" s="240" t="s">
        <v>4988</v>
      </c>
      <c r="AJ380" s="231">
        <v>245000</v>
      </c>
      <c r="AK380" s="240">
        <v>16</v>
      </c>
      <c r="AL380" s="240">
        <f t="shared" si="96"/>
        <v>606</v>
      </c>
      <c r="AM380" s="240">
        <f t="shared" si="97"/>
        <v>148470000</v>
      </c>
      <c r="AN380" s="240"/>
    </row>
    <row r="381" spans="17:45">
      <c r="Q381" s="97" t="s">
        <v>5118</v>
      </c>
      <c r="R381" s="93">
        <v>1300000</v>
      </c>
      <c r="T381" s="19" t="s">
        <v>4182</v>
      </c>
      <c r="U381" s="19">
        <v>140</v>
      </c>
      <c r="V381" s="115">
        <v>2487.154767</v>
      </c>
      <c r="W381" s="115">
        <f t="shared" si="93"/>
        <v>348201.66738</v>
      </c>
      <c r="X381" s="261" t="s">
        <v>5103</v>
      </c>
      <c r="AH381" s="20">
        <v>90</v>
      </c>
      <c r="AI381" s="20" t="s">
        <v>5022</v>
      </c>
      <c r="AJ381" s="115">
        <v>312598</v>
      </c>
      <c r="AK381" s="20">
        <v>0</v>
      </c>
      <c r="AL381" s="20">
        <f t="shared" si="96"/>
        <v>590</v>
      </c>
      <c r="AM381" s="20">
        <f t="shared" si="97"/>
        <v>184432820</v>
      </c>
      <c r="AN381" s="20"/>
      <c r="AP381" t="s">
        <v>25</v>
      </c>
    </row>
    <row r="382" spans="17:45">
      <c r="Q382" s="97" t="s">
        <v>975</v>
      </c>
      <c r="R382" s="93">
        <v>7300000</v>
      </c>
      <c r="T382" s="19" t="s">
        <v>5606</v>
      </c>
      <c r="U382" s="19">
        <v>1616</v>
      </c>
      <c r="V382" s="115">
        <v>2573.0760479999999</v>
      </c>
      <c r="W382" s="115">
        <f t="shared" si="93"/>
        <v>4158090.8935679998</v>
      </c>
      <c r="X382" s="261" t="s">
        <v>5103</v>
      </c>
      <c r="AH382" s="20">
        <v>91</v>
      </c>
      <c r="AI382" s="20" t="s">
        <v>5022</v>
      </c>
      <c r="AJ382" s="115">
        <v>780000</v>
      </c>
      <c r="AK382" s="20">
        <v>0</v>
      </c>
      <c r="AL382" s="20">
        <f t="shared" si="96"/>
        <v>590</v>
      </c>
      <c r="AM382" s="20">
        <f t="shared" si="97"/>
        <v>460200000</v>
      </c>
      <c r="AN382" s="20"/>
    </row>
    <row r="383" spans="17:45">
      <c r="Q383" s="97" t="s">
        <v>4253</v>
      </c>
      <c r="R383" s="93">
        <v>21203</v>
      </c>
      <c r="T383" s="187" t="s">
        <v>5607</v>
      </c>
      <c r="U383" s="187">
        <v>5682</v>
      </c>
      <c r="V383" s="186">
        <v>2639.970566</v>
      </c>
      <c r="W383" s="186">
        <f t="shared" si="93"/>
        <v>15000312.756012</v>
      </c>
      <c r="X383" s="260" t="s">
        <v>5841</v>
      </c>
      <c r="AH383" s="192">
        <v>92</v>
      </c>
      <c r="AI383" s="192" t="s">
        <v>5022</v>
      </c>
      <c r="AJ383" s="193">
        <v>-300000</v>
      </c>
      <c r="AK383" s="192">
        <v>1</v>
      </c>
      <c r="AL383" s="192">
        <f t="shared" si="96"/>
        <v>590</v>
      </c>
      <c r="AM383" s="192">
        <f t="shared" si="97"/>
        <v>-177000000</v>
      </c>
      <c r="AN383" s="192"/>
    </row>
    <row r="384" spans="17:45" ht="30">
      <c r="Q384" s="97" t="s">
        <v>5116</v>
      </c>
      <c r="R384" s="93">
        <v>34550</v>
      </c>
      <c r="T384" s="187" t="s">
        <v>5607</v>
      </c>
      <c r="U384" s="187">
        <v>-122</v>
      </c>
      <c r="V384" s="186">
        <v>2639.970566</v>
      </c>
      <c r="W384" s="186">
        <f t="shared" si="93"/>
        <v>-322076.40905199997</v>
      </c>
      <c r="X384" s="260" t="s">
        <v>5878</v>
      </c>
      <c r="Y384" t="s">
        <v>25</v>
      </c>
      <c r="AH384" s="20">
        <v>93</v>
      </c>
      <c r="AI384" s="20" t="s">
        <v>4989</v>
      </c>
      <c r="AJ384" s="115">
        <v>300000</v>
      </c>
      <c r="AK384" s="20">
        <v>0</v>
      </c>
      <c r="AL384" s="20">
        <f t="shared" si="96"/>
        <v>589</v>
      </c>
      <c r="AM384" s="20">
        <f t="shared" si="97"/>
        <v>176700000</v>
      </c>
      <c r="AN384" s="20"/>
    </row>
    <row r="385" spans="16:45">
      <c r="Q385" s="97" t="s">
        <v>5153</v>
      </c>
      <c r="R385" s="93">
        <v>-2134406</v>
      </c>
      <c r="T385" s="19" t="s">
        <v>5607</v>
      </c>
      <c r="U385" s="19">
        <v>2272</v>
      </c>
      <c r="V385" s="115">
        <v>2639.970566</v>
      </c>
      <c r="W385" s="115">
        <f t="shared" si="93"/>
        <v>5998013.1259519998</v>
      </c>
      <c r="X385" s="261" t="s">
        <v>5616</v>
      </c>
      <c r="AH385" s="20">
        <v>94</v>
      </c>
      <c r="AI385" s="20" t="s">
        <v>4989</v>
      </c>
      <c r="AJ385" s="115">
        <v>8660000</v>
      </c>
      <c r="AK385" s="20">
        <v>8</v>
      </c>
      <c r="AL385" s="20">
        <f t="shared" si="96"/>
        <v>589</v>
      </c>
      <c r="AM385" s="20">
        <f t="shared" si="97"/>
        <v>5100740000</v>
      </c>
      <c r="AN385" s="20"/>
    </row>
    <row r="386" spans="16:45" ht="30">
      <c r="Q386" s="97" t="s">
        <v>5156</v>
      </c>
      <c r="R386" s="93">
        <v>-618906</v>
      </c>
      <c r="T386" s="19" t="s">
        <v>5607</v>
      </c>
      <c r="U386" s="19">
        <v>4434</v>
      </c>
      <c r="V386" s="115">
        <v>2639.970566</v>
      </c>
      <c r="W386" s="115">
        <f t="shared" si="93"/>
        <v>11705629.489644</v>
      </c>
      <c r="X386" s="261" t="s">
        <v>5617</v>
      </c>
      <c r="AA386" t="s">
        <v>25</v>
      </c>
      <c r="AH386" s="147">
        <v>95</v>
      </c>
      <c r="AI386" s="147" t="s">
        <v>5039</v>
      </c>
      <c r="AJ386" s="186">
        <v>200000</v>
      </c>
      <c r="AK386" s="147">
        <v>3</v>
      </c>
      <c r="AL386" s="147">
        <f t="shared" si="96"/>
        <v>581</v>
      </c>
      <c r="AM386" s="147">
        <f t="shared" si="97"/>
        <v>116200000</v>
      </c>
      <c r="AN386" s="147"/>
      <c r="AQ386" t="s">
        <v>25</v>
      </c>
    </row>
    <row r="387" spans="16:45">
      <c r="Q387" s="97" t="s">
        <v>5198</v>
      </c>
      <c r="R387" s="93">
        <v>-54615</v>
      </c>
      <c r="T387" s="19" t="s">
        <v>5607</v>
      </c>
      <c r="U387" s="19">
        <v>2349</v>
      </c>
      <c r="V387" s="115">
        <v>2639.970566</v>
      </c>
      <c r="W387" s="115">
        <f t="shared" si="93"/>
        <v>6201290.859534</v>
      </c>
      <c r="X387" s="261" t="s">
        <v>5618</v>
      </c>
      <c r="AF387" s="94" t="s">
        <v>25</v>
      </c>
      <c r="AH387" s="147">
        <v>96</v>
      </c>
      <c r="AI387" s="147" t="s">
        <v>5042</v>
      </c>
      <c r="AJ387" s="186">
        <v>20000</v>
      </c>
      <c r="AK387" s="147">
        <v>1</v>
      </c>
      <c r="AL387" s="147">
        <f t="shared" si="96"/>
        <v>578</v>
      </c>
      <c r="AM387" s="147">
        <f t="shared" si="97"/>
        <v>11560000</v>
      </c>
      <c r="AN387" s="147"/>
    </row>
    <row r="388" spans="16:45" ht="30">
      <c r="Q388" s="97" t="s">
        <v>5243</v>
      </c>
      <c r="R388" s="93">
        <v>18000000</v>
      </c>
      <c r="T388" s="19" t="s">
        <v>5607</v>
      </c>
      <c r="U388" s="19">
        <v>-568</v>
      </c>
      <c r="V388" s="115">
        <v>2639.970566</v>
      </c>
      <c r="W388" s="115">
        <f t="shared" si="93"/>
        <v>-1499503.2814879999</v>
      </c>
      <c r="X388" s="261" t="s">
        <v>5619</v>
      </c>
      <c r="Y388" t="s">
        <v>25</v>
      </c>
      <c r="AH388" s="20">
        <v>97</v>
      </c>
      <c r="AI388" s="20" t="s">
        <v>5052</v>
      </c>
      <c r="AJ388" s="115">
        <v>14340000</v>
      </c>
      <c r="AK388" s="20">
        <v>7</v>
      </c>
      <c r="AL388" s="20">
        <f t="shared" si="96"/>
        <v>577</v>
      </c>
      <c r="AM388" s="20">
        <f t="shared" si="97"/>
        <v>8274180000</v>
      </c>
      <c r="AN388" s="20"/>
      <c r="AS388" t="s">
        <v>25</v>
      </c>
    </row>
    <row r="389" spans="16:45" ht="30">
      <c r="Q389" s="97" t="s">
        <v>5250</v>
      </c>
      <c r="R389" s="93">
        <v>20000000</v>
      </c>
      <c r="T389" s="19" t="s">
        <v>5607</v>
      </c>
      <c r="U389" s="19">
        <v>568</v>
      </c>
      <c r="V389" s="115">
        <v>2639.970566</v>
      </c>
      <c r="W389" s="115">
        <f t="shared" si="93"/>
        <v>1499503.2814879999</v>
      </c>
      <c r="X389" s="261" t="s">
        <v>5619</v>
      </c>
      <c r="AH389" s="20">
        <v>98</v>
      </c>
      <c r="AI389" s="20" t="s">
        <v>5058</v>
      </c>
      <c r="AJ389" s="115">
        <v>10000000</v>
      </c>
      <c r="AK389" s="20">
        <v>6</v>
      </c>
      <c r="AL389" s="20">
        <f t="shared" si="96"/>
        <v>570</v>
      </c>
      <c r="AM389" s="20">
        <f t="shared" si="97"/>
        <v>5700000000</v>
      </c>
      <c r="AN389" s="20" t="s">
        <v>4673</v>
      </c>
    </row>
    <row r="390" spans="16:45">
      <c r="P390" t="s">
        <v>25</v>
      </c>
      <c r="Q390" s="97" t="s">
        <v>5325</v>
      </c>
      <c r="R390" s="93">
        <v>27694196</v>
      </c>
      <c r="T390" s="19" t="s">
        <v>5610</v>
      </c>
      <c r="U390" s="19">
        <v>4589</v>
      </c>
      <c r="V390" s="115">
        <v>2639.970566</v>
      </c>
      <c r="W390" s="115">
        <f t="shared" si="93"/>
        <v>12114824.927374</v>
      </c>
      <c r="X390" s="261" t="s">
        <v>5620</v>
      </c>
      <c r="Y390" t="s">
        <v>25</v>
      </c>
      <c r="AH390" s="20">
        <v>99</v>
      </c>
      <c r="AI390" s="20" t="s">
        <v>5063</v>
      </c>
      <c r="AJ390" s="115">
        <v>4033949</v>
      </c>
      <c r="AK390" s="20">
        <v>2</v>
      </c>
      <c r="AL390" s="20">
        <f t="shared" si="96"/>
        <v>564</v>
      </c>
      <c r="AM390" s="20">
        <f t="shared" si="97"/>
        <v>2275147236</v>
      </c>
      <c r="AN390" s="20" t="s">
        <v>5065</v>
      </c>
    </row>
    <row r="391" spans="16:45">
      <c r="Q391" s="97" t="s">
        <v>5326</v>
      </c>
      <c r="R391" s="93">
        <v>7211722</v>
      </c>
      <c r="T391" s="19" t="s">
        <v>5610</v>
      </c>
      <c r="U391" s="19">
        <v>41959</v>
      </c>
      <c r="V391" s="115">
        <v>2639.970566</v>
      </c>
      <c r="W391" s="115">
        <f t="shared" ref="W391:W516" si="98">U391*V391</f>
        <v>110770524.97879399</v>
      </c>
      <c r="X391" s="261" t="s">
        <v>5103</v>
      </c>
      <c r="AH391" s="147">
        <v>100</v>
      </c>
      <c r="AI391" s="147" t="s">
        <v>5069</v>
      </c>
      <c r="AJ391" s="186">
        <v>11500000</v>
      </c>
      <c r="AK391" s="147">
        <v>2</v>
      </c>
      <c r="AL391" s="147">
        <f t="shared" si="96"/>
        <v>562</v>
      </c>
      <c r="AM391" s="147">
        <f t="shared" si="97"/>
        <v>6463000000</v>
      </c>
      <c r="AN391" s="147" t="s">
        <v>5071</v>
      </c>
    </row>
    <row r="392" spans="16:45">
      <c r="Q392" s="97" t="s">
        <v>5330</v>
      </c>
      <c r="R392" s="93">
        <v>8481864</v>
      </c>
      <c r="T392" s="19" t="s">
        <v>5622</v>
      </c>
      <c r="U392" s="19">
        <v>2486</v>
      </c>
      <c r="V392" s="115">
        <v>2688.7156100000002</v>
      </c>
      <c r="W392" s="115">
        <f t="shared" si="98"/>
        <v>6684147.0064600008</v>
      </c>
      <c r="X392" s="261" t="s">
        <v>5103</v>
      </c>
      <c r="AH392" s="147">
        <v>101</v>
      </c>
      <c r="AI392" s="147" t="s">
        <v>5073</v>
      </c>
      <c r="AJ392" s="186">
        <v>250000</v>
      </c>
      <c r="AK392" s="147">
        <v>3</v>
      </c>
      <c r="AL392" s="147">
        <f t="shared" si="96"/>
        <v>560</v>
      </c>
      <c r="AM392" s="147">
        <f t="shared" si="97"/>
        <v>140000000</v>
      </c>
      <c r="AN392" s="147"/>
    </row>
    <row r="393" spans="16:45">
      <c r="Q393" s="97" t="s">
        <v>5334</v>
      </c>
      <c r="R393" s="93">
        <v>1558697</v>
      </c>
      <c r="T393" s="19" t="s">
        <v>5625</v>
      </c>
      <c r="U393" s="19">
        <v>652</v>
      </c>
      <c r="V393" s="115">
        <v>2801.4344030000002</v>
      </c>
      <c r="W393" s="115">
        <f t="shared" si="98"/>
        <v>1826535.2307560001</v>
      </c>
      <c r="X393" s="261" t="s">
        <v>5103</v>
      </c>
      <c r="AH393" s="147">
        <v>102</v>
      </c>
      <c r="AI393" s="147" t="s">
        <v>5098</v>
      </c>
      <c r="AJ393" s="186">
        <v>6000000</v>
      </c>
      <c r="AK393" s="147">
        <v>1</v>
      </c>
      <c r="AL393" s="147">
        <f t="shared" si="96"/>
        <v>557</v>
      </c>
      <c r="AM393" s="147">
        <f t="shared" si="97"/>
        <v>3342000000</v>
      </c>
      <c r="AN393" s="147" t="s">
        <v>5071</v>
      </c>
      <c r="AR393" t="s">
        <v>25</v>
      </c>
    </row>
    <row r="394" spans="16:45">
      <c r="Q394" s="97" t="s">
        <v>5335</v>
      </c>
      <c r="R394" s="93">
        <v>9042009</v>
      </c>
      <c r="S394" t="s">
        <v>25</v>
      </c>
      <c r="T394" s="187" t="s">
        <v>5625</v>
      </c>
      <c r="U394" s="187">
        <v>-536</v>
      </c>
      <c r="V394" s="186">
        <v>2801.4344030000002</v>
      </c>
      <c r="W394" s="186">
        <f t="shared" si="98"/>
        <v>-1501568.8400080001</v>
      </c>
      <c r="X394" s="260" t="s">
        <v>5637</v>
      </c>
      <c r="AH394" s="147">
        <v>103</v>
      </c>
      <c r="AI394" s="147" t="s">
        <v>5099</v>
      </c>
      <c r="AJ394" s="186">
        <v>1500000</v>
      </c>
      <c r="AK394" s="147">
        <v>6</v>
      </c>
      <c r="AL394" s="147">
        <f t="shared" si="96"/>
        <v>556</v>
      </c>
      <c r="AM394" s="147">
        <f t="shared" si="97"/>
        <v>834000000</v>
      </c>
      <c r="AN394" s="147" t="s">
        <v>5071</v>
      </c>
    </row>
    <row r="395" spans="16:45">
      <c r="Q395" s="97" t="s">
        <v>5339</v>
      </c>
      <c r="R395" s="93">
        <v>94969</v>
      </c>
      <c r="T395" s="19" t="s">
        <v>5629</v>
      </c>
      <c r="U395" s="19">
        <v>1351</v>
      </c>
      <c r="V395" s="115">
        <v>2647.94</v>
      </c>
      <c r="W395" s="115">
        <f t="shared" si="98"/>
        <v>3577366.94</v>
      </c>
      <c r="X395" s="261" t="s">
        <v>5103</v>
      </c>
      <c r="AH395" s="20">
        <v>104</v>
      </c>
      <c r="AI395" s="20" t="s">
        <v>958</v>
      </c>
      <c r="AJ395" s="115">
        <v>-3960043</v>
      </c>
      <c r="AK395" s="20">
        <v>2</v>
      </c>
      <c r="AL395" s="20">
        <f t="shared" si="96"/>
        <v>550</v>
      </c>
      <c r="AM395" s="20">
        <f t="shared" si="97"/>
        <v>-2178023650</v>
      </c>
      <c r="AN395" s="20"/>
    </row>
    <row r="396" spans="16:45">
      <c r="Q396" s="97" t="s">
        <v>5339</v>
      </c>
      <c r="R396" s="93">
        <v>40000000</v>
      </c>
      <c r="T396" s="19" t="s">
        <v>5631</v>
      </c>
      <c r="U396" s="19">
        <v>8402</v>
      </c>
      <c r="V396" s="115">
        <v>2527.8539839999999</v>
      </c>
      <c r="W396" s="115">
        <f t="shared" si="98"/>
        <v>21239029.173567999</v>
      </c>
      <c r="X396" s="261" t="s">
        <v>5103</v>
      </c>
      <c r="AH396" s="20">
        <v>105</v>
      </c>
      <c r="AI396" s="20" t="s">
        <v>5117</v>
      </c>
      <c r="AJ396" s="115">
        <v>230000</v>
      </c>
      <c r="AK396" s="20">
        <v>0</v>
      </c>
      <c r="AL396" s="20">
        <f t="shared" si="96"/>
        <v>548</v>
      </c>
      <c r="AM396" s="20">
        <f t="shared" si="97"/>
        <v>126040000</v>
      </c>
      <c r="AN396" s="20"/>
    </row>
    <row r="397" spans="16:45">
      <c r="Q397" s="97" t="s">
        <v>5340</v>
      </c>
      <c r="R397" s="93">
        <v>2806274</v>
      </c>
      <c r="T397" s="19" t="s">
        <v>5634</v>
      </c>
      <c r="U397" s="19">
        <v>98141</v>
      </c>
      <c r="V397" s="115">
        <v>2475.593813</v>
      </c>
      <c r="W397" s="115">
        <f t="shared" si="98"/>
        <v>242957252.40163299</v>
      </c>
      <c r="X397" s="261" t="s">
        <v>5103</v>
      </c>
      <c r="AH397" s="147">
        <v>106</v>
      </c>
      <c r="AI397" s="147" t="s">
        <v>5117</v>
      </c>
      <c r="AJ397" s="186">
        <v>230000</v>
      </c>
      <c r="AK397" s="147">
        <v>1</v>
      </c>
      <c r="AL397" s="147">
        <f t="shared" si="96"/>
        <v>548</v>
      </c>
      <c r="AM397" s="147">
        <f t="shared" si="97"/>
        <v>126040000</v>
      </c>
      <c r="AN397" s="147"/>
    </row>
    <row r="398" spans="16:45" ht="21" customHeight="1">
      <c r="Q398" s="97" t="s">
        <v>5348</v>
      </c>
      <c r="R398" s="93">
        <v>1331702</v>
      </c>
      <c r="T398" s="19" t="s">
        <v>5638</v>
      </c>
      <c r="U398" s="19">
        <v>2910</v>
      </c>
      <c r="V398" s="115">
        <v>2528.240988</v>
      </c>
      <c r="W398" s="115">
        <f t="shared" si="98"/>
        <v>7357181.2750800001</v>
      </c>
      <c r="X398" s="261" t="s">
        <v>5103</v>
      </c>
      <c r="Z398" t="s">
        <v>25</v>
      </c>
      <c r="AH398" s="147">
        <v>107</v>
      </c>
      <c r="AI398" s="147" t="s">
        <v>5118</v>
      </c>
      <c r="AJ398" s="186">
        <v>500000</v>
      </c>
      <c r="AK398" s="147">
        <v>1</v>
      </c>
      <c r="AL398" s="147">
        <f t="shared" si="96"/>
        <v>547</v>
      </c>
      <c r="AM398" s="147">
        <f t="shared" si="97"/>
        <v>273500000</v>
      </c>
      <c r="AN398" s="147"/>
    </row>
    <row r="399" spans="16:45">
      <c r="Q399" s="97" t="s">
        <v>5382</v>
      </c>
      <c r="R399" s="93">
        <v>851238</v>
      </c>
      <c r="T399" s="19" t="s">
        <v>5640</v>
      </c>
      <c r="U399" s="19">
        <v>5652</v>
      </c>
      <c r="V399" s="115">
        <v>2645.3312000000001</v>
      </c>
      <c r="W399" s="115">
        <f t="shared" si="98"/>
        <v>14951411.942400001</v>
      </c>
      <c r="X399" s="261" t="s">
        <v>5103</v>
      </c>
      <c r="AH399" s="20">
        <v>108</v>
      </c>
      <c r="AI399" s="20" t="s">
        <v>5121</v>
      </c>
      <c r="AJ399" s="115">
        <v>-880000</v>
      </c>
      <c r="AK399" s="20">
        <v>4</v>
      </c>
      <c r="AL399" s="20">
        <f t="shared" si="96"/>
        <v>546</v>
      </c>
      <c r="AM399" s="20">
        <f t="shared" si="97"/>
        <v>-480480000</v>
      </c>
      <c r="AN399" s="20"/>
    </row>
    <row r="400" spans="16:45" ht="18" customHeight="1">
      <c r="Q400" s="97" t="s">
        <v>5426</v>
      </c>
      <c r="R400" s="93">
        <v>652592</v>
      </c>
      <c r="T400" s="19" t="s">
        <v>5644</v>
      </c>
      <c r="U400" s="19">
        <v>18764</v>
      </c>
      <c r="V400" s="115">
        <v>2554.2639829999998</v>
      </c>
      <c r="W400" s="115">
        <f t="shared" si="98"/>
        <v>47928209.377011999</v>
      </c>
      <c r="X400" s="261" t="s">
        <v>5103</v>
      </c>
      <c r="AH400" s="192">
        <v>109</v>
      </c>
      <c r="AI400" s="192" t="s">
        <v>5125</v>
      </c>
      <c r="AJ400" s="193">
        <v>873000</v>
      </c>
      <c r="AK400" s="192">
        <v>0</v>
      </c>
      <c r="AL400" s="192">
        <f t="shared" si="96"/>
        <v>542</v>
      </c>
      <c r="AM400" s="192">
        <f t="shared" si="97"/>
        <v>473166000</v>
      </c>
      <c r="AN400" s="192" t="s">
        <v>5071</v>
      </c>
    </row>
    <row r="401" spans="17:45" ht="21" customHeight="1">
      <c r="Q401" s="97" t="s">
        <v>5427</v>
      </c>
      <c r="R401" s="93">
        <v>554139</v>
      </c>
      <c r="T401" s="19" t="s">
        <v>5646</v>
      </c>
      <c r="U401" s="19">
        <v>930</v>
      </c>
      <c r="V401" s="115">
        <v>2453.3287089999999</v>
      </c>
      <c r="W401" s="115">
        <f t="shared" si="98"/>
        <v>2281595.69937</v>
      </c>
      <c r="X401" s="261" t="s">
        <v>5103</v>
      </c>
      <c r="AA401" t="s">
        <v>25</v>
      </c>
      <c r="AD401" t="s">
        <v>25</v>
      </c>
      <c r="AH401" s="20">
        <v>110</v>
      </c>
      <c r="AI401" s="20" t="s">
        <v>5125</v>
      </c>
      <c r="AJ401" s="115">
        <v>127000</v>
      </c>
      <c r="AK401" s="20">
        <v>0</v>
      </c>
      <c r="AL401" s="20">
        <f t="shared" si="96"/>
        <v>542</v>
      </c>
      <c r="AM401" s="20">
        <f t="shared" si="97"/>
        <v>68834000</v>
      </c>
      <c r="AN401" s="20" t="s">
        <v>5071</v>
      </c>
    </row>
    <row r="402" spans="17:45">
      <c r="Q402" s="97" t="s">
        <v>5428</v>
      </c>
      <c r="R402" s="93">
        <v>70373089</v>
      </c>
      <c r="T402" s="19" t="s">
        <v>5648</v>
      </c>
      <c r="U402" s="19">
        <v>1167</v>
      </c>
      <c r="V402" s="115">
        <v>2540.6307069999998</v>
      </c>
      <c r="W402" s="115">
        <f t="shared" si="98"/>
        <v>2964916.035069</v>
      </c>
      <c r="X402" s="261" t="s">
        <v>5103</v>
      </c>
      <c r="AH402" s="20">
        <v>111</v>
      </c>
      <c r="AI402" s="20" t="s">
        <v>5125</v>
      </c>
      <c r="AJ402" s="115">
        <v>73000</v>
      </c>
      <c r="AK402" s="20">
        <v>1</v>
      </c>
      <c r="AL402" s="20">
        <f t="shared" si="96"/>
        <v>542</v>
      </c>
      <c r="AM402" s="20">
        <f t="shared" si="97"/>
        <v>39566000</v>
      </c>
      <c r="AN402" s="20"/>
      <c r="AS402" t="s">
        <v>25</v>
      </c>
    </row>
    <row r="403" spans="17:45">
      <c r="Q403" s="97" t="s">
        <v>5429</v>
      </c>
      <c r="R403" s="93">
        <v>1219655</v>
      </c>
      <c r="T403" s="19" t="s">
        <v>5649</v>
      </c>
      <c r="U403" s="19">
        <v>2538</v>
      </c>
      <c r="V403" s="115">
        <v>2545.5277489999999</v>
      </c>
      <c r="W403" s="115">
        <f t="shared" si="98"/>
        <v>6460549.4269619994</v>
      </c>
      <c r="X403" s="261" t="s">
        <v>5103</v>
      </c>
      <c r="Z403" t="s">
        <v>25</v>
      </c>
      <c r="AA403" t="s">
        <v>25</v>
      </c>
      <c r="AH403" s="20">
        <v>112</v>
      </c>
      <c r="AI403" s="20" t="s">
        <v>975</v>
      </c>
      <c r="AJ403" s="115">
        <v>4300000</v>
      </c>
      <c r="AK403" s="20">
        <v>1</v>
      </c>
      <c r="AL403" s="20">
        <f t="shared" si="96"/>
        <v>541</v>
      </c>
      <c r="AM403" s="20">
        <f t="shared" si="97"/>
        <v>2326300000</v>
      </c>
      <c r="AN403" s="20"/>
    </row>
    <row r="404" spans="17:45">
      <c r="Q404" s="97" t="s">
        <v>5430</v>
      </c>
      <c r="R404" s="93">
        <v>15350146</v>
      </c>
      <c r="T404" s="19" t="s">
        <v>5651</v>
      </c>
      <c r="U404" s="19">
        <v>2106</v>
      </c>
      <c r="V404" s="115">
        <v>2474.9857059999999</v>
      </c>
      <c r="W404" s="115">
        <f t="shared" si="98"/>
        <v>5212319.8968359996</v>
      </c>
      <c r="X404" s="261" t="s">
        <v>5103</v>
      </c>
      <c r="AA404" t="s">
        <v>25</v>
      </c>
      <c r="AH404" s="20">
        <v>113</v>
      </c>
      <c r="AI404" s="20" t="s">
        <v>5001</v>
      </c>
      <c r="AJ404" s="115">
        <v>1600000</v>
      </c>
      <c r="AK404" s="20">
        <v>0</v>
      </c>
      <c r="AL404" s="20">
        <f t="shared" si="96"/>
        <v>540</v>
      </c>
      <c r="AM404" s="20">
        <f t="shared" si="97"/>
        <v>864000000</v>
      </c>
      <c r="AN404" s="20"/>
    </row>
    <row r="405" spans="17:45">
      <c r="Q405" s="97" t="s">
        <v>5434</v>
      </c>
      <c r="R405" s="93">
        <v>121018</v>
      </c>
      <c r="T405" s="19" t="s">
        <v>5654</v>
      </c>
      <c r="U405" s="19">
        <v>1801</v>
      </c>
      <c r="V405" s="115">
        <v>2512.2134809999998</v>
      </c>
      <c r="W405" s="115">
        <f t="shared" si="98"/>
        <v>4524496.4792809999</v>
      </c>
      <c r="X405" s="261" t="s">
        <v>5103</v>
      </c>
      <c r="AH405" s="20">
        <v>114</v>
      </c>
      <c r="AI405" s="20" t="s">
        <v>4253</v>
      </c>
      <c r="AJ405" s="115">
        <v>-10000000</v>
      </c>
      <c r="AK405" s="20">
        <v>1</v>
      </c>
      <c r="AL405" s="20">
        <f t="shared" si="96"/>
        <v>540</v>
      </c>
      <c r="AM405" s="20">
        <f t="shared" si="97"/>
        <v>-5400000000</v>
      </c>
      <c r="AN405" s="20" t="s">
        <v>5131</v>
      </c>
    </row>
    <row r="406" spans="17:45">
      <c r="Q406" s="97" t="s">
        <v>5446</v>
      </c>
      <c r="R406" s="93">
        <v>1024993</v>
      </c>
      <c r="T406" s="19" t="s">
        <v>5656</v>
      </c>
      <c r="U406" s="19">
        <v>9184</v>
      </c>
      <c r="V406" s="115">
        <v>2489.76919</v>
      </c>
      <c r="W406" s="115">
        <f t="shared" si="98"/>
        <v>22866040.240959998</v>
      </c>
      <c r="X406" s="261" t="s">
        <v>5103</v>
      </c>
      <c r="AH406" s="20">
        <v>115</v>
      </c>
      <c r="AI406" s="20" t="s">
        <v>5130</v>
      </c>
      <c r="AJ406" s="115">
        <v>571000</v>
      </c>
      <c r="AK406" s="20">
        <v>4</v>
      </c>
      <c r="AL406" s="20">
        <f t="shared" si="96"/>
        <v>539</v>
      </c>
      <c r="AM406" s="20">
        <f t="shared" si="97"/>
        <v>307769000</v>
      </c>
      <c r="AN406" s="20"/>
    </row>
    <row r="407" spans="17:45">
      <c r="Q407" s="97" t="s">
        <v>5447</v>
      </c>
      <c r="R407" s="93">
        <v>1948077</v>
      </c>
      <c r="T407" s="19" t="s">
        <v>5658</v>
      </c>
      <c r="U407" s="19">
        <v>6259</v>
      </c>
      <c r="V407" s="115">
        <v>2453.954988</v>
      </c>
      <c r="W407" s="115">
        <f t="shared" si="98"/>
        <v>15359304.269892</v>
      </c>
      <c r="X407" s="261" t="s">
        <v>5103</v>
      </c>
      <c r="Y407" t="s">
        <v>25</v>
      </c>
      <c r="AH407" s="20">
        <v>116</v>
      </c>
      <c r="AI407" s="20" t="s">
        <v>5132</v>
      </c>
      <c r="AJ407" s="115">
        <v>200000</v>
      </c>
      <c r="AK407" s="20">
        <v>3</v>
      </c>
      <c r="AL407" s="20">
        <f t="shared" ref="AL407:AL418" si="99">AK407+AL408</f>
        <v>535</v>
      </c>
      <c r="AM407" s="20">
        <f t="shared" ref="AM407:AM418" si="100">AJ407*AL407</f>
        <v>107000000</v>
      </c>
      <c r="AN407" s="20"/>
    </row>
    <row r="408" spans="17:45">
      <c r="Q408" s="97" t="s">
        <v>5448</v>
      </c>
      <c r="R408" s="93">
        <v>50000120</v>
      </c>
      <c r="T408" s="19" t="s">
        <v>5660</v>
      </c>
      <c r="U408" s="19">
        <v>1223</v>
      </c>
      <c r="V408" s="115">
        <v>2345.4686710000001</v>
      </c>
      <c r="W408" s="115">
        <f t="shared" si="98"/>
        <v>2868508.1846330003</v>
      </c>
      <c r="X408" s="261" t="s">
        <v>5103</v>
      </c>
      <c r="AH408" s="147">
        <v>117</v>
      </c>
      <c r="AI408" s="147" t="s">
        <v>5138</v>
      </c>
      <c r="AJ408" s="186">
        <v>50000</v>
      </c>
      <c r="AK408" s="147">
        <v>7</v>
      </c>
      <c r="AL408" s="147">
        <f t="shared" si="99"/>
        <v>532</v>
      </c>
      <c r="AM408" s="147">
        <f t="shared" si="100"/>
        <v>26600000</v>
      </c>
      <c r="AN408" s="147"/>
    </row>
    <row r="409" spans="17:45">
      <c r="Q409" s="97" t="s">
        <v>5471</v>
      </c>
      <c r="R409" s="93">
        <v>20000055</v>
      </c>
      <c r="T409" s="19" t="s">
        <v>5661</v>
      </c>
      <c r="U409" s="19">
        <v>7804</v>
      </c>
      <c r="V409" s="115">
        <v>2236.0831640000001</v>
      </c>
      <c r="W409" s="115">
        <f t="shared" si="98"/>
        <v>17450393.011856001</v>
      </c>
      <c r="X409" s="261" t="s">
        <v>5103</v>
      </c>
      <c r="AH409" s="20">
        <v>118</v>
      </c>
      <c r="AI409" s="20" t="s">
        <v>5146</v>
      </c>
      <c r="AJ409" s="115">
        <v>-500000</v>
      </c>
      <c r="AK409" s="20">
        <v>12</v>
      </c>
      <c r="AL409" s="20">
        <f t="shared" si="99"/>
        <v>525</v>
      </c>
      <c r="AM409" s="20">
        <f t="shared" si="100"/>
        <v>-262500000</v>
      </c>
      <c r="AN409" s="20"/>
    </row>
    <row r="410" spans="17:45">
      <c r="Q410" s="97" t="s">
        <v>5472</v>
      </c>
      <c r="R410" s="93">
        <v>5745697</v>
      </c>
      <c r="T410" s="19" t="s">
        <v>5662</v>
      </c>
      <c r="U410" s="19">
        <v>14589</v>
      </c>
      <c r="V410" s="115">
        <v>2151.5486500000002</v>
      </c>
      <c r="W410" s="115">
        <f t="shared" si="98"/>
        <v>31388943.254850004</v>
      </c>
      <c r="X410" s="261" t="s">
        <v>5103</v>
      </c>
      <c r="AH410" s="147">
        <v>119</v>
      </c>
      <c r="AI410" s="147" t="s">
        <v>974</v>
      </c>
      <c r="AJ410" s="186">
        <v>-50000</v>
      </c>
      <c r="AK410" s="147">
        <v>0</v>
      </c>
      <c r="AL410" s="147">
        <f t="shared" si="99"/>
        <v>513</v>
      </c>
      <c r="AM410" s="147">
        <f t="shared" si="100"/>
        <v>-25650000</v>
      </c>
      <c r="AN410" s="147"/>
    </row>
    <row r="411" spans="17:45">
      <c r="Q411" s="97" t="s">
        <v>5473</v>
      </c>
      <c r="R411" s="93">
        <v>908158</v>
      </c>
      <c r="T411" s="19" t="s">
        <v>5663</v>
      </c>
      <c r="U411" s="19">
        <v>14741</v>
      </c>
      <c r="V411" s="115">
        <v>2097.0148140000001</v>
      </c>
      <c r="W411" s="115">
        <f t="shared" si="98"/>
        <v>30912095.373174001</v>
      </c>
      <c r="X411" s="261" t="s">
        <v>5103</v>
      </c>
      <c r="Y411" t="s">
        <v>25</v>
      </c>
      <c r="AH411" s="20">
        <v>120</v>
      </c>
      <c r="AI411" s="20" t="s">
        <v>974</v>
      </c>
      <c r="AJ411" s="115">
        <v>-50000</v>
      </c>
      <c r="AK411" s="20">
        <v>28</v>
      </c>
      <c r="AL411" s="20">
        <f t="shared" si="99"/>
        <v>513</v>
      </c>
      <c r="AM411" s="20">
        <f t="shared" si="100"/>
        <v>-25650000</v>
      </c>
      <c r="AN411" s="20"/>
    </row>
    <row r="412" spans="17:45">
      <c r="Q412" s="97" t="s">
        <v>5474</v>
      </c>
      <c r="R412" s="93">
        <v>12642697</v>
      </c>
      <c r="T412" s="19" t="s">
        <v>5665</v>
      </c>
      <c r="U412" s="19">
        <v>10237</v>
      </c>
      <c r="V412" s="115">
        <v>1914.9092619999999</v>
      </c>
      <c r="W412" s="115">
        <f t="shared" si="98"/>
        <v>19602926.115093999</v>
      </c>
      <c r="X412" s="261" t="s">
        <v>5103</v>
      </c>
      <c r="Z412" t="s">
        <v>25</v>
      </c>
      <c r="AH412" s="20">
        <v>121</v>
      </c>
      <c r="AI412" s="20" t="s">
        <v>5187</v>
      </c>
      <c r="AJ412" s="115">
        <v>-3020625</v>
      </c>
      <c r="AK412" s="20">
        <v>18</v>
      </c>
      <c r="AL412" s="20">
        <f t="shared" si="99"/>
        <v>485</v>
      </c>
      <c r="AM412" s="20">
        <f t="shared" si="100"/>
        <v>-1465003125</v>
      </c>
      <c r="AN412" s="20"/>
    </row>
    <row r="413" spans="17:45">
      <c r="Q413" s="97" t="s">
        <v>5475</v>
      </c>
      <c r="R413" s="93">
        <v>12297317.81435</v>
      </c>
      <c r="T413" s="19" t="s">
        <v>5669</v>
      </c>
      <c r="U413" s="19">
        <v>19211</v>
      </c>
      <c r="V413" s="115">
        <v>1793.6906100000001</v>
      </c>
      <c r="W413" s="115">
        <f t="shared" si="98"/>
        <v>34458590.308710001</v>
      </c>
      <c r="X413" s="261" t="s">
        <v>5103</v>
      </c>
      <c r="Z413" t="s">
        <v>25</v>
      </c>
      <c r="AH413" s="20">
        <v>122</v>
      </c>
      <c r="AI413" s="20" t="s">
        <v>5198</v>
      </c>
      <c r="AJ413" s="115">
        <v>18000000</v>
      </c>
      <c r="AK413" s="20">
        <v>19</v>
      </c>
      <c r="AL413" s="20">
        <f t="shared" si="99"/>
        <v>467</v>
      </c>
      <c r="AM413" s="20">
        <f t="shared" si="100"/>
        <v>8406000000</v>
      </c>
      <c r="AN413" s="20"/>
      <c r="AR413" t="s">
        <v>25</v>
      </c>
    </row>
    <row r="414" spans="17:45">
      <c r="Q414" s="97" t="s">
        <v>5476</v>
      </c>
      <c r="R414" s="93">
        <v>8959643.8508579992</v>
      </c>
      <c r="T414" s="19" t="s">
        <v>5671</v>
      </c>
      <c r="U414" s="19">
        <v>11599</v>
      </c>
      <c r="V414" s="115">
        <v>1870.667144</v>
      </c>
      <c r="W414" s="115">
        <f t="shared" si="98"/>
        <v>21697868.203256</v>
      </c>
      <c r="X414" s="261" t="s">
        <v>5103</v>
      </c>
      <c r="Y414" t="s">
        <v>25</v>
      </c>
      <c r="AH414" s="20">
        <v>123</v>
      </c>
      <c r="AI414" s="20" t="s">
        <v>5225</v>
      </c>
      <c r="AJ414" s="115">
        <v>2000000</v>
      </c>
      <c r="AK414" s="20">
        <v>6</v>
      </c>
      <c r="AL414" s="20">
        <f t="shared" si="99"/>
        <v>448</v>
      </c>
      <c r="AM414" s="20">
        <f t="shared" si="100"/>
        <v>896000000</v>
      </c>
      <c r="AN414" s="20"/>
    </row>
    <row r="415" spans="17:45">
      <c r="Q415" s="97" t="s">
        <v>5491</v>
      </c>
      <c r="R415" s="93">
        <v>15154095.839328</v>
      </c>
      <c r="S415" t="s">
        <v>25</v>
      </c>
      <c r="T415" s="19" t="s">
        <v>5673</v>
      </c>
      <c r="U415" s="19">
        <v>14098</v>
      </c>
      <c r="V415" s="115">
        <v>1797.423695</v>
      </c>
      <c r="W415" s="115">
        <f t="shared" si="98"/>
        <v>25340079.252110001</v>
      </c>
      <c r="X415" s="261" t="s">
        <v>5103</v>
      </c>
      <c r="AH415" s="147">
        <v>124</v>
      </c>
      <c r="AI415" s="147" t="s">
        <v>5234</v>
      </c>
      <c r="AJ415" s="186">
        <v>40000000</v>
      </c>
      <c r="AK415" s="147">
        <v>6</v>
      </c>
      <c r="AL415" s="147">
        <f t="shared" si="99"/>
        <v>442</v>
      </c>
      <c r="AM415" s="147">
        <f t="shared" si="100"/>
        <v>17680000000</v>
      </c>
      <c r="AN415" s="147"/>
      <c r="AS415" t="s">
        <v>25</v>
      </c>
    </row>
    <row r="416" spans="17:45">
      <c r="Q416" s="97" t="s">
        <v>5492</v>
      </c>
      <c r="R416" s="93">
        <v>50725508.571864001</v>
      </c>
      <c r="T416" s="19" t="s">
        <v>5674</v>
      </c>
      <c r="U416" s="19">
        <v>8497</v>
      </c>
      <c r="V416" s="115">
        <v>1739.5531579999999</v>
      </c>
      <c r="W416" s="115">
        <f t="shared" si="98"/>
        <v>14780983.183526</v>
      </c>
      <c r="X416" s="261" t="s">
        <v>5103</v>
      </c>
      <c r="AH416" s="20">
        <v>125</v>
      </c>
      <c r="AI416" s="20" t="s">
        <v>5243</v>
      </c>
      <c r="AJ416" s="115">
        <v>200000</v>
      </c>
      <c r="AK416" s="20">
        <v>0</v>
      </c>
      <c r="AL416" s="20">
        <f t="shared" si="99"/>
        <v>436</v>
      </c>
      <c r="AM416" s="20">
        <f t="shared" si="100"/>
        <v>87200000</v>
      </c>
      <c r="AN416" s="20"/>
    </row>
    <row r="417" spans="17:45" ht="30">
      <c r="Q417" s="97" t="s">
        <v>5499</v>
      </c>
      <c r="R417" s="93">
        <v>2281961.458596</v>
      </c>
      <c r="T417" s="279" t="s">
        <v>5677</v>
      </c>
      <c r="U417" s="279">
        <v>163820</v>
      </c>
      <c r="V417" s="88">
        <v>1588.685326</v>
      </c>
      <c r="W417" s="88">
        <f t="shared" si="98"/>
        <v>260258430.10532001</v>
      </c>
      <c r="X417" s="289" t="s">
        <v>5679</v>
      </c>
      <c r="AH417" s="147">
        <v>126</v>
      </c>
      <c r="AI417" s="147" t="s">
        <v>5243</v>
      </c>
      <c r="AJ417" s="186">
        <v>200000</v>
      </c>
      <c r="AK417" s="147">
        <v>1</v>
      </c>
      <c r="AL417" s="147">
        <f t="shared" si="99"/>
        <v>436</v>
      </c>
      <c r="AM417" s="147">
        <f t="shared" si="100"/>
        <v>87200000</v>
      </c>
      <c r="AN417" s="147"/>
      <c r="AR417" t="s">
        <v>25</v>
      </c>
      <c r="AS417" t="s">
        <v>25</v>
      </c>
    </row>
    <row r="418" spans="17:45">
      <c r="Q418" s="97" t="s">
        <v>5500</v>
      </c>
      <c r="R418" s="93">
        <v>10998285</v>
      </c>
      <c r="T418" s="19" t="s">
        <v>5677</v>
      </c>
      <c r="U418" s="19">
        <v>11207</v>
      </c>
      <c r="V418" s="115">
        <v>1588.685326</v>
      </c>
      <c r="W418" s="115">
        <f t="shared" si="98"/>
        <v>17804396.448481999</v>
      </c>
      <c r="X418" s="261" t="s">
        <v>5103</v>
      </c>
      <c r="Y418" t="s">
        <v>25</v>
      </c>
      <c r="Z418" t="s">
        <v>25</v>
      </c>
      <c r="AH418" s="20">
        <v>127</v>
      </c>
      <c r="AI418" s="20" t="s">
        <v>5246</v>
      </c>
      <c r="AJ418" s="115">
        <v>50000</v>
      </c>
      <c r="AK418" s="20">
        <v>4</v>
      </c>
      <c r="AL418" s="20">
        <f t="shared" si="99"/>
        <v>435</v>
      </c>
      <c r="AM418" s="20">
        <f t="shared" si="100"/>
        <v>21750000</v>
      </c>
      <c r="AN418" s="20"/>
    </row>
    <row r="419" spans="17:45">
      <c r="Q419" s="97" t="s">
        <v>5502</v>
      </c>
      <c r="R419" s="93">
        <v>983018.96187300002</v>
      </c>
      <c r="S419" t="s">
        <v>25</v>
      </c>
      <c r="T419" s="19" t="s">
        <v>5680</v>
      </c>
      <c r="U419" s="19">
        <v>7198</v>
      </c>
      <c r="V419" s="115">
        <v>1602.9918909999999</v>
      </c>
      <c r="W419" s="115">
        <f t="shared" si="98"/>
        <v>11538335.631417999</v>
      </c>
      <c r="X419" s="261" t="s">
        <v>5103</v>
      </c>
      <c r="Y419" t="s">
        <v>25</v>
      </c>
      <c r="AH419" s="20">
        <v>128</v>
      </c>
      <c r="AI419" s="20" t="s">
        <v>5248</v>
      </c>
      <c r="AJ419" s="115">
        <v>100000</v>
      </c>
      <c r="AK419" s="20">
        <v>9</v>
      </c>
      <c r="AL419" s="20">
        <f t="shared" ref="AL419:AL429" si="101">AK419+AL420</f>
        <v>431</v>
      </c>
      <c r="AM419" s="20">
        <f t="shared" ref="AM419:AM429" si="102">AJ419*AL419</f>
        <v>43100000</v>
      </c>
      <c r="AN419" s="20"/>
    </row>
    <row r="420" spans="17:45">
      <c r="Q420" s="97" t="s">
        <v>5505</v>
      </c>
      <c r="R420" s="93">
        <v>17049271.032000002</v>
      </c>
      <c r="T420" s="19" t="s">
        <v>5681</v>
      </c>
      <c r="U420" s="19">
        <v>7804</v>
      </c>
      <c r="V420" s="115">
        <v>1592.7111440000001</v>
      </c>
      <c r="W420" s="115">
        <f t="shared" si="98"/>
        <v>12429517.767776001</v>
      </c>
      <c r="X420" s="261" t="s">
        <v>5103</v>
      </c>
      <c r="Z420" t="s">
        <v>25</v>
      </c>
      <c r="AH420" s="20">
        <v>129</v>
      </c>
      <c r="AI420" s="20" t="s">
        <v>5264</v>
      </c>
      <c r="AJ420" s="115">
        <v>-550000</v>
      </c>
      <c r="AK420" s="20">
        <v>5</v>
      </c>
      <c r="AL420" s="20">
        <f t="shared" si="101"/>
        <v>422</v>
      </c>
      <c r="AM420" s="20">
        <f t="shared" si="102"/>
        <v>-232100000</v>
      </c>
      <c r="AN420" s="20"/>
      <c r="AR420" t="s">
        <v>25</v>
      </c>
    </row>
    <row r="421" spans="17:45">
      <c r="Q421" s="97" t="s">
        <v>4209</v>
      </c>
      <c r="R421" s="93">
        <v>6829998</v>
      </c>
      <c r="T421" s="19" t="s">
        <v>5689</v>
      </c>
      <c r="U421" s="19">
        <v>2827</v>
      </c>
      <c r="V421" s="115">
        <v>1779.6874809999999</v>
      </c>
      <c r="W421" s="115">
        <f t="shared" si="98"/>
        <v>5031176.5087869996</v>
      </c>
      <c r="X421" s="261" t="s">
        <v>5103</v>
      </c>
      <c r="Y421" t="s">
        <v>25</v>
      </c>
      <c r="AH421" s="20">
        <v>130</v>
      </c>
      <c r="AI421" s="20" t="s">
        <v>5269</v>
      </c>
      <c r="AJ421" s="115">
        <v>-29686490</v>
      </c>
      <c r="AK421" s="20">
        <v>1</v>
      </c>
      <c r="AL421" s="20">
        <f t="shared" si="101"/>
        <v>417</v>
      </c>
      <c r="AM421" s="20">
        <f t="shared" si="102"/>
        <v>-12379266330</v>
      </c>
      <c r="AN421" s="20"/>
    </row>
    <row r="422" spans="17:45">
      <c r="Q422" s="97" t="s">
        <v>5526</v>
      </c>
      <c r="R422" s="93">
        <v>6982608.8207999999</v>
      </c>
      <c r="T422" s="19" t="s">
        <v>5691</v>
      </c>
      <c r="U422" s="19">
        <v>3385</v>
      </c>
      <c r="V422" s="115">
        <v>2015.5993820000001</v>
      </c>
      <c r="W422" s="115">
        <f t="shared" si="98"/>
        <v>6822803.9080700008</v>
      </c>
      <c r="X422" s="261" t="s">
        <v>5103</v>
      </c>
      <c r="Y422" t="s">
        <v>25</v>
      </c>
      <c r="Z422" t="s">
        <v>25</v>
      </c>
      <c r="AH422" s="20">
        <v>131</v>
      </c>
      <c r="AI422" s="20" t="s">
        <v>5277</v>
      </c>
      <c r="AJ422" s="115">
        <v>-9000000</v>
      </c>
      <c r="AK422" s="20">
        <v>8</v>
      </c>
      <c r="AL422" s="20">
        <f t="shared" si="101"/>
        <v>416</v>
      </c>
      <c r="AM422" s="20">
        <f t="shared" si="102"/>
        <v>-3744000000</v>
      </c>
      <c r="AN422" s="20"/>
    </row>
    <row r="423" spans="17:45">
      <c r="Q423" s="97" t="s">
        <v>5532</v>
      </c>
      <c r="R423" s="93">
        <v>7510131.0216000006</v>
      </c>
      <c r="T423" s="19" t="s">
        <v>5695</v>
      </c>
      <c r="U423" s="19">
        <v>158</v>
      </c>
      <c r="V423" s="115">
        <v>2094.2388179999998</v>
      </c>
      <c r="W423" s="115">
        <f t="shared" si="98"/>
        <v>330889.73324399994</v>
      </c>
      <c r="X423" s="261" t="s">
        <v>5103</v>
      </c>
      <c r="Y423" t="s">
        <v>25</v>
      </c>
      <c r="AH423" s="20">
        <v>132</v>
      </c>
      <c r="AI423" s="20" t="s">
        <v>5321</v>
      </c>
      <c r="AJ423" s="115">
        <v>810000</v>
      </c>
      <c r="AK423" s="20">
        <v>2</v>
      </c>
      <c r="AL423" s="20">
        <f t="shared" si="101"/>
        <v>408</v>
      </c>
      <c r="AM423" s="20">
        <f t="shared" si="102"/>
        <v>330480000</v>
      </c>
      <c r="AN423" s="20"/>
    </row>
    <row r="424" spans="17:45">
      <c r="Q424" s="97" t="s">
        <v>5541</v>
      </c>
      <c r="R424" s="93">
        <v>7278025.5327000003</v>
      </c>
      <c r="T424" s="19" t="s">
        <v>963</v>
      </c>
      <c r="U424" s="19">
        <v>5033</v>
      </c>
      <c r="V424" s="115">
        <v>2229.4976999999999</v>
      </c>
      <c r="W424" s="115">
        <f t="shared" si="98"/>
        <v>11221061.924099999</v>
      </c>
      <c r="X424" s="261" t="s">
        <v>5700</v>
      </c>
      <c r="Z424" t="s">
        <v>25</v>
      </c>
      <c r="AH424" s="20">
        <v>133</v>
      </c>
      <c r="AI424" s="20" t="s">
        <v>5326</v>
      </c>
      <c r="AJ424" s="115">
        <v>-5000000</v>
      </c>
      <c r="AK424" s="20">
        <v>3</v>
      </c>
      <c r="AL424" s="20">
        <f t="shared" si="101"/>
        <v>406</v>
      </c>
      <c r="AM424" s="20">
        <f t="shared" si="102"/>
        <v>-2030000000</v>
      </c>
      <c r="AN424" s="20"/>
    </row>
    <row r="425" spans="17:45">
      <c r="Q425" s="97" t="s">
        <v>5546</v>
      </c>
      <c r="R425" s="93">
        <v>195059.35799999998</v>
      </c>
      <c r="T425" s="19" t="s">
        <v>5704</v>
      </c>
      <c r="U425" s="19">
        <v>2870</v>
      </c>
      <c r="V425" s="115">
        <v>2303.2467459999998</v>
      </c>
      <c r="W425" s="115">
        <f t="shared" si="98"/>
        <v>6610318.1610199995</v>
      </c>
      <c r="X425" s="261" t="s">
        <v>5103</v>
      </c>
      <c r="AH425" s="20">
        <v>134</v>
      </c>
      <c r="AI425" s="20" t="s">
        <v>5330</v>
      </c>
      <c r="AJ425" s="115">
        <v>-26000000</v>
      </c>
      <c r="AK425" s="20">
        <v>0</v>
      </c>
      <c r="AL425" s="20">
        <f t="shared" si="101"/>
        <v>403</v>
      </c>
      <c r="AM425" s="20">
        <f t="shared" si="102"/>
        <v>-10478000000</v>
      </c>
      <c r="AN425" s="20"/>
    </row>
    <row r="426" spans="17:45">
      <c r="Q426" s="97" t="s">
        <v>5548</v>
      </c>
      <c r="R426" s="93">
        <v>862577.83200000005</v>
      </c>
      <c r="T426" s="19" t="s">
        <v>5705</v>
      </c>
      <c r="U426" s="19">
        <v>307</v>
      </c>
      <c r="V426" s="115">
        <v>2315.0266360000001</v>
      </c>
      <c r="W426" s="115">
        <f t="shared" si="98"/>
        <v>710713.17725199996</v>
      </c>
      <c r="X426" s="261" t="s">
        <v>5103</v>
      </c>
      <c r="AH426" s="240">
        <v>135</v>
      </c>
      <c r="AI426" s="240" t="s">
        <v>5330</v>
      </c>
      <c r="AJ426" s="231">
        <v>-26000000</v>
      </c>
      <c r="AK426" s="240">
        <v>1</v>
      </c>
      <c r="AL426" s="240">
        <f t="shared" si="101"/>
        <v>403</v>
      </c>
      <c r="AM426" s="240">
        <f t="shared" si="102"/>
        <v>-10478000000</v>
      </c>
      <c r="AN426" s="240"/>
    </row>
    <row r="427" spans="17:45" ht="30">
      <c r="Q427" s="97" t="s">
        <v>5549</v>
      </c>
      <c r="R427" s="93">
        <v>920308.446</v>
      </c>
      <c r="T427" s="19" t="s">
        <v>5707</v>
      </c>
      <c r="U427" s="19">
        <v>35</v>
      </c>
      <c r="V427" s="115">
        <v>2315</v>
      </c>
      <c r="W427" s="115">
        <f t="shared" si="98"/>
        <v>81025</v>
      </c>
      <c r="X427" s="261" t="s">
        <v>5709</v>
      </c>
      <c r="Y427" s="112"/>
      <c r="AH427" s="20">
        <v>136</v>
      </c>
      <c r="AI427" s="20" t="s">
        <v>5334</v>
      </c>
      <c r="AJ427" s="115">
        <v>-81800000</v>
      </c>
      <c r="AK427" s="20">
        <v>0</v>
      </c>
      <c r="AL427" s="20">
        <f t="shared" si="101"/>
        <v>402</v>
      </c>
      <c r="AM427" s="20">
        <f t="shared" si="102"/>
        <v>-32883600000</v>
      </c>
      <c r="AN427" s="20"/>
    </row>
    <row r="428" spans="17:45">
      <c r="Q428" s="97" t="s">
        <v>5551</v>
      </c>
      <c r="R428" s="93">
        <v>4635809.8416840006</v>
      </c>
      <c r="S428" t="s">
        <v>25</v>
      </c>
      <c r="T428" s="19" t="s">
        <v>5710</v>
      </c>
      <c r="U428" s="19">
        <v>94</v>
      </c>
      <c r="V428" s="115">
        <v>2337.1980119999998</v>
      </c>
      <c r="W428" s="115">
        <f t="shared" si="98"/>
        <v>219696.613128</v>
      </c>
      <c r="X428" s="261" t="s">
        <v>5103</v>
      </c>
      <c r="Y428" t="s">
        <v>25</v>
      </c>
      <c r="Z428" t="s">
        <v>25</v>
      </c>
      <c r="AH428" s="240">
        <v>137</v>
      </c>
      <c r="AI428" s="240" t="s">
        <v>5334</v>
      </c>
      <c r="AJ428" s="231">
        <v>-110000000</v>
      </c>
      <c r="AK428" s="240">
        <v>1</v>
      </c>
      <c r="AL428" s="240">
        <f t="shared" si="101"/>
        <v>402</v>
      </c>
      <c r="AM428" s="240">
        <f t="shared" si="102"/>
        <v>-44220000000</v>
      </c>
      <c r="AN428" s="240"/>
    </row>
    <row r="429" spans="17:45">
      <c r="Q429" s="97" t="s">
        <v>5580</v>
      </c>
      <c r="R429" s="93">
        <v>288892.40000000002</v>
      </c>
      <c r="T429" s="19" t="s">
        <v>5711</v>
      </c>
      <c r="U429" s="19">
        <v>2534</v>
      </c>
      <c r="V429" s="115">
        <v>2381.7965300000001</v>
      </c>
      <c r="W429" s="115">
        <f t="shared" si="98"/>
        <v>6035472.4070199998</v>
      </c>
      <c r="X429" s="261" t="s">
        <v>5103</v>
      </c>
      <c r="AH429" s="20">
        <v>138</v>
      </c>
      <c r="AI429" s="20" t="s">
        <v>5335</v>
      </c>
      <c r="AJ429" s="115">
        <v>-34000000</v>
      </c>
      <c r="AK429" s="20">
        <v>0</v>
      </c>
      <c r="AL429" s="20">
        <f t="shared" si="101"/>
        <v>401</v>
      </c>
      <c r="AM429" s="20">
        <f t="shared" si="102"/>
        <v>-13634000000</v>
      </c>
      <c r="AN429" s="20"/>
    </row>
    <row r="430" spans="17:45">
      <c r="Q430" s="97" t="s">
        <v>5581</v>
      </c>
      <c r="R430" s="93">
        <v>58508002.009000003</v>
      </c>
      <c r="T430" s="19" t="s">
        <v>5713</v>
      </c>
      <c r="U430" s="19">
        <v>424</v>
      </c>
      <c r="V430" s="115">
        <v>2321.9017680000002</v>
      </c>
      <c r="W430" s="115">
        <f t="shared" si="98"/>
        <v>984486.34963200008</v>
      </c>
      <c r="X430" s="261" t="s">
        <v>5103</v>
      </c>
      <c r="Z430" t="s">
        <v>25</v>
      </c>
      <c r="AH430" s="147">
        <v>139</v>
      </c>
      <c r="AI430" s="147" t="s">
        <v>5335</v>
      </c>
      <c r="AJ430" s="186">
        <v>-23900000</v>
      </c>
      <c r="AK430" s="147">
        <v>5</v>
      </c>
      <c r="AL430" s="147">
        <f t="shared" ref="AL430:AL435" si="103">AK430+AL431</f>
        <v>401</v>
      </c>
      <c r="AM430" s="147">
        <f t="shared" ref="AM430:AM435" si="104">AJ430*AL430</f>
        <v>-9583900000</v>
      </c>
      <c r="AN430" s="147"/>
    </row>
    <row r="431" spans="17:45">
      <c r="Q431" s="97" t="s">
        <v>5583</v>
      </c>
      <c r="R431" s="93">
        <v>2245515.5410799999</v>
      </c>
      <c r="T431" s="187" t="s">
        <v>5715</v>
      </c>
      <c r="U431" s="187">
        <v>-32</v>
      </c>
      <c r="V431" s="186">
        <v>2221.2123710000001</v>
      </c>
      <c r="W431" s="186">
        <f t="shared" si="98"/>
        <v>-71078.795872000002</v>
      </c>
      <c r="X431" s="260" t="s">
        <v>5719</v>
      </c>
      <c r="AH431" s="20">
        <v>140</v>
      </c>
      <c r="AI431" s="20" t="s">
        <v>5348</v>
      </c>
      <c r="AJ431" s="115">
        <v>1000000</v>
      </c>
      <c r="AK431" s="20">
        <v>0</v>
      </c>
      <c r="AL431" s="20">
        <f t="shared" si="103"/>
        <v>396</v>
      </c>
      <c r="AM431" s="20">
        <f t="shared" si="104"/>
        <v>396000000</v>
      </c>
      <c r="AN431" s="20"/>
    </row>
    <row r="432" spans="17:45">
      <c r="Q432" s="97" t="s">
        <v>5583</v>
      </c>
      <c r="R432" s="93">
        <v>18404699.3442</v>
      </c>
      <c r="T432" s="19" t="s">
        <v>5715</v>
      </c>
      <c r="U432" s="19">
        <v>157</v>
      </c>
      <c r="V432" s="115">
        <v>2221.2123710000001</v>
      </c>
      <c r="W432" s="115">
        <f t="shared" si="98"/>
        <v>348730.34224700002</v>
      </c>
      <c r="X432" s="261" t="s">
        <v>5720</v>
      </c>
      <c r="AH432" s="147">
        <v>141</v>
      </c>
      <c r="AI432" s="147" t="s">
        <v>5348</v>
      </c>
      <c r="AJ432" s="186">
        <v>1000000</v>
      </c>
      <c r="AK432" s="147">
        <v>4</v>
      </c>
      <c r="AL432" s="147">
        <f t="shared" si="103"/>
        <v>396</v>
      </c>
      <c r="AM432" s="147">
        <f t="shared" si="104"/>
        <v>396000000</v>
      </c>
      <c r="AN432" s="147"/>
    </row>
    <row r="433" spans="17:45">
      <c r="Q433" s="97" t="s">
        <v>5586</v>
      </c>
      <c r="R433" s="93">
        <v>48684800</v>
      </c>
      <c r="S433" t="s">
        <v>25</v>
      </c>
      <c r="T433" s="19" t="s">
        <v>5715</v>
      </c>
      <c r="U433" s="19">
        <v>965</v>
      </c>
      <c r="V433" s="115">
        <v>2221.2123710000001</v>
      </c>
      <c r="W433" s="115">
        <f t="shared" si="98"/>
        <v>2143469.938015</v>
      </c>
      <c r="X433" s="261" t="s">
        <v>5103</v>
      </c>
      <c r="AH433" s="20">
        <v>142</v>
      </c>
      <c r="AI433" s="20" t="s">
        <v>5354</v>
      </c>
      <c r="AJ433" s="115">
        <v>400000</v>
      </c>
      <c r="AK433" s="20">
        <v>0</v>
      </c>
      <c r="AL433" s="20">
        <f t="shared" si="103"/>
        <v>392</v>
      </c>
      <c r="AM433" s="20">
        <f t="shared" si="104"/>
        <v>156800000</v>
      </c>
      <c r="AN433" s="20"/>
    </row>
    <row r="434" spans="17:45">
      <c r="Q434" s="97" t="s">
        <v>5588</v>
      </c>
      <c r="R434" s="93">
        <v>2264658.5922190002</v>
      </c>
      <c r="T434" s="187" t="s">
        <v>5722</v>
      </c>
      <c r="U434" s="187">
        <v>596</v>
      </c>
      <c r="V434" s="186">
        <v>2180.6765719999999</v>
      </c>
      <c r="W434" s="186">
        <f t="shared" si="98"/>
        <v>1299683.236912</v>
      </c>
      <c r="X434" s="260" t="s">
        <v>1069</v>
      </c>
      <c r="Y434" t="s">
        <v>25</v>
      </c>
      <c r="AH434" s="147">
        <v>143</v>
      </c>
      <c r="AI434" s="147" t="s">
        <v>5354</v>
      </c>
      <c r="AJ434" s="186">
        <v>400000</v>
      </c>
      <c r="AK434" s="147">
        <v>35</v>
      </c>
      <c r="AL434" s="147">
        <f t="shared" si="103"/>
        <v>392</v>
      </c>
      <c r="AM434" s="147">
        <f t="shared" si="104"/>
        <v>156800000</v>
      </c>
      <c r="AN434" s="147"/>
    </row>
    <row r="435" spans="17:45">
      <c r="Q435" s="97" t="s">
        <v>5591</v>
      </c>
      <c r="R435" s="93">
        <v>22877413.789960001</v>
      </c>
      <c r="T435" s="19" t="s">
        <v>5727</v>
      </c>
      <c r="U435" s="19">
        <v>1355</v>
      </c>
      <c r="V435" s="115">
        <v>2277.0926330000002</v>
      </c>
      <c r="W435" s="115">
        <f t="shared" si="98"/>
        <v>3085460.5177150001</v>
      </c>
      <c r="X435" s="261" t="s">
        <v>5103</v>
      </c>
      <c r="AH435" s="20">
        <v>144</v>
      </c>
      <c r="AI435" s="20" t="s">
        <v>5388</v>
      </c>
      <c r="AJ435" s="115">
        <v>3000000</v>
      </c>
      <c r="AK435" s="20">
        <v>0</v>
      </c>
      <c r="AL435" s="20">
        <f t="shared" si="103"/>
        <v>357</v>
      </c>
      <c r="AM435" s="20">
        <f t="shared" si="104"/>
        <v>1071000000</v>
      </c>
      <c r="AN435" s="20"/>
      <c r="AQ435" t="s">
        <v>25</v>
      </c>
    </row>
    <row r="436" spans="17:45">
      <c r="Q436" s="97" t="s">
        <v>5592</v>
      </c>
      <c r="R436" s="93">
        <v>2362539.4373280001</v>
      </c>
      <c r="T436" s="19" t="s">
        <v>5729</v>
      </c>
      <c r="U436" s="19">
        <v>3742</v>
      </c>
      <c r="V436" s="115">
        <v>2207.7650429999999</v>
      </c>
      <c r="W436" s="115">
        <f t="shared" si="98"/>
        <v>8261456.790906</v>
      </c>
      <c r="X436" s="261" t="s">
        <v>5103</v>
      </c>
      <c r="Y436" t="s">
        <v>25</v>
      </c>
      <c r="AH436" s="147">
        <v>145</v>
      </c>
      <c r="AI436" s="147" t="s">
        <v>5388</v>
      </c>
      <c r="AJ436" s="186">
        <v>2725000</v>
      </c>
      <c r="AK436" s="147">
        <v>19</v>
      </c>
      <c r="AL436" s="147">
        <f t="shared" ref="AL436:AL439" si="105">AK436+AL437</f>
        <v>357</v>
      </c>
      <c r="AM436" s="147">
        <f t="shared" ref="AM436:AM439" si="106">AJ436*AL436</f>
        <v>972825000</v>
      </c>
      <c r="AN436" s="147"/>
    </row>
    <row r="437" spans="17:45">
      <c r="Q437" s="97" t="s">
        <v>5593</v>
      </c>
      <c r="R437" s="93">
        <v>16042676.656608</v>
      </c>
      <c r="T437" s="19" t="s">
        <v>5731</v>
      </c>
      <c r="U437" s="19">
        <v>3216</v>
      </c>
      <c r="V437" s="115">
        <v>2043.648557</v>
      </c>
      <c r="W437" s="115">
        <f t="shared" si="98"/>
        <v>6572373.7593120001</v>
      </c>
      <c r="X437" s="261" t="s">
        <v>5103</v>
      </c>
      <c r="AH437" s="147">
        <v>146</v>
      </c>
      <c r="AI437" s="147" t="s">
        <v>5287</v>
      </c>
      <c r="AJ437" s="186">
        <v>-8644090</v>
      </c>
      <c r="AK437" s="147">
        <v>0</v>
      </c>
      <c r="AL437" s="147">
        <f t="shared" si="105"/>
        <v>338</v>
      </c>
      <c r="AM437" s="147">
        <f t="shared" si="106"/>
        <v>-2921702420</v>
      </c>
      <c r="AN437" s="147" t="s">
        <v>4732</v>
      </c>
    </row>
    <row r="438" spans="17:45">
      <c r="Q438" s="97" t="s">
        <v>5596</v>
      </c>
      <c r="R438" s="93">
        <v>18403291.448284</v>
      </c>
      <c r="T438" s="187" t="s">
        <v>5733</v>
      </c>
      <c r="U438" s="187">
        <v>42393</v>
      </c>
      <c r="V438" s="186">
        <v>2124.4852740000001</v>
      </c>
      <c r="W438" s="186">
        <f t="shared" si="98"/>
        <v>90063304.22068201</v>
      </c>
      <c r="X438" s="260" t="s">
        <v>5734</v>
      </c>
      <c r="Y438" t="s">
        <v>25</v>
      </c>
      <c r="AH438" s="20">
        <v>147</v>
      </c>
      <c r="AI438" s="20" t="s">
        <v>5287</v>
      </c>
      <c r="AJ438" s="115">
        <v>-65461942</v>
      </c>
      <c r="AK438" s="20">
        <v>1</v>
      </c>
      <c r="AL438" s="20">
        <f t="shared" si="105"/>
        <v>338</v>
      </c>
      <c r="AM438" s="20">
        <f t="shared" si="106"/>
        <v>-22126136396</v>
      </c>
      <c r="AN438" s="20" t="s">
        <v>4732</v>
      </c>
    </row>
    <row r="439" spans="17:45">
      <c r="Q439" s="97" t="s">
        <v>5597</v>
      </c>
      <c r="R439" s="93">
        <v>10561447.246918</v>
      </c>
      <c r="T439" s="19" t="s">
        <v>5735</v>
      </c>
      <c r="U439" s="19">
        <v>1307</v>
      </c>
      <c r="V439" s="115">
        <v>2213.652313</v>
      </c>
      <c r="W439" s="115">
        <f t="shared" si="98"/>
        <v>2893243.5730909999</v>
      </c>
      <c r="X439" s="261" t="s">
        <v>5103</v>
      </c>
      <c r="AH439" s="20">
        <v>148</v>
      </c>
      <c r="AI439" s="20" t="s">
        <v>5411</v>
      </c>
      <c r="AJ439" s="115">
        <v>35000000</v>
      </c>
      <c r="AK439" s="20">
        <v>15</v>
      </c>
      <c r="AL439" s="20">
        <f t="shared" si="105"/>
        <v>337</v>
      </c>
      <c r="AM439" s="20">
        <f t="shared" si="106"/>
        <v>11795000000</v>
      </c>
      <c r="AN439" s="20"/>
      <c r="AS439" t="s">
        <v>25</v>
      </c>
    </row>
    <row r="440" spans="17:45">
      <c r="Q440" s="97" t="s">
        <v>5598</v>
      </c>
      <c r="R440" s="93">
        <v>1226811.9176660001</v>
      </c>
      <c r="T440" s="19" t="s">
        <v>5736</v>
      </c>
      <c r="U440" s="19">
        <v>44079</v>
      </c>
      <c r="V440" s="115">
        <v>2155.0411519999998</v>
      </c>
      <c r="W440" s="115">
        <f t="shared" si="98"/>
        <v>94992058.939007998</v>
      </c>
      <c r="X440" s="261" t="s">
        <v>5103</v>
      </c>
      <c r="Y440" t="s">
        <v>25</v>
      </c>
      <c r="Z440" t="s">
        <v>25</v>
      </c>
      <c r="AH440" s="147">
        <v>149</v>
      </c>
      <c r="AI440" s="147" t="s">
        <v>5430</v>
      </c>
      <c r="AJ440" s="186">
        <v>1400000</v>
      </c>
      <c r="AK440" s="147">
        <v>0</v>
      </c>
      <c r="AL440" s="147">
        <f t="shared" ref="AL440:AL442" si="107">AK440+AL441</f>
        <v>322</v>
      </c>
      <c r="AM440" s="147">
        <f t="shared" ref="AM440:AM443" si="108">AJ440*AL440</f>
        <v>450800000</v>
      </c>
      <c r="AN440" s="147"/>
    </row>
    <row r="441" spans="17:45">
      <c r="Q441" s="97" t="s">
        <v>5603</v>
      </c>
      <c r="R441" s="93">
        <v>39373959.190266006</v>
      </c>
      <c r="T441" s="19" t="s">
        <v>5742</v>
      </c>
      <c r="U441" s="19">
        <v>131</v>
      </c>
      <c r="V441" s="115">
        <v>2099.4040150000001</v>
      </c>
      <c r="W441" s="115">
        <f t="shared" si="98"/>
        <v>275021.925965</v>
      </c>
      <c r="X441" s="261" t="s">
        <v>5103</v>
      </c>
      <c r="Y441" t="s">
        <v>25</v>
      </c>
      <c r="AH441" s="20">
        <v>150</v>
      </c>
      <c r="AI441" s="20" t="s">
        <v>5430</v>
      </c>
      <c r="AJ441" s="115">
        <v>1600000</v>
      </c>
      <c r="AK441" s="20">
        <v>1</v>
      </c>
      <c r="AL441" s="20">
        <f t="shared" si="107"/>
        <v>322</v>
      </c>
      <c r="AM441" s="20">
        <f t="shared" si="108"/>
        <v>515200000</v>
      </c>
      <c r="AN441" s="20"/>
    </row>
    <row r="442" spans="17:45">
      <c r="Q442" s="97" t="s">
        <v>5604</v>
      </c>
      <c r="R442" s="93">
        <v>27703487.063980002</v>
      </c>
      <c r="T442" s="19" t="s">
        <v>5749</v>
      </c>
      <c r="U442" s="19">
        <v>162</v>
      </c>
      <c r="V442" s="115">
        <v>2021.3081500000001</v>
      </c>
      <c r="W442" s="115">
        <f t="shared" si="98"/>
        <v>327451.9203</v>
      </c>
      <c r="X442" s="261" t="s">
        <v>5103</v>
      </c>
      <c r="Z442" t="s">
        <v>25</v>
      </c>
      <c r="AH442" s="147">
        <v>151</v>
      </c>
      <c r="AI442" s="147" t="s">
        <v>5433</v>
      </c>
      <c r="AJ442" s="186">
        <v>600000</v>
      </c>
      <c r="AK442" s="147">
        <v>0</v>
      </c>
      <c r="AL442" s="147">
        <f t="shared" si="107"/>
        <v>321</v>
      </c>
      <c r="AM442" s="147">
        <f t="shared" si="108"/>
        <v>192600000</v>
      </c>
      <c r="AN442" s="147" t="s">
        <v>5435</v>
      </c>
    </row>
    <row r="443" spans="17:45">
      <c r="Q443" s="97" t="s">
        <v>4182</v>
      </c>
      <c r="R443" s="93">
        <v>8738896.6890719999</v>
      </c>
      <c r="T443" s="19" t="s">
        <v>5761</v>
      </c>
      <c r="U443" s="19">
        <v>131</v>
      </c>
      <c r="V443" s="115">
        <v>1985.358328</v>
      </c>
      <c r="W443" s="115">
        <f t="shared" si="98"/>
        <v>260081.94096800001</v>
      </c>
      <c r="X443" s="261" t="s">
        <v>5103</v>
      </c>
      <c r="Z443" t="s">
        <v>25</v>
      </c>
      <c r="AH443" s="20">
        <v>152</v>
      </c>
      <c r="AI443" s="20" t="s">
        <v>5433</v>
      </c>
      <c r="AJ443" s="115">
        <v>600000</v>
      </c>
      <c r="AK443" s="20">
        <v>9</v>
      </c>
      <c r="AL443" s="20">
        <f>AK443+AL444</f>
        <v>321</v>
      </c>
      <c r="AM443" s="20">
        <f t="shared" si="108"/>
        <v>192600000</v>
      </c>
      <c r="AN443" s="20" t="s">
        <v>5435</v>
      </c>
    </row>
    <row r="444" spans="17:45">
      <c r="Q444" s="97" t="s">
        <v>5606</v>
      </c>
      <c r="R444" s="93">
        <v>348201.66738</v>
      </c>
      <c r="T444" s="19" t="s">
        <v>5770</v>
      </c>
      <c r="U444" s="19">
        <v>1449</v>
      </c>
      <c r="V444" s="115">
        <v>2007.787806</v>
      </c>
      <c r="W444" s="115">
        <f t="shared" si="98"/>
        <v>2909284.5308940001</v>
      </c>
      <c r="X444" s="261" t="s">
        <v>5103</v>
      </c>
      <c r="Z444" t="s">
        <v>25</v>
      </c>
      <c r="AH444" s="20">
        <v>153</v>
      </c>
      <c r="AI444" s="20" t="s">
        <v>5448</v>
      </c>
      <c r="AJ444" s="115">
        <v>20000000</v>
      </c>
      <c r="AK444" s="20">
        <v>23</v>
      </c>
      <c r="AL444" s="20">
        <f t="shared" ref="AL444:AL445" si="109">AK444+AL445</f>
        <v>312</v>
      </c>
      <c r="AM444" s="20">
        <f t="shared" ref="AM444:AM446" si="110">AJ444*AL444</f>
        <v>6240000000</v>
      </c>
      <c r="AN444" s="20" t="s">
        <v>5463</v>
      </c>
      <c r="AR444" t="s">
        <v>25</v>
      </c>
    </row>
    <row r="445" spans="17:45">
      <c r="Q445" s="97" t="s">
        <v>5610</v>
      </c>
      <c r="R445" s="93">
        <v>4158090.8935679998</v>
      </c>
      <c r="T445" s="19" t="s">
        <v>5771</v>
      </c>
      <c r="U445" s="19">
        <v>19028</v>
      </c>
      <c r="V445" s="115">
        <v>1982.5102529999999</v>
      </c>
      <c r="W445" s="115">
        <f t="shared" si="98"/>
        <v>37723205.094084002</v>
      </c>
      <c r="X445" s="261" t="s">
        <v>5103</v>
      </c>
      <c r="Y445" t="s">
        <v>25</v>
      </c>
      <c r="Z445" t="s">
        <v>25</v>
      </c>
      <c r="AH445" s="20">
        <v>154</v>
      </c>
      <c r="AI445" s="20" t="s">
        <v>5483</v>
      </c>
      <c r="AJ445" s="115">
        <v>-46183500</v>
      </c>
      <c r="AK445" s="20">
        <v>0</v>
      </c>
      <c r="AL445" s="20">
        <f t="shared" si="109"/>
        <v>289</v>
      </c>
      <c r="AM445" s="20">
        <f t="shared" si="110"/>
        <v>-13347031500</v>
      </c>
      <c r="AN445" s="20" t="s">
        <v>4854</v>
      </c>
    </row>
    <row r="446" spans="17:45">
      <c r="Q446" s="97" t="s">
        <v>5607</v>
      </c>
      <c r="R446" s="93">
        <v>110770524.97879399</v>
      </c>
      <c r="T446" s="19" t="s">
        <v>5772</v>
      </c>
      <c r="U446" s="19">
        <v>848</v>
      </c>
      <c r="V446" s="115">
        <v>1768.97966</v>
      </c>
      <c r="W446" s="115">
        <f t="shared" si="98"/>
        <v>1500094.75168</v>
      </c>
      <c r="X446" s="261" t="s">
        <v>5103</v>
      </c>
      <c r="AH446" s="147">
        <v>155</v>
      </c>
      <c r="AI446" s="147" t="s">
        <v>5483</v>
      </c>
      <c r="AJ446" s="186">
        <v>-1812800</v>
      </c>
      <c r="AK446" s="147">
        <v>2</v>
      </c>
      <c r="AL446" s="147">
        <f>AK446+AL447</f>
        <v>289</v>
      </c>
      <c r="AM446" s="147">
        <f t="shared" si="110"/>
        <v>-523899200</v>
      </c>
      <c r="AN446" s="147" t="s">
        <v>4854</v>
      </c>
      <c r="AQ446" t="s">
        <v>25</v>
      </c>
    </row>
    <row r="447" spans="17:45">
      <c r="Q447" s="97" t="s">
        <v>5610</v>
      </c>
      <c r="R447" s="93">
        <v>17900000</v>
      </c>
      <c r="T447" s="19" t="s">
        <v>5773</v>
      </c>
      <c r="U447" s="19">
        <v>3824</v>
      </c>
      <c r="V447" s="115">
        <v>1890.8547169999999</v>
      </c>
      <c r="W447" s="115">
        <f t="shared" si="98"/>
        <v>7230628.4378079996</v>
      </c>
      <c r="X447" s="261" t="s">
        <v>5103</v>
      </c>
      <c r="AH447" s="20">
        <v>156</v>
      </c>
      <c r="AI447" s="20" t="s">
        <v>5487</v>
      </c>
      <c r="AJ447" s="115">
        <v>90000</v>
      </c>
      <c r="AK447" s="20">
        <v>0</v>
      </c>
      <c r="AL447" s="20">
        <f t="shared" ref="AL447:AL461" si="111">AK447+AL448</f>
        <v>287</v>
      </c>
      <c r="AM447" s="20">
        <f t="shared" ref="AM447:AM461" si="112">AJ447*AL447</f>
        <v>25830000</v>
      </c>
      <c r="AN447" s="20"/>
    </row>
    <row r="448" spans="17:45">
      <c r="Q448" s="97" t="s">
        <v>5622</v>
      </c>
      <c r="R448" s="93">
        <v>12114824.927374</v>
      </c>
      <c r="T448" s="19" t="s">
        <v>5775</v>
      </c>
      <c r="U448" s="19">
        <v>14010</v>
      </c>
      <c r="V448" s="115">
        <v>2124.7244390000001</v>
      </c>
      <c r="W448" s="115">
        <f t="shared" si="98"/>
        <v>29767389.390390001</v>
      </c>
      <c r="X448" s="261" t="s">
        <v>5103</v>
      </c>
      <c r="AH448" s="147">
        <v>157</v>
      </c>
      <c r="AI448" s="147" t="s">
        <v>5487</v>
      </c>
      <c r="AJ448" s="186">
        <v>60000</v>
      </c>
      <c r="AK448" s="147">
        <v>5</v>
      </c>
      <c r="AL448" s="147">
        <f t="shared" si="111"/>
        <v>287</v>
      </c>
      <c r="AM448" s="147">
        <f t="shared" si="112"/>
        <v>17220000</v>
      </c>
      <c r="AN448" s="147"/>
    </row>
    <row r="449" spans="17:44">
      <c r="Q449" s="97" t="s">
        <v>5625</v>
      </c>
      <c r="R449" s="93">
        <v>6684147.0064600008</v>
      </c>
      <c r="T449" s="19" t="s">
        <v>5776</v>
      </c>
      <c r="U449" s="19">
        <v>73</v>
      </c>
      <c r="V449" s="115">
        <v>2076.1678900000002</v>
      </c>
      <c r="W449" s="115">
        <f t="shared" si="98"/>
        <v>151560.25597</v>
      </c>
      <c r="X449" s="261" t="s">
        <v>5103</v>
      </c>
      <c r="AA449" t="s">
        <v>25</v>
      </c>
      <c r="AH449" s="20">
        <v>158</v>
      </c>
      <c r="AI449" s="20" t="s">
        <v>5492</v>
      </c>
      <c r="AJ449" s="115">
        <v>50000000</v>
      </c>
      <c r="AK449" s="20">
        <v>29</v>
      </c>
      <c r="AL449" s="20">
        <f t="shared" si="111"/>
        <v>282</v>
      </c>
      <c r="AM449" s="20">
        <f t="shared" si="112"/>
        <v>14100000000</v>
      </c>
      <c r="AN449" s="20" t="s">
        <v>5494</v>
      </c>
      <c r="AR449" t="s">
        <v>25</v>
      </c>
    </row>
    <row r="450" spans="17:44">
      <c r="Q450" s="97" t="s">
        <v>5629</v>
      </c>
      <c r="R450" s="93">
        <v>1826535.2307560001</v>
      </c>
      <c r="T450" s="19" t="s">
        <v>5778</v>
      </c>
      <c r="U450" s="19">
        <v>236</v>
      </c>
      <c r="V450" s="115">
        <v>2039.4867830000001</v>
      </c>
      <c r="W450" s="115">
        <f t="shared" si="98"/>
        <v>481318.88078800001</v>
      </c>
      <c r="X450" s="261" t="s">
        <v>5103</v>
      </c>
      <c r="AH450" s="20">
        <v>159</v>
      </c>
      <c r="AI450" s="20" t="s">
        <v>5551</v>
      </c>
      <c r="AJ450" s="115">
        <v>100000</v>
      </c>
      <c r="AK450" s="20">
        <v>1</v>
      </c>
      <c r="AL450" s="20">
        <f t="shared" si="111"/>
        <v>253</v>
      </c>
      <c r="AM450" s="20">
        <f t="shared" si="112"/>
        <v>25300000</v>
      </c>
      <c r="AN450" s="20"/>
    </row>
    <row r="451" spans="17:44">
      <c r="Q451" s="97" t="s">
        <v>5631</v>
      </c>
      <c r="R451" s="93">
        <v>3577366.94</v>
      </c>
      <c r="T451" s="19" t="s">
        <v>5781</v>
      </c>
      <c r="U451" s="19">
        <v>75</v>
      </c>
      <c r="V451" s="115">
        <v>1950.3675760000001</v>
      </c>
      <c r="W451" s="115">
        <f t="shared" si="98"/>
        <v>146277.56820000001</v>
      </c>
      <c r="X451" s="261" t="s">
        <v>5103</v>
      </c>
      <c r="AF451" s="94" t="s">
        <v>25</v>
      </c>
      <c r="AH451" s="147">
        <v>160</v>
      </c>
      <c r="AI451" s="147" t="s">
        <v>5540</v>
      </c>
      <c r="AJ451" s="186">
        <v>150000</v>
      </c>
      <c r="AK451" s="147">
        <v>0</v>
      </c>
      <c r="AL451" s="147">
        <f t="shared" si="111"/>
        <v>252</v>
      </c>
      <c r="AM451" s="147">
        <f t="shared" si="112"/>
        <v>37800000</v>
      </c>
      <c r="AN451" s="147"/>
    </row>
    <row r="452" spans="17:44">
      <c r="Q452" s="97" t="s">
        <v>5634</v>
      </c>
      <c r="R452" s="93">
        <v>21239029.173567999</v>
      </c>
      <c r="T452" s="19" t="s">
        <v>5793</v>
      </c>
      <c r="U452" s="19">
        <v>232</v>
      </c>
      <c r="V452" s="115">
        <v>1830.5750069999999</v>
      </c>
      <c r="W452" s="115">
        <f t="shared" si="98"/>
        <v>424693.40162399999</v>
      </c>
      <c r="X452" s="261" t="s">
        <v>5103</v>
      </c>
      <c r="Y452" t="s">
        <v>25</v>
      </c>
      <c r="AH452" s="20">
        <v>161</v>
      </c>
      <c r="AI452" s="20" t="s">
        <v>5540</v>
      </c>
      <c r="AJ452" s="115">
        <v>-683050</v>
      </c>
      <c r="AK452" s="20">
        <v>7</v>
      </c>
      <c r="AL452" s="20">
        <f t="shared" si="111"/>
        <v>252</v>
      </c>
      <c r="AM452" s="20">
        <f t="shared" si="112"/>
        <v>-172128600</v>
      </c>
      <c r="AN452" s="20" t="s">
        <v>5554</v>
      </c>
    </row>
    <row r="453" spans="17:44">
      <c r="Q453" s="97" t="s">
        <v>5639</v>
      </c>
      <c r="R453" s="93">
        <v>242957252.40163299</v>
      </c>
      <c r="T453" s="19" t="s">
        <v>5796</v>
      </c>
      <c r="U453" s="19">
        <v>308</v>
      </c>
      <c r="V453" s="115">
        <v>1812.728578</v>
      </c>
      <c r="W453" s="115">
        <f t="shared" si="98"/>
        <v>558320.40202399995</v>
      </c>
      <c r="X453" s="261" t="s">
        <v>5103</v>
      </c>
      <c r="Y453" t="s">
        <v>25</v>
      </c>
      <c r="AH453" s="147">
        <v>162</v>
      </c>
      <c r="AI453" s="147" t="s">
        <v>5562</v>
      </c>
      <c r="AJ453" s="186">
        <v>200000</v>
      </c>
      <c r="AK453" s="147">
        <v>7</v>
      </c>
      <c r="AL453" s="147">
        <f t="shared" si="111"/>
        <v>245</v>
      </c>
      <c r="AM453" s="147">
        <f t="shared" si="112"/>
        <v>49000000</v>
      </c>
      <c r="AN453" s="147"/>
    </row>
    <row r="454" spans="17:44">
      <c r="Q454" s="97" t="s">
        <v>5640</v>
      </c>
      <c r="R454" s="93">
        <v>7357181.2750800001</v>
      </c>
      <c r="T454" s="19" t="s">
        <v>5798</v>
      </c>
      <c r="U454" s="19">
        <v>106</v>
      </c>
      <c r="V454" s="115">
        <v>1958.8888869</v>
      </c>
      <c r="W454" s="115">
        <f t="shared" si="98"/>
        <v>207642.22201140001</v>
      </c>
      <c r="X454" s="261" t="s">
        <v>5103</v>
      </c>
      <c r="AH454" s="147">
        <v>163</v>
      </c>
      <c r="AI454" s="147" t="s">
        <v>5567</v>
      </c>
      <c r="AJ454" s="186">
        <v>150000</v>
      </c>
      <c r="AK454" s="147">
        <v>5</v>
      </c>
      <c r="AL454" s="147">
        <f t="shared" si="111"/>
        <v>238</v>
      </c>
      <c r="AM454" s="147">
        <f t="shared" si="112"/>
        <v>35700000</v>
      </c>
      <c r="AN454" s="147"/>
    </row>
    <row r="455" spans="17:44">
      <c r="Q455" s="97" t="s">
        <v>5644</v>
      </c>
      <c r="R455" s="93">
        <v>14951411.942400001</v>
      </c>
      <c r="T455" s="19" t="s">
        <v>5820</v>
      </c>
      <c r="U455" s="19">
        <v>17050</v>
      </c>
      <c r="V455" s="115">
        <v>1984.311475</v>
      </c>
      <c r="W455" s="115">
        <f t="shared" si="98"/>
        <v>33832510.64875</v>
      </c>
      <c r="X455" s="261" t="s">
        <v>5822</v>
      </c>
      <c r="Y455" t="s">
        <v>25</v>
      </c>
      <c r="AA455" t="s">
        <v>25</v>
      </c>
      <c r="AH455" s="20">
        <v>164</v>
      </c>
      <c r="AI455" s="20" t="s">
        <v>5571</v>
      </c>
      <c r="AJ455" s="115">
        <v>320000</v>
      </c>
      <c r="AK455" s="20">
        <v>2</v>
      </c>
      <c r="AL455" s="20">
        <f t="shared" si="111"/>
        <v>233</v>
      </c>
      <c r="AM455" s="20">
        <f t="shared" si="112"/>
        <v>74560000</v>
      </c>
      <c r="AN455" s="20"/>
    </row>
    <row r="456" spans="17:44">
      <c r="Q456" s="97" t="s">
        <v>5646</v>
      </c>
      <c r="R456" s="93">
        <v>47928209.377011999</v>
      </c>
      <c r="T456" s="19" t="s">
        <v>5820</v>
      </c>
      <c r="U456" s="19">
        <v>17050</v>
      </c>
      <c r="V456" s="115">
        <v>1984.311475</v>
      </c>
      <c r="W456" s="115">
        <f t="shared" si="98"/>
        <v>33832510.64875</v>
      </c>
      <c r="X456" s="261" t="s">
        <v>5823</v>
      </c>
      <c r="Y456" t="s">
        <v>25</v>
      </c>
      <c r="AH456" s="20">
        <v>165</v>
      </c>
      <c r="AI456" s="20" t="s">
        <v>5572</v>
      </c>
      <c r="AJ456" s="115">
        <v>200000</v>
      </c>
      <c r="AK456" s="20">
        <v>29</v>
      </c>
      <c r="AL456" s="20">
        <f t="shared" si="111"/>
        <v>231</v>
      </c>
      <c r="AM456" s="20">
        <f t="shared" si="112"/>
        <v>46200000</v>
      </c>
      <c r="AN456" s="20"/>
    </row>
    <row r="457" spans="17:44">
      <c r="Q457" s="97" t="s">
        <v>5648</v>
      </c>
      <c r="R457" s="93">
        <v>2281595.69937</v>
      </c>
      <c r="T457" s="19" t="s">
        <v>5825</v>
      </c>
      <c r="U457" s="19">
        <v>9659</v>
      </c>
      <c r="V457" s="115">
        <v>2073.8685089999999</v>
      </c>
      <c r="W457" s="115">
        <f t="shared" si="98"/>
        <v>20031495.928431001</v>
      </c>
      <c r="X457" s="261" t="s">
        <v>5826</v>
      </c>
      <c r="Y457" t="s">
        <v>25</v>
      </c>
      <c r="AH457" s="20">
        <v>166</v>
      </c>
      <c r="AI457" s="20" t="s">
        <v>5607</v>
      </c>
      <c r="AJ457" s="115">
        <v>4200000</v>
      </c>
      <c r="AK457" s="20">
        <v>0</v>
      </c>
      <c r="AL457" s="20">
        <f t="shared" si="111"/>
        <v>202</v>
      </c>
      <c r="AM457" s="20">
        <f t="shared" si="112"/>
        <v>848400000</v>
      </c>
      <c r="AN457" s="20"/>
    </row>
    <row r="458" spans="17:44">
      <c r="Q458" s="97" t="s">
        <v>5649</v>
      </c>
      <c r="R458" s="93">
        <v>2964916.035069</v>
      </c>
      <c r="T458" s="19" t="s">
        <v>5831</v>
      </c>
      <c r="U458" s="19">
        <v>323</v>
      </c>
      <c r="V458" s="115">
        <v>1975.162028</v>
      </c>
      <c r="W458" s="115">
        <f t="shared" si="98"/>
        <v>637977.33504399995</v>
      </c>
      <c r="X458" s="261" t="s">
        <v>5103</v>
      </c>
      <c r="AH458" s="147">
        <v>167</v>
      </c>
      <c r="AI458" s="147" t="s">
        <v>5607</v>
      </c>
      <c r="AJ458" s="186">
        <v>3300000</v>
      </c>
      <c r="AK458" s="147">
        <v>11</v>
      </c>
      <c r="AL458" s="147">
        <f t="shared" si="111"/>
        <v>202</v>
      </c>
      <c r="AM458" s="147">
        <f t="shared" si="112"/>
        <v>666600000</v>
      </c>
      <c r="AN458" s="147"/>
    </row>
    <row r="459" spans="17:44">
      <c r="Q459" s="97" t="s">
        <v>5651</v>
      </c>
      <c r="R459" s="93">
        <v>6460549.4269619994</v>
      </c>
      <c r="T459" s="19" t="s">
        <v>5832</v>
      </c>
      <c r="U459" s="19">
        <v>238</v>
      </c>
      <c r="V459" s="115">
        <v>1960.303598</v>
      </c>
      <c r="W459" s="115">
        <f t="shared" si="98"/>
        <v>466552.25632400002</v>
      </c>
      <c r="X459" s="261" t="s">
        <v>5103</v>
      </c>
      <c r="Z459" t="s">
        <v>25</v>
      </c>
      <c r="AH459" s="147">
        <v>168</v>
      </c>
      <c r="AI459" s="147" t="s">
        <v>5631</v>
      </c>
      <c r="AJ459" s="186">
        <v>-1500000</v>
      </c>
      <c r="AK459" s="147">
        <v>42</v>
      </c>
      <c r="AL459" s="147">
        <f t="shared" si="111"/>
        <v>191</v>
      </c>
      <c r="AM459" s="147">
        <f t="shared" si="112"/>
        <v>-286500000</v>
      </c>
      <c r="AN459" s="147"/>
    </row>
    <row r="460" spans="17:44">
      <c r="Q460" s="97" t="s">
        <v>5654</v>
      </c>
      <c r="R460" s="93">
        <v>5212319.8968359996</v>
      </c>
      <c r="T460" s="19" t="s">
        <v>5833</v>
      </c>
      <c r="U460" s="19">
        <v>75</v>
      </c>
      <c r="V460" s="115">
        <v>1990.893174</v>
      </c>
      <c r="W460" s="115">
        <f t="shared" si="98"/>
        <v>149316.98805000001</v>
      </c>
      <c r="X460" s="261" t="s">
        <v>5834</v>
      </c>
      <c r="Z460" t="s">
        <v>25</v>
      </c>
      <c r="AH460" s="20">
        <v>169</v>
      </c>
      <c r="AI460" s="20" t="s">
        <v>5677</v>
      </c>
      <c r="AJ460" s="115">
        <v>260000</v>
      </c>
      <c r="AK460" s="20">
        <v>22</v>
      </c>
      <c r="AL460" s="20">
        <f t="shared" si="111"/>
        <v>149</v>
      </c>
      <c r="AM460" s="20">
        <f t="shared" si="112"/>
        <v>38740000</v>
      </c>
      <c r="AN460" s="20"/>
    </row>
    <row r="461" spans="17:44">
      <c r="Q461" s="97" t="s">
        <v>5656</v>
      </c>
      <c r="R461" s="93">
        <v>4524496.4792809999</v>
      </c>
      <c r="T461" s="19" t="s">
        <v>5833</v>
      </c>
      <c r="U461" s="19">
        <v>95</v>
      </c>
      <c r="V461" s="115">
        <v>1990.893174</v>
      </c>
      <c r="W461" s="115">
        <f t="shared" si="98"/>
        <v>189134.85153000001</v>
      </c>
      <c r="X461" s="261" t="s">
        <v>5103</v>
      </c>
      <c r="Z461" t="s">
        <v>25</v>
      </c>
      <c r="AH461" s="20">
        <v>170</v>
      </c>
      <c r="AI461" s="20" t="s">
        <v>5705</v>
      </c>
      <c r="AJ461" s="115">
        <v>20000</v>
      </c>
      <c r="AK461" s="20">
        <v>0</v>
      </c>
      <c r="AL461" s="20">
        <f t="shared" si="111"/>
        <v>127</v>
      </c>
      <c r="AM461" s="20">
        <f t="shared" si="112"/>
        <v>2540000</v>
      </c>
      <c r="AN461" s="20"/>
    </row>
    <row r="462" spans="17:44">
      <c r="Q462" s="97" t="s">
        <v>5658</v>
      </c>
      <c r="R462" s="93">
        <v>22866040.240959998</v>
      </c>
      <c r="T462" s="19" t="s">
        <v>5835</v>
      </c>
      <c r="U462" s="19">
        <v>284</v>
      </c>
      <c r="V462" s="115">
        <v>1989.045169</v>
      </c>
      <c r="W462" s="115">
        <f t="shared" si="98"/>
        <v>564888.82799599995</v>
      </c>
      <c r="X462" s="261" t="s">
        <v>5103</v>
      </c>
      <c r="Z462" t="s">
        <v>25</v>
      </c>
      <c r="AH462" s="192">
        <v>171</v>
      </c>
      <c r="AI462" s="192" t="s">
        <v>5705</v>
      </c>
      <c r="AJ462" s="193">
        <v>20000</v>
      </c>
      <c r="AK462" s="192">
        <v>7</v>
      </c>
      <c r="AL462" s="147">
        <f t="shared" ref="AL462:AL488" si="113">AK462+AL463</f>
        <v>127</v>
      </c>
      <c r="AM462" s="147">
        <f t="shared" ref="AM462:AM488" si="114">AJ462*AL462</f>
        <v>2540000</v>
      </c>
      <c r="AN462" s="192"/>
    </row>
    <row r="463" spans="17:44" ht="30">
      <c r="Q463" s="97" t="s">
        <v>5660</v>
      </c>
      <c r="R463" s="93">
        <v>15359304.269892</v>
      </c>
      <c r="T463" s="187" t="s">
        <v>5839</v>
      </c>
      <c r="U463" s="187">
        <v>11034</v>
      </c>
      <c r="V463" s="186">
        <v>1960.6845390000001</v>
      </c>
      <c r="W463" s="186">
        <f t="shared" si="98"/>
        <v>21634193.203326002</v>
      </c>
      <c r="X463" s="260" t="s">
        <v>5843</v>
      </c>
      <c r="Z463" t="s">
        <v>25</v>
      </c>
      <c r="AH463" s="147">
        <v>172</v>
      </c>
      <c r="AI463" s="147" t="s">
        <v>5715</v>
      </c>
      <c r="AJ463" s="186">
        <v>70000</v>
      </c>
      <c r="AK463" s="147">
        <v>0</v>
      </c>
      <c r="AL463" s="147">
        <f t="shared" si="113"/>
        <v>120</v>
      </c>
      <c r="AM463" s="147">
        <f t="shared" si="114"/>
        <v>8400000</v>
      </c>
      <c r="AN463" s="147"/>
    </row>
    <row r="464" spans="17:44" ht="30">
      <c r="Q464" s="97" t="s">
        <v>5661</v>
      </c>
      <c r="R464" s="93">
        <v>2868508.1846330003</v>
      </c>
      <c r="T464" s="19" t="s">
        <v>5839</v>
      </c>
      <c r="U464" s="19">
        <v>4469</v>
      </c>
      <c r="V464" s="115">
        <v>1960.6845390000001</v>
      </c>
      <c r="W464" s="115">
        <f t="shared" si="98"/>
        <v>8762299.2047910001</v>
      </c>
      <c r="X464" s="261" t="s">
        <v>5844</v>
      </c>
      <c r="Z464" t="s">
        <v>25</v>
      </c>
      <c r="AH464" s="20">
        <v>173</v>
      </c>
      <c r="AI464" s="20" t="s">
        <v>5715</v>
      </c>
      <c r="AJ464" s="115">
        <v>70000</v>
      </c>
      <c r="AK464" s="20">
        <v>1</v>
      </c>
      <c r="AL464" s="20">
        <f t="shared" si="113"/>
        <v>120</v>
      </c>
      <c r="AM464" s="20">
        <f t="shared" si="114"/>
        <v>8400000</v>
      </c>
      <c r="AN464" s="20"/>
      <c r="AR464" t="s">
        <v>25</v>
      </c>
    </row>
    <row r="465" spans="17:45">
      <c r="Q465" s="97" t="s">
        <v>5662</v>
      </c>
      <c r="R465" s="93">
        <v>17450393.011856001</v>
      </c>
      <c r="T465" s="19" t="s">
        <v>5839</v>
      </c>
      <c r="U465" s="19">
        <v>-174834</v>
      </c>
      <c r="V465" s="115">
        <v>1955.271154</v>
      </c>
      <c r="W465" s="115">
        <f t="shared" si="98"/>
        <v>-341847876.93843603</v>
      </c>
      <c r="X465" s="261" t="s">
        <v>5845</v>
      </c>
      <c r="AH465" s="20">
        <v>174</v>
      </c>
      <c r="AI465" s="20" t="s">
        <v>5722</v>
      </c>
      <c r="AJ465" s="115">
        <v>330000</v>
      </c>
      <c r="AK465" s="20">
        <v>0</v>
      </c>
      <c r="AL465" s="20">
        <f t="shared" si="113"/>
        <v>119</v>
      </c>
      <c r="AM465" s="20">
        <f t="shared" si="114"/>
        <v>39270000</v>
      </c>
      <c r="AN465" s="20"/>
      <c r="AR465" t="s">
        <v>25</v>
      </c>
    </row>
    <row r="466" spans="17:45">
      <c r="Q466" s="97" t="s">
        <v>5663</v>
      </c>
      <c r="R466" s="93">
        <v>31388943.254850004</v>
      </c>
      <c r="T466" s="19" t="s">
        <v>5839</v>
      </c>
      <c r="U466" s="19">
        <v>-78942</v>
      </c>
      <c r="V466" s="115">
        <v>1955.271154</v>
      </c>
      <c r="W466" s="115">
        <f t="shared" si="98"/>
        <v>-154353015.43906799</v>
      </c>
      <c r="X466" s="261" t="s">
        <v>5846</v>
      </c>
      <c r="Z466" t="s">
        <v>25</v>
      </c>
      <c r="AH466" s="147">
        <v>175</v>
      </c>
      <c r="AI466" s="147" t="s">
        <v>5722</v>
      </c>
      <c r="AJ466" s="186">
        <v>330000</v>
      </c>
      <c r="AK466" s="147">
        <v>10</v>
      </c>
      <c r="AL466" s="147">
        <f t="shared" ref="AL466:AL470" si="115">AK466+AL467</f>
        <v>119</v>
      </c>
      <c r="AM466" s="147">
        <f t="shared" ref="AM466:AM471" si="116">AJ466*AL466</f>
        <v>39270000</v>
      </c>
      <c r="AN466" s="147"/>
    </row>
    <row r="467" spans="17:45">
      <c r="Q467" s="97" t="s">
        <v>5665</v>
      </c>
      <c r="R467" s="93">
        <v>30912095.373174001</v>
      </c>
      <c r="T467" s="187" t="s">
        <v>5839</v>
      </c>
      <c r="U467" s="187">
        <v>-11518</v>
      </c>
      <c r="V467" s="186">
        <v>1955.271154</v>
      </c>
      <c r="W467" s="186">
        <f t="shared" si="98"/>
        <v>-22520813.151772</v>
      </c>
      <c r="X467" s="260" t="s">
        <v>5847</v>
      </c>
      <c r="AA467" t="s">
        <v>25</v>
      </c>
      <c r="AH467" s="147">
        <v>176</v>
      </c>
      <c r="AI467" s="147" t="s">
        <v>5733</v>
      </c>
      <c r="AJ467" s="186">
        <v>90000000</v>
      </c>
      <c r="AK467" s="147">
        <v>16</v>
      </c>
      <c r="AL467" s="147">
        <f t="shared" si="115"/>
        <v>109</v>
      </c>
      <c r="AM467" s="147">
        <f t="shared" si="116"/>
        <v>9810000000</v>
      </c>
      <c r="AN467" s="147"/>
      <c r="AS467" t="s">
        <v>25</v>
      </c>
    </row>
    <row r="468" spans="17:45">
      <c r="Q468" s="97" t="s">
        <v>5669</v>
      </c>
      <c r="R468" s="93">
        <v>19602926.115093999</v>
      </c>
      <c r="T468" s="19" t="s">
        <v>5858</v>
      </c>
      <c r="U468" s="19">
        <v>8622</v>
      </c>
      <c r="V468" s="115">
        <v>1930.4022150000001</v>
      </c>
      <c r="W468" s="115">
        <f t="shared" si="98"/>
        <v>16643927.89773</v>
      </c>
      <c r="X468" s="261" t="s">
        <v>743</v>
      </c>
      <c r="Z468" t="s">
        <v>25</v>
      </c>
      <c r="AH468" s="147">
        <v>177</v>
      </c>
      <c r="AI468" s="147" t="s">
        <v>5759</v>
      </c>
      <c r="AJ468" s="186">
        <v>-15000000</v>
      </c>
      <c r="AK468" s="147">
        <v>65</v>
      </c>
      <c r="AL468" s="147">
        <f t="shared" si="115"/>
        <v>93</v>
      </c>
      <c r="AM468" s="147">
        <f t="shared" si="116"/>
        <v>-1395000000</v>
      </c>
      <c r="AN468" s="147" t="s">
        <v>5760</v>
      </c>
    </row>
    <row r="469" spans="17:45">
      <c r="Q469" s="97" t="s">
        <v>5671</v>
      </c>
      <c r="R469" s="93">
        <v>34458590.308710001</v>
      </c>
      <c r="T469" s="19" t="s">
        <v>5859</v>
      </c>
      <c r="U469" s="19">
        <v>17384</v>
      </c>
      <c r="V469" s="115">
        <v>1918.745255</v>
      </c>
      <c r="W469" s="115">
        <f t="shared" si="98"/>
        <v>33355467.51292</v>
      </c>
      <c r="X469" s="261" t="s">
        <v>743</v>
      </c>
      <c r="Y469" t="s">
        <v>25</v>
      </c>
      <c r="Z469" t="s">
        <v>25</v>
      </c>
      <c r="AH469" s="147">
        <v>178</v>
      </c>
      <c r="AI469" s="147" t="s">
        <v>5820</v>
      </c>
      <c r="AJ469" s="186">
        <v>33833075</v>
      </c>
      <c r="AK469" s="147">
        <v>0</v>
      </c>
      <c r="AL469" s="147">
        <f t="shared" si="115"/>
        <v>28</v>
      </c>
      <c r="AM469" s="147">
        <f t="shared" si="116"/>
        <v>947326100</v>
      </c>
      <c r="AN469" s="147" t="s">
        <v>5824</v>
      </c>
    </row>
    <row r="470" spans="17:45">
      <c r="Q470" s="97" t="s">
        <v>5673</v>
      </c>
      <c r="R470" s="93">
        <v>21697868.203256</v>
      </c>
      <c r="T470" s="19" t="s">
        <v>5871</v>
      </c>
      <c r="U470" s="19">
        <v>133</v>
      </c>
      <c r="V470" s="115">
        <v>1954.8389770000001</v>
      </c>
      <c r="W470" s="115">
        <f t="shared" si="98"/>
        <v>259993.58394100002</v>
      </c>
      <c r="X470" s="261" t="s">
        <v>5103</v>
      </c>
      <c r="AA470" t="s">
        <v>25</v>
      </c>
      <c r="AH470" s="20">
        <v>197</v>
      </c>
      <c r="AI470" s="20" t="s">
        <v>5820</v>
      </c>
      <c r="AJ470" s="115">
        <v>20033075</v>
      </c>
      <c r="AK470" s="20">
        <v>28</v>
      </c>
      <c r="AL470" s="20">
        <f t="shared" si="115"/>
        <v>28</v>
      </c>
      <c r="AM470" s="20">
        <f t="shared" si="116"/>
        <v>560926100</v>
      </c>
      <c r="AN470" s="20" t="s">
        <v>5824</v>
      </c>
    </row>
    <row r="471" spans="17:45">
      <c r="Q471" s="97" t="s">
        <v>5674</v>
      </c>
      <c r="R471" s="93">
        <v>25340079.252110001</v>
      </c>
      <c r="T471" s="19" t="s">
        <v>5873</v>
      </c>
      <c r="U471" s="19">
        <v>140</v>
      </c>
      <c r="V471" s="115">
        <v>1928.2522289999999</v>
      </c>
      <c r="W471" s="115">
        <f t="shared" si="98"/>
        <v>269955.31205999997</v>
      </c>
      <c r="X471" s="261" t="s">
        <v>5103</v>
      </c>
      <c r="Y471" t="s">
        <v>25</v>
      </c>
      <c r="AH471" s="147">
        <v>198</v>
      </c>
      <c r="AI471" s="147" t="s">
        <v>5839</v>
      </c>
      <c r="AJ471" s="186">
        <v>-22520813.151772</v>
      </c>
      <c r="AK471" s="147">
        <v>0</v>
      </c>
      <c r="AL471" s="147">
        <f>AK471+AL487</f>
        <v>0</v>
      </c>
      <c r="AM471" s="147">
        <f t="shared" si="116"/>
        <v>0</v>
      </c>
      <c r="AN471" s="147" t="s">
        <v>5847</v>
      </c>
    </row>
    <row r="472" spans="17:45">
      <c r="Q472" s="97" t="s">
        <v>5677</v>
      </c>
      <c r="R472" s="93">
        <v>14780983.183526</v>
      </c>
      <c r="T472" s="19" t="s">
        <v>6405</v>
      </c>
      <c r="U472" s="19">
        <v>15839</v>
      </c>
      <c r="V472" s="115">
        <v>1893.9957079999999</v>
      </c>
      <c r="W472" s="115">
        <f t="shared" si="98"/>
        <v>29998998.019012</v>
      </c>
      <c r="X472" s="261" t="s">
        <v>6404</v>
      </c>
      <c r="Z472" t="s">
        <v>25</v>
      </c>
      <c r="AA472" t="s">
        <v>25</v>
      </c>
      <c r="AH472" s="20">
        <v>199</v>
      </c>
      <c r="AI472" s="20" t="s">
        <v>5839</v>
      </c>
      <c r="AJ472" s="115">
        <v>-204353015</v>
      </c>
      <c r="AK472" s="20">
        <v>0</v>
      </c>
      <c r="AL472" s="20">
        <f t="shared" ref="AL472:AL487" si="117">AK472+AL473</f>
        <v>151</v>
      </c>
      <c r="AM472" s="20">
        <f t="shared" ref="AM472:AM487" si="118">AJ472*AL472</f>
        <v>-30857305265</v>
      </c>
      <c r="AN472" s="20" t="s">
        <v>5848</v>
      </c>
    </row>
    <row r="473" spans="17:45">
      <c r="Q473" s="97" t="s">
        <v>5677</v>
      </c>
      <c r="R473" s="93">
        <v>17804396.448481999</v>
      </c>
      <c r="T473" s="19" t="s">
        <v>6408</v>
      </c>
      <c r="U473" s="19">
        <v>26601</v>
      </c>
      <c r="V473" s="115">
        <v>1880.082026</v>
      </c>
      <c r="W473" s="115">
        <f t="shared" si="98"/>
        <v>50012061.973626003</v>
      </c>
      <c r="X473" s="261" t="s">
        <v>5342</v>
      </c>
      <c r="AH473" s="20">
        <v>200</v>
      </c>
      <c r="AI473" s="20" t="s">
        <v>5839</v>
      </c>
      <c r="AJ473" s="115">
        <v>50000000</v>
      </c>
      <c r="AK473" s="20">
        <v>1</v>
      </c>
      <c r="AL473" s="20">
        <f t="shared" si="117"/>
        <v>151</v>
      </c>
      <c r="AM473" s="20">
        <f t="shared" si="118"/>
        <v>7550000000</v>
      </c>
      <c r="AN473" s="20" t="s">
        <v>5849</v>
      </c>
    </row>
    <row r="474" spans="17:45">
      <c r="Q474" s="97" t="s">
        <v>5680</v>
      </c>
      <c r="R474" s="93">
        <v>260260000</v>
      </c>
      <c r="T474" s="187" t="s">
        <v>6408</v>
      </c>
      <c r="U474" s="187">
        <v>10637</v>
      </c>
      <c r="V474" s="186">
        <v>1880.082026</v>
      </c>
      <c r="W474" s="186">
        <f t="shared" si="98"/>
        <v>19998432.510561999</v>
      </c>
      <c r="X474" s="260" t="s">
        <v>6409</v>
      </c>
      <c r="Y474" t="s">
        <v>25</v>
      </c>
      <c r="AH474" s="20">
        <v>201</v>
      </c>
      <c r="AI474" s="20" t="s">
        <v>5855</v>
      </c>
      <c r="AJ474" s="115">
        <v>50000000</v>
      </c>
      <c r="AK474" s="20">
        <v>8</v>
      </c>
      <c r="AL474" s="20">
        <f t="shared" si="117"/>
        <v>150</v>
      </c>
      <c r="AM474" s="20">
        <f t="shared" si="118"/>
        <v>7500000000</v>
      </c>
      <c r="AN474" s="20" t="s">
        <v>5849</v>
      </c>
    </row>
    <row r="475" spans="17:45">
      <c r="Q475" s="97" t="s">
        <v>5681</v>
      </c>
      <c r="R475" s="93">
        <v>11538335.631417999</v>
      </c>
      <c r="T475" s="19" t="s">
        <v>6414</v>
      </c>
      <c r="U475" s="19">
        <v>306</v>
      </c>
      <c r="V475" s="115">
        <v>1831.8117119999999</v>
      </c>
      <c r="W475" s="115">
        <f t="shared" si="98"/>
        <v>560534.38387200003</v>
      </c>
      <c r="X475" s="261" t="s">
        <v>5103</v>
      </c>
      <c r="Y475" t="s">
        <v>25</v>
      </c>
      <c r="AH475" s="20">
        <v>202</v>
      </c>
      <c r="AI475" s="20" t="s">
        <v>6403</v>
      </c>
      <c r="AJ475" s="115">
        <v>30000000</v>
      </c>
      <c r="AK475" s="20">
        <v>2</v>
      </c>
      <c r="AL475" s="20">
        <f t="shared" si="117"/>
        <v>142</v>
      </c>
      <c r="AM475" s="20">
        <f t="shared" si="118"/>
        <v>4260000000</v>
      </c>
      <c r="AN475" s="20" t="s">
        <v>6404</v>
      </c>
    </row>
    <row r="476" spans="17:45">
      <c r="Q476" s="97" t="s">
        <v>5689</v>
      </c>
      <c r="R476" s="93">
        <v>12429517.767776001</v>
      </c>
      <c r="T476" s="19" t="s">
        <v>6420</v>
      </c>
      <c r="U476" s="19">
        <v>325</v>
      </c>
      <c r="V476" s="115">
        <v>1789.1845169999999</v>
      </c>
      <c r="W476" s="115">
        <f t="shared" si="98"/>
        <v>581484.96802499995</v>
      </c>
      <c r="X476" s="261" t="s">
        <v>5103</v>
      </c>
      <c r="Z476" t="s">
        <v>25</v>
      </c>
      <c r="AH476" s="147">
        <v>203</v>
      </c>
      <c r="AI476" s="147" t="s">
        <v>6408</v>
      </c>
      <c r="AJ476" s="186">
        <v>20000000</v>
      </c>
      <c r="AK476" s="147">
        <v>29</v>
      </c>
      <c r="AL476" s="147">
        <f t="shared" si="117"/>
        <v>140</v>
      </c>
      <c r="AM476" s="147">
        <f t="shared" si="118"/>
        <v>2800000000</v>
      </c>
      <c r="AN476" s="147" t="s">
        <v>6409</v>
      </c>
    </row>
    <row r="477" spans="17:45">
      <c r="Q477" s="97" t="s">
        <v>5691</v>
      </c>
      <c r="R477" s="93">
        <v>5031176.5087869996</v>
      </c>
      <c r="T477" s="19" t="s">
        <v>6423</v>
      </c>
      <c r="U477" s="19">
        <v>1154</v>
      </c>
      <c r="V477" s="115">
        <v>1851.788857</v>
      </c>
      <c r="W477" s="115">
        <f t="shared" si="98"/>
        <v>2136964.3409779998</v>
      </c>
      <c r="X477" s="261" t="s">
        <v>5103</v>
      </c>
      <c r="Z477" t="s">
        <v>25</v>
      </c>
      <c r="AH477" s="147">
        <v>204</v>
      </c>
      <c r="AI477" s="147" t="s">
        <v>6445</v>
      </c>
      <c r="AJ477" s="186">
        <v>-20000000</v>
      </c>
      <c r="AK477" s="147">
        <v>0</v>
      </c>
      <c r="AL477" s="147">
        <f t="shared" ref="AL477:AL483" si="119">AK477+AL478</f>
        <v>111</v>
      </c>
      <c r="AM477" s="147">
        <f t="shared" ref="AM477:AM483" si="120">AJ477*AL477</f>
        <v>-2220000000</v>
      </c>
      <c r="AN477" s="147" t="s">
        <v>6446</v>
      </c>
    </row>
    <row r="478" spans="17:45" ht="30">
      <c r="Q478" s="97" t="s">
        <v>5695</v>
      </c>
      <c r="R478" s="93">
        <v>6822803.9080700008</v>
      </c>
      <c r="T478" s="19" t="s">
        <v>6423</v>
      </c>
      <c r="U478" s="19">
        <v>3240</v>
      </c>
      <c r="V478" s="115">
        <v>1851.788857</v>
      </c>
      <c r="W478" s="115">
        <f t="shared" si="98"/>
        <v>5999795.8966800002</v>
      </c>
      <c r="X478" s="261" t="s">
        <v>6425</v>
      </c>
      <c r="AA478" t="s">
        <v>25</v>
      </c>
      <c r="AH478" s="147">
        <v>205</v>
      </c>
      <c r="AI478" s="147" t="s">
        <v>6445</v>
      </c>
      <c r="AJ478" s="186">
        <v>2000000</v>
      </c>
      <c r="AK478" s="147">
        <v>110</v>
      </c>
      <c r="AL478" s="147">
        <f t="shared" si="119"/>
        <v>111</v>
      </c>
      <c r="AM478" s="147">
        <f t="shared" si="120"/>
        <v>222000000</v>
      </c>
      <c r="AN478" s="147" t="s">
        <v>6447</v>
      </c>
      <c r="AS478" t="s">
        <v>25</v>
      </c>
    </row>
    <row r="479" spans="17:45">
      <c r="Q479" s="97" t="s">
        <v>5704</v>
      </c>
      <c r="R479" s="93">
        <v>330889.73324399994</v>
      </c>
      <c r="T479" s="19" t="s">
        <v>6423</v>
      </c>
      <c r="U479" s="19">
        <v>-3240</v>
      </c>
      <c r="V479" s="115">
        <v>1851.788857</v>
      </c>
      <c r="W479" s="115">
        <f t="shared" si="98"/>
        <v>-5999795.8966800002</v>
      </c>
      <c r="X479" s="261" t="s">
        <v>6426</v>
      </c>
      <c r="Z479" t="s">
        <v>25</v>
      </c>
      <c r="AH479" s="147">
        <v>206</v>
      </c>
      <c r="AI479" s="147" t="s">
        <v>6680</v>
      </c>
      <c r="AJ479" s="186">
        <v>5082711</v>
      </c>
      <c r="AK479" s="147">
        <v>1</v>
      </c>
      <c r="AL479" s="147">
        <f t="shared" si="119"/>
        <v>1</v>
      </c>
      <c r="AM479" s="147">
        <f t="shared" si="120"/>
        <v>5082711</v>
      </c>
      <c r="AN479" s="147" t="s">
        <v>6682</v>
      </c>
    </row>
    <row r="480" spans="17:45">
      <c r="Q480" s="97" t="s">
        <v>5705</v>
      </c>
      <c r="R480" s="93">
        <v>6610318.1610199995</v>
      </c>
      <c r="T480" s="19" t="s">
        <v>6427</v>
      </c>
      <c r="U480" s="19">
        <v>330</v>
      </c>
      <c r="V480" s="115">
        <v>1799.34311</v>
      </c>
      <c r="W480" s="115">
        <f t="shared" si="98"/>
        <v>593783.22629999998</v>
      </c>
      <c r="X480" s="261" t="s">
        <v>5103</v>
      </c>
      <c r="AA480" t="s">
        <v>25</v>
      </c>
      <c r="AH480" s="147"/>
      <c r="AI480" s="147"/>
      <c r="AJ480" s="186"/>
      <c r="AK480" s="147"/>
      <c r="AL480" s="147">
        <f t="shared" si="119"/>
        <v>0</v>
      </c>
      <c r="AM480" s="147">
        <f t="shared" si="120"/>
        <v>0</v>
      </c>
      <c r="AN480" s="147"/>
    </row>
    <row r="481" spans="17:45">
      <c r="Q481" s="97" t="s">
        <v>5707</v>
      </c>
      <c r="R481" s="93">
        <v>710713.17725199996</v>
      </c>
      <c r="T481" s="19" t="s">
        <v>6431</v>
      </c>
      <c r="U481" s="19">
        <v>266</v>
      </c>
      <c r="V481" s="115">
        <v>1764.9246700000001</v>
      </c>
      <c r="W481" s="115">
        <f t="shared" si="98"/>
        <v>469469.96222000004</v>
      </c>
      <c r="X481" s="261" t="s">
        <v>5103</v>
      </c>
      <c r="Y481" t="s">
        <v>25</v>
      </c>
      <c r="AH481" s="147"/>
      <c r="AI481" s="147"/>
      <c r="AJ481" s="186"/>
      <c r="AK481" s="147"/>
      <c r="AL481" s="147">
        <f t="shared" si="119"/>
        <v>0</v>
      </c>
      <c r="AM481" s="147">
        <f t="shared" si="120"/>
        <v>0</v>
      </c>
      <c r="AN481" s="147"/>
    </row>
    <row r="482" spans="17:45">
      <c r="Q482" s="97" t="s">
        <v>5710</v>
      </c>
      <c r="R482" s="93">
        <v>81025</v>
      </c>
      <c r="T482" s="187" t="s">
        <v>6445</v>
      </c>
      <c r="U482" s="187">
        <v>-10637</v>
      </c>
      <c r="V482" s="186">
        <v>1739.5916549999999</v>
      </c>
      <c r="W482" s="186">
        <f t="shared" si="98"/>
        <v>-18504036.434234999</v>
      </c>
      <c r="X482" s="260" t="s">
        <v>6448</v>
      </c>
      <c r="Y482" t="s">
        <v>25</v>
      </c>
      <c r="AA482" t="s">
        <v>25</v>
      </c>
      <c r="AH482" s="147"/>
      <c r="AI482" s="147"/>
      <c r="AJ482" s="186"/>
      <c r="AK482" s="147"/>
      <c r="AL482" s="147">
        <f t="shared" si="119"/>
        <v>0</v>
      </c>
      <c r="AM482" s="147">
        <f t="shared" si="120"/>
        <v>0</v>
      </c>
      <c r="AN482" s="147"/>
    </row>
    <row r="483" spans="17:45">
      <c r="Q483" s="97" t="s">
        <v>5711</v>
      </c>
      <c r="R483" s="93">
        <v>219696.613128</v>
      </c>
      <c r="T483" s="19" t="s">
        <v>6445</v>
      </c>
      <c r="U483" s="19">
        <v>10637</v>
      </c>
      <c r="V483" s="115">
        <v>1739.5916549999999</v>
      </c>
      <c r="W483" s="115">
        <f t="shared" si="98"/>
        <v>18504036.434234999</v>
      </c>
      <c r="X483" s="261" t="s">
        <v>6449</v>
      </c>
      <c r="AA483" t="s">
        <v>25</v>
      </c>
      <c r="AH483" s="147"/>
      <c r="AI483" s="147"/>
      <c r="AJ483" s="186"/>
      <c r="AK483" s="147"/>
      <c r="AL483" s="147">
        <f t="shared" si="119"/>
        <v>0</v>
      </c>
      <c r="AM483" s="147">
        <f t="shared" si="120"/>
        <v>0</v>
      </c>
      <c r="AN483" s="147"/>
    </row>
    <row r="484" spans="17:45" ht="30">
      <c r="Q484" s="97" t="s">
        <v>5713</v>
      </c>
      <c r="R484" s="93">
        <v>6035472.4070199998</v>
      </c>
      <c r="T484" s="19" t="s">
        <v>6474</v>
      </c>
      <c r="U484" s="19">
        <v>39478</v>
      </c>
      <c r="V484" s="115">
        <v>1873.903047</v>
      </c>
      <c r="W484" s="115">
        <f t="shared" si="98"/>
        <v>73977944.489465997</v>
      </c>
      <c r="X484" s="261" t="s">
        <v>6475</v>
      </c>
      <c r="AH484" s="20"/>
      <c r="AI484" s="20"/>
      <c r="AJ484" s="115"/>
      <c r="AK484" s="20"/>
      <c r="AL484" s="20">
        <f t="shared" si="117"/>
        <v>0</v>
      </c>
      <c r="AM484" s="20">
        <f t="shared" si="118"/>
        <v>0</v>
      </c>
      <c r="AN484" s="20"/>
    </row>
    <row r="485" spans="17:45">
      <c r="Q485" s="97" t="s">
        <v>5715</v>
      </c>
      <c r="R485" s="93">
        <v>984486.34963200008</v>
      </c>
      <c r="T485" s="19" t="s">
        <v>6479</v>
      </c>
      <c r="U485" s="19">
        <v>283</v>
      </c>
      <c r="V485" s="115">
        <v>2014.7222959999999</v>
      </c>
      <c r="W485" s="115">
        <f t="shared" si="98"/>
        <v>570166.40976800001</v>
      </c>
      <c r="X485" s="261" t="s">
        <v>6480</v>
      </c>
      <c r="Y485" t="s">
        <v>25</v>
      </c>
      <c r="AA485" t="s">
        <v>25</v>
      </c>
      <c r="AH485" s="20"/>
      <c r="AI485" s="20"/>
      <c r="AJ485" s="115"/>
      <c r="AK485" s="20"/>
      <c r="AL485" s="20">
        <f t="shared" si="117"/>
        <v>0</v>
      </c>
      <c r="AM485" s="20">
        <f t="shared" si="118"/>
        <v>0</v>
      </c>
      <c r="AN485" s="20"/>
    </row>
    <row r="486" spans="17:45">
      <c r="Q486" s="97" t="s">
        <v>5727</v>
      </c>
      <c r="R486" s="93">
        <v>2143469.938015</v>
      </c>
      <c r="T486" s="19" t="s">
        <v>6482</v>
      </c>
      <c r="U486" s="19">
        <v>1704</v>
      </c>
      <c r="V486" s="115">
        <v>2104.0605820000001</v>
      </c>
      <c r="W486" s="115">
        <f t="shared" si="98"/>
        <v>3585319.2317280001</v>
      </c>
      <c r="X486" s="261" t="s">
        <v>5103</v>
      </c>
      <c r="Z486" t="s">
        <v>25</v>
      </c>
      <c r="AA486" t="s">
        <v>25</v>
      </c>
      <c r="AH486" s="20"/>
      <c r="AI486" s="20"/>
      <c r="AJ486" s="115"/>
      <c r="AK486" s="20"/>
      <c r="AL486" s="20">
        <f t="shared" si="117"/>
        <v>0</v>
      </c>
      <c r="AM486" s="20">
        <f t="shared" si="118"/>
        <v>0</v>
      </c>
      <c r="AN486" s="20"/>
    </row>
    <row r="487" spans="17:45">
      <c r="Q487" s="97" t="s">
        <v>5729</v>
      </c>
      <c r="R487" s="93">
        <v>3085460.5177150001</v>
      </c>
      <c r="T487" s="19" t="s">
        <v>6485</v>
      </c>
      <c r="U487" s="19">
        <v>324</v>
      </c>
      <c r="V487" s="115">
        <v>2088.5824040000002</v>
      </c>
      <c r="W487" s="115">
        <f t="shared" si="98"/>
        <v>676700.69889600005</v>
      </c>
      <c r="X487" s="261" t="s">
        <v>5103</v>
      </c>
      <c r="Y487" t="s">
        <v>25</v>
      </c>
      <c r="Z487" t="s">
        <v>25</v>
      </c>
      <c r="AA487" t="s">
        <v>25</v>
      </c>
      <c r="AH487" s="97"/>
      <c r="AI487" s="97"/>
      <c r="AJ487" s="115"/>
      <c r="AK487" s="97"/>
      <c r="AL487" s="20">
        <f t="shared" si="117"/>
        <v>0</v>
      </c>
      <c r="AM487" s="20">
        <f t="shared" si="118"/>
        <v>0</v>
      </c>
      <c r="AN487" s="20"/>
    </row>
    <row r="488" spans="17:45">
      <c r="Q488" s="97" t="s">
        <v>5731</v>
      </c>
      <c r="R488" s="93">
        <v>8261456.790906</v>
      </c>
      <c r="T488" s="19" t="s">
        <v>6494</v>
      </c>
      <c r="U488" s="19">
        <v>538</v>
      </c>
      <c r="V488" s="115">
        <v>2055.3485930000002</v>
      </c>
      <c r="W488" s="115">
        <f t="shared" si="98"/>
        <v>1105777.5430340001</v>
      </c>
      <c r="X488" s="261" t="s">
        <v>5103</v>
      </c>
      <c r="Y488" t="s">
        <v>25</v>
      </c>
      <c r="AH488" s="97"/>
      <c r="AI488" s="97"/>
      <c r="AJ488" s="115"/>
      <c r="AK488" s="97"/>
      <c r="AL488" s="20">
        <f t="shared" si="113"/>
        <v>0</v>
      </c>
      <c r="AM488" s="20">
        <f t="shared" si="114"/>
        <v>0</v>
      </c>
      <c r="AN488" s="97"/>
    </row>
    <row r="489" spans="17:45">
      <c r="Q489" s="97" t="s">
        <v>5735</v>
      </c>
      <c r="R489" s="93">
        <v>6572373.7593120001</v>
      </c>
      <c r="T489" s="19" t="s">
        <v>6498</v>
      </c>
      <c r="U489" s="19">
        <v>1031</v>
      </c>
      <c r="V489" s="115">
        <v>2245.620621</v>
      </c>
      <c r="W489" s="115">
        <f t="shared" si="98"/>
        <v>2315234.8602510002</v>
      </c>
      <c r="X489" s="261" t="s">
        <v>5103</v>
      </c>
      <c r="Y489" t="s">
        <v>25</v>
      </c>
      <c r="AA489" t="s">
        <v>25</v>
      </c>
      <c r="AH489" s="97"/>
      <c r="AI489" s="97"/>
      <c r="AJ489" s="93">
        <f>SUM(AJ292:AJ488)</f>
        <v>206875387.84822798</v>
      </c>
      <c r="AK489" s="97"/>
      <c r="AL489" s="97"/>
      <c r="AM489" s="97">
        <f>SUM(AM292:AM488)</f>
        <v>218939463030</v>
      </c>
      <c r="AN489" s="93">
        <f>AM489*AN278/31</f>
        <v>117711742.91358097</v>
      </c>
    </row>
    <row r="490" spans="17:45">
      <c r="Q490" s="97" t="s">
        <v>5736</v>
      </c>
      <c r="R490" s="93">
        <v>2893243.5730909999</v>
      </c>
      <c r="T490" s="19" t="s">
        <v>6500</v>
      </c>
      <c r="U490" s="19">
        <v>1804</v>
      </c>
      <c r="V490" s="115">
        <v>2292.882846</v>
      </c>
      <c r="W490" s="115">
        <f t="shared" si="98"/>
        <v>4136360.6541840001</v>
      </c>
      <c r="X490" s="261" t="s">
        <v>5103</v>
      </c>
      <c r="AA490" t="s">
        <v>25</v>
      </c>
      <c r="AJ490" t="s">
        <v>4041</v>
      </c>
      <c r="AM490" t="s">
        <v>284</v>
      </c>
      <c r="AN490" t="s">
        <v>926</v>
      </c>
    </row>
    <row r="491" spans="17:45">
      <c r="Q491" s="97" t="s">
        <v>5742</v>
      </c>
      <c r="R491" s="93">
        <v>94992058.939007998</v>
      </c>
      <c r="T491" s="19" t="s">
        <v>6502</v>
      </c>
      <c r="U491" s="19">
        <v>1348</v>
      </c>
      <c r="V491" s="115">
        <v>2252.0137020000002</v>
      </c>
      <c r="W491" s="115">
        <f t="shared" si="98"/>
        <v>3035714.4702960001</v>
      </c>
      <c r="X491" s="261" t="s">
        <v>5103</v>
      </c>
      <c r="AS491" t="s">
        <v>25</v>
      </c>
    </row>
    <row r="492" spans="17:45">
      <c r="Q492" s="97" t="s">
        <v>5749</v>
      </c>
      <c r="R492" s="93">
        <v>275021.925965</v>
      </c>
      <c r="T492" s="19" t="s">
        <v>6513</v>
      </c>
      <c r="U492" s="19">
        <v>-76536</v>
      </c>
      <c r="V492" s="115">
        <v>2350.6086869999999</v>
      </c>
      <c r="W492" s="115">
        <f t="shared" si="98"/>
        <v>-179906186.46823201</v>
      </c>
      <c r="X492" s="261" t="s">
        <v>6516</v>
      </c>
      <c r="AI492" t="s">
        <v>4043</v>
      </c>
      <c r="AJ492" s="112">
        <f>AJ489+AN489</f>
        <v>324587130.76180893</v>
      </c>
      <c r="AM492" t="s">
        <v>25</v>
      </c>
    </row>
    <row r="493" spans="17:45">
      <c r="Q493" s="97" t="s">
        <v>5761</v>
      </c>
      <c r="R493" s="93">
        <v>327451.9203</v>
      </c>
      <c r="T493" s="19" t="s">
        <v>6519</v>
      </c>
      <c r="U493" s="19">
        <v>145</v>
      </c>
      <c r="V493" s="115">
        <v>2379.7882030000001</v>
      </c>
      <c r="W493" s="115">
        <f t="shared" si="98"/>
        <v>345069.28943499998</v>
      </c>
      <c r="X493" s="261" t="s">
        <v>5103</v>
      </c>
      <c r="Y493" t="s">
        <v>25</v>
      </c>
      <c r="AA493" t="s">
        <v>25</v>
      </c>
      <c r="AI493" t="s">
        <v>4046</v>
      </c>
      <c r="AJ493" s="112">
        <f>SUM(N20:N33)</f>
        <v>4641853088</v>
      </c>
    </row>
    <row r="494" spans="17:45">
      <c r="Q494" s="97" t="s">
        <v>5770</v>
      </c>
      <c r="R494" s="93">
        <v>260081.94096800001</v>
      </c>
      <c r="T494" s="187" t="s">
        <v>6519</v>
      </c>
      <c r="U494" s="187">
        <v>55</v>
      </c>
      <c r="V494" s="186">
        <v>2379.7882030000001</v>
      </c>
      <c r="W494" s="186">
        <f t="shared" si="98"/>
        <v>130888.351165</v>
      </c>
      <c r="X494" s="260" t="s">
        <v>6606</v>
      </c>
      <c r="Z494" t="s">
        <v>25</v>
      </c>
      <c r="AI494" t="s">
        <v>4116</v>
      </c>
      <c r="AJ494" s="112">
        <f>AJ493-AJ489</f>
        <v>4434977700.1517715</v>
      </c>
    </row>
    <row r="495" spans="17:45">
      <c r="Q495" s="97" t="s">
        <v>5771</v>
      </c>
      <c r="R495" s="93">
        <v>2909284.5308940001</v>
      </c>
      <c r="T495" s="19" t="s">
        <v>6519</v>
      </c>
      <c r="U495" s="19">
        <v>53</v>
      </c>
      <c r="V495" s="115">
        <v>2379.7882030000001</v>
      </c>
      <c r="W495" s="115">
        <f t="shared" si="98"/>
        <v>126128.77475900001</v>
      </c>
      <c r="X495" s="261" t="s">
        <v>6607</v>
      </c>
      <c r="Z495" t="s">
        <v>25</v>
      </c>
      <c r="AB495" t="s">
        <v>25</v>
      </c>
      <c r="AI495" t="s">
        <v>926</v>
      </c>
      <c r="AJ495" s="112">
        <f>AN489</f>
        <v>117711742.91358097</v>
      </c>
    </row>
    <row r="496" spans="17:45">
      <c r="Q496" s="97" t="s">
        <v>5772</v>
      </c>
      <c r="R496" s="93">
        <v>37723205.094084002</v>
      </c>
      <c r="T496" s="19" t="s">
        <v>6612</v>
      </c>
      <c r="U496" s="19">
        <v>243</v>
      </c>
      <c r="V496" s="115">
        <v>2336.5653440000001</v>
      </c>
      <c r="W496" s="115">
        <f t="shared" si="98"/>
        <v>567785.37859199999</v>
      </c>
      <c r="X496" s="261" t="s">
        <v>5103</v>
      </c>
      <c r="AI496" t="s">
        <v>4047</v>
      </c>
      <c r="AJ496" s="112">
        <f>AJ494-AJ495</f>
        <v>4317265957.2381907</v>
      </c>
      <c r="AM496" t="s">
        <v>25</v>
      </c>
      <c r="AN496" t="s">
        <v>25</v>
      </c>
    </row>
    <row r="497" spans="17:40">
      <c r="Q497" s="97" t="s">
        <v>5773</v>
      </c>
      <c r="R497" s="93">
        <v>1500094.75168</v>
      </c>
      <c r="T497" s="19" t="s">
        <v>6624</v>
      </c>
      <c r="U497" s="19">
        <v>81</v>
      </c>
      <c r="V497" s="115">
        <v>2341.77675</v>
      </c>
      <c r="W497" s="115">
        <f t="shared" si="98"/>
        <v>189683.91675</v>
      </c>
      <c r="X497" s="261" t="s">
        <v>5103</v>
      </c>
      <c r="Y497" t="s">
        <v>25</v>
      </c>
      <c r="AL497" t="s">
        <v>25</v>
      </c>
      <c r="AM497" t="s">
        <v>25</v>
      </c>
      <c r="AN497" t="s">
        <v>25</v>
      </c>
    </row>
    <row r="498" spans="17:40">
      <c r="Q498" s="97" t="s">
        <v>5775</v>
      </c>
      <c r="R498" s="93">
        <v>7230628.4378079996</v>
      </c>
      <c r="T498" s="187" t="s">
        <v>6625</v>
      </c>
      <c r="U498" s="187">
        <v>21767</v>
      </c>
      <c r="V498" s="186">
        <v>2297.060872</v>
      </c>
      <c r="W498" s="186">
        <f t="shared" si="98"/>
        <v>50000124.000823997</v>
      </c>
      <c r="X498" s="260" t="s">
        <v>6627</v>
      </c>
    </row>
    <row r="499" spans="17:40">
      <c r="Q499" s="97" t="s">
        <v>5776</v>
      </c>
      <c r="R499" s="93">
        <v>29767389.390390001</v>
      </c>
      <c r="T499" s="19" t="s">
        <v>6625</v>
      </c>
      <c r="U499" s="19">
        <v>4353</v>
      </c>
      <c r="V499" s="115">
        <v>2297.060872</v>
      </c>
      <c r="W499" s="115">
        <f t="shared" si="98"/>
        <v>9999105.9758160003</v>
      </c>
      <c r="X499" s="261" t="s">
        <v>6628</v>
      </c>
      <c r="Z499" t="s">
        <v>25</v>
      </c>
    </row>
    <row r="500" spans="17:40">
      <c r="Q500" s="97" t="s">
        <v>5778</v>
      </c>
      <c r="R500" s="93">
        <v>151560.25597</v>
      </c>
      <c r="T500" s="19" t="s">
        <v>6625</v>
      </c>
      <c r="U500" s="19">
        <v>226</v>
      </c>
      <c r="V500" s="115">
        <v>2297.060872</v>
      </c>
      <c r="W500" s="115">
        <f t="shared" si="98"/>
        <v>519135.75707200001</v>
      </c>
      <c r="X500" s="261" t="s">
        <v>5103</v>
      </c>
      <c r="AA500" t="s">
        <v>25</v>
      </c>
      <c r="AN500" t="s">
        <v>25</v>
      </c>
    </row>
    <row r="501" spans="17:40">
      <c r="Q501" s="97" t="s">
        <v>5781</v>
      </c>
      <c r="R501" s="93">
        <v>481318.88078800001</v>
      </c>
      <c r="T501" s="19" t="s">
        <v>6632</v>
      </c>
      <c r="U501" s="19">
        <v>1416</v>
      </c>
      <c r="V501" s="115">
        <v>2405.6595360000001</v>
      </c>
      <c r="W501" s="115">
        <f t="shared" si="98"/>
        <v>3406413.9029760002</v>
      </c>
      <c r="X501" s="261" t="s">
        <v>5103</v>
      </c>
      <c r="Z501" t="s">
        <v>25</v>
      </c>
      <c r="AB501" t="s">
        <v>25</v>
      </c>
      <c r="AN501" t="s">
        <v>25</v>
      </c>
    </row>
    <row r="502" spans="17:40">
      <c r="Q502" s="97" t="s">
        <v>5793</v>
      </c>
      <c r="R502" s="93">
        <v>146277.56820000001</v>
      </c>
      <c r="T502" s="19" t="s">
        <v>6634</v>
      </c>
      <c r="U502" s="19">
        <v>172</v>
      </c>
      <c r="V502" s="115">
        <v>2529.2810939999999</v>
      </c>
      <c r="W502" s="115">
        <f t="shared" si="98"/>
        <v>435036.348168</v>
      </c>
      <c r="X502" s="261" t="s">
        <v>5103</v>
      </c>
      <c r="Z502" t="s">
        <v>25</v>
      </c>
    </row>
    <row r="503" spans="17:40">
      <c r="Q503" s="97" t="s">
        <v>5796</v>
      </c>
      <c r="R503" s="93">
        <v>424693.40162399999</v>
      </c>
      <c r="T503" s="19" t="s">
        <v>6644</v>
      </c>
      <c r="U503" s="19">
        <v>-3909</v>
      </c>
      <c r="V503" s="115">
        <v>2881.8852230000002</v>
      </c>
      <c r="W503" s="115">
        <f>U503*V503</f>
        <v>-11265289.336707002</v>
      </c>
      <c r="X503" s="261" t="s">
        <v>6645</v>
      </c>
    </row>
    <row r="504" spans="17:40">
      <c r="Q504" s="97" t="s">
        <v>5798</v>
      </c>
      <c r="R504" s="93">
        <v>558320.40202399995</v>
      </c>
      <c r="T504" s="187" t="s">
        <v>6644</v>
      </c>
      <c r="U504" s="187">
        <v>-932</v>
      </c>
      <c r="V504" s="186">
        <v>2881.8852230000002</v>
      </c>
      <c r="W504" s="186">
        <f t="shared" si="98"/>
        <v>-2685917.0278360001</v>
      </c>
      <c r="X504" s="260" t="s">
        <v>6646</v>
      </c>
      <c r="AA504" t="s">
        <v>25</v>
      </c>
      <c r="AB504" t="s">
        <v>25</v>
      </c>
    </row>
    <row r="505" spans="17:40">
      <c r="Q505" s="97" t="s">
        <v>5820</v>
      </c>
      <c r="R505" s="93">
        <v>207642.22201140001</v>
      </c>
      <c r="T505" s="19" t="s">
        <v>6657</v>
      </c>
      <c r="U505" s="19">
        <v>33</v>
      </c>
      <c r="V505" s="115">
        <v>2905.0202519999998</v>
      </c>
      <c r="W505" s="115">
        <f t="shared" si="98"/>
        <v>95865.668315999996</v>
      </c>
      <c r="X505" s="261" t="s">
        <v>4406</v>
      </c>
    </row>
    <row r="506" spans="17:40">
      <c r="Q506" s="97" t="s">
        <v>5820</v>
      </c>
      <c r="R506" s="93">
        <v>33832510.64875</v>
      </c>
      <c r="T506" s="187" t="s">
        <v>6680</v>
      </c>
      <c r="U506" s="187">
        <v>10421</v>
      </c>
      <c r="V506" s="186">
        <v>2780.2819920000002</v>
      </c>
      <c r="W506" s="186">
        <f t="shared" si="98"/>
        <v>28973318.638632003</v>
      </c>
      <c r="X506" s="260" t="s">
        <v>6683</v>
      </c>
      <c r="AB506" t="s">
        <v>25</v>
      </c>
    </row>
    <row r="507" spans="17:40">
      <c r="Q507" s="97" t="s">
        <v>5831</v>
      </c>
      <c r="R507" s="93">
        <v>637977.33504399995</v>
      </c>
      <c r="T507" s="19" t="s">
        <v>6680</v>
      </c>
      <c r="U507" s="19">
        <v>835</v>
      </c>
      <c r="V507" s="115">
        <v>2780.2819920000002</v>
      </c>
      <c r="W507" s="115">
        <f t="shared" si="98"/>
        <v>2321535.4633200001</v>
      </c>
      <c r="X507" s="261" t="s">
        <v>5103</v>
      </c>
    </row>
    <row r="508" spans="17:40">
      <c r="Q508" s="97" t="s">
        <v>5832</v>
      </c>
      <c r="R508" s="93">
        <v>466552.25632400002</v>
      </c>
      <c r="T508" s="19" t="s">
        <v>7011</v>
      </c>
      <c r="U508" s="19">
        <v>410</v>
      </c>
      <c r="V508" s="115">
        <v>2678.4068379999999</v>
      </c>
      <c r="W508" s="115">
        <f t="shared" si="98"/>
        <v>1098146.8035800001</v>
      </c>
      <c r="X508" s="261" t="s">
        <v>5103</v>
      </c>
    </row>
    <row r="509" spans="17:40">
      <c r="Q509" s="97" t="s">
        <v>5833</v>
      </c>
      <c r="R509" s="93">
        <v>149316.98805000001</v>
      </c>
      <c r="T509" s="19" t="s">
        <v>7018</v>
      </c>
      <c r="U509" s="19">
        <v>201</v>
      </c>
      <c r="V509" s="115">
        <v>2688.6794049999999</v>
      </c>
      <c r="W509" s="115">
        <f t="shared" si="98"/>
        <v>540424.560405</v>
      </c>
      <c r="X509" s="261" t="s">
        <v>5103</v>
      </c>
      <c r="Z509" t="s">
        <v>25</v>
      </c>
    </row>
    <row r="510" spans="17:40">
      <c r="Q510" s="97" t="s">
        <v>5833</v>
      </c>
      <c r="R510" s="93">
        <v>189134.85153000001</v>
      </c>
      <c r="T510" s="19" t="s">
        <v>7020</v>
      </c>
      <c r="U510" s="19">
        <v>1133</v>
      </c>
      <c r="V510" s="115">
        <v>2455.1740869999999</v>
      </c>
      <c r="W510" s="115">
        <f t="shared" si="98"/>
        <v>2781712.2405709997</v>
      </c>
      <c r="X510" s="261" t="s">
        <v>5103</v>
      </c>
      <c r="Z510" t="s">
        <v>25</v>
      </c>
      <c r="AA510" t="s">
        <v>25</v>
      </c>
    </row>
    <row r="511" spans="17:40" ht="30">
      <c r="Q511" s="97" t="s">
        <v>5835</v>
      </c>
      <c r="R511" s="93">
        <v>564888.82799599995</v>
      </c>
      <c r="T511" s="19" t="s">
        <v>7025</v>
      </c>
      <c r="U511" s="19">
        <v>59</v>
      </c>
      <c r="V511" s="115">
        <v>2706.4553110000002</v>
      </c>
      <c r="W511" s="115">
        <f t="shared" si="98"/>
        <v>159680.86334900002</v>
      </c>
      <c r="X511" s="261" t="s">
        <v>7026</v>
      </c>
      <c r="Y511" t="s">
        <v>25</v>
      </c>
      <c r="Z511" t="s">
        <v>25</v>
      </c>
    </row>
    <row r="512" spans="17:40">
      <c r="Q512" s="97" t="s">
        <v>5839</v>
      </c>
      <c r="R512" s="93">
        <v>8762299.2047910001</v>
      </c>
      <c r="T512" s="19"/>
      <c r="U512" s="19"/>
      <c r="V512" s="115"/>
      <c r="W512" s="115"/>
      <c r="X512" s="261"/>
    </row>
    <row r="513" spans="15:27">
      <c r="P513" t="s">
        <v>25</v>
      </c>
      <c r="Q513" s="97" t="s">
        <v>5839</v>
      </c>
      <c r="R513" s="93">
        <v>-341847876.93843603</v>
      </c>
      <c r="T513" s="19"/>
      <c r="U513" s="19"/>
      <c r="V513" s="115"/>
      <c r="W513" s="115"/>
      <c r="X513" s="261"/>
    </row>
    <row r="514" spans="15:27">
      <c r="Q514" s="97" t="s">
        <v>5871</v>
      </c>
      <c r="R514" s="93">
        <v>259993.58394100002</v>
      </c>
      <c r="T514" s="19"/>
      <c r="U514" s="19"/>
      <c r="V514" s="115"/>
      <c r="W514" s="115">
        <f t="shared" si="98"/>
        <v>0</v>
      </c>
      <c r="X514" s="261"/>
    </row>
    <row r="515" spans="15:27">
      <c r="Q515" s="97" t="s">
        <v>5873</v>
      </c>
      <c r="R515" s="93">
        <v>269955.31205999997</v>
      </c>
      <c r="T515" s="19"/>
      <c r="U515" s="19"/>
      <c r="V515" s="115"/>
      <c r="W515" s="115">
        <f t="shared" si="98"/>
        <v>0</v>
      </c>
      <c r="X515" s="261"/>
    </row>
    <row r="516" spans="15:27">
      <c r="Q516" s="97" t="s">
        <v>6414</v>
      </c>
      <c r="R516" s="93">
        <v>560534.38387200003</v>
      </c>
      <c r="T516" s="97"/>
      <c r="U516" s="166"/>
      <c r="V516" s="111"/>
      <c r="W516" s="115">
        <f t="shared" si="98"/>
        <v>0</v>
      </c>
      <c r="X516" s="97"/>
    </row>
    <row r="517" spans="15:27">
      <c r="Q517" s="97" t="s">
        <v>6420</v>
      </c>
      <c r="R517" s="93">
        <v>581484.96802499995</v>
      </c>
      <c r="T517" s="166"/>
      <c r="U517" s="166">
        <f>SUM(U169:U516)</f>
        <v>4316495</v>
      </c>
      <c r="V517" s="97"/>
      <c r="W517" s="97"/>
      <c r="X517" s="97"/>
    </row>
    <row r="518" spans="15:27">
      <c r="Q518" s="97" t="s">
        <v>6423</v>
      </c>
      <c r="R518" s="93">
        <v>2136964.3409779998</v>
      </c>
      <c r="T518" s="97"/>
      <c r="U518" s="97" t="s">
        <v>6</v>
      </c>
      <c r="V518" s="97"/>
      <c r="W518" s="97"/>
      <c r="X518" s="97"/>
    </row>
    <row r="519" spans="15:27">
      <c r="Q519" s="97" t="s">
        <v>6427</v>
      </c>
      <c r="R519" s="93">
        <v>593783.22629999998</v>
      </c>
      <c r="T519" s="197" t="s">
        <v>4433</v>
      </c>
      <c r="Z519" t="s">
        <v>25</v>
      </c>
    </row>
    <row r="520" spans="15:27">
      <c r="Q520" s="97" t="s">
        <v>6431</v>
      </c>
      <c r="R520" s="93">
        <v>469469.96222000004</v>
      </c>
      <c r="T520" s="196">
        <f>R185/U517</f>
        <v>2706.4553113116081</v>
      </c>
      <c r="X520" t="s">
        <v>25</v>
      </c>
    </row>
    <row r="521" spans="15:27">
      <c r="Q521" s="97" t="s">
        <v>6474</v>
      </c>
      <c r="R521" s="93">
        <v>73977944.489465997</v>
      </c>
      <c r="W521" s="112"/>
      <c r="AA521" t="s">
        <v>25</v>
      </c>
    </row>
    <row r="522" spans="15:27">
      <c r="Q522" s="97" t="s">
        <v>6479</v>
      </c>
      <c r="R522" s="93">
        <v>570166.40976800001</v>
      </c>
      <c r="U522" s="94" t="s">
        <v>267</v>
      </c>
      <c r="V522" t="s">
        <v>4434</v>
      </c>
      <c r="X522" t="s">
        <v>25</v>
      </c>
    </row>
    <row r="523" spans="15:27">
      <c r="Q523" s="97" t="s">
        <v>6482</v>
      </c>
      <c r="R523" s="93">
        <v>3585319.2317280001</v>
      </c>
      <c r="T523" s="112"/>
      <c r="U523" s="93">
        <v>-161295</v>
      </c>
      <c r="V523">
        <f>U523/T520</f>
        <v>-59.596402470001578</v>
      </c>
      <c r="X523" t="s">
        <v>25</v>
      </c>
      <c r="Y523" t="s">
        <v>25</v>
      </c>
    </row>
    <row r="524" spans="15:27">
      <c r="O524" s="112"/>
      <c r="Q524" s="97" t="s">
        <v>6485</v>
      </c>
      <c r="R524" s="93">
        <v>676700.69889600005</v>
      </c>
      <c r="T524" t="s">
        <v>25</v>
      </c>
      <c r="X524" t="s">
        <v>25</v>
      </c>
    </row>
    <row r="525" spans="15:27">
      <c r="Q525" s="97" t="s">
        <v>6494</v>
      </c>
      <c r="R525" s="93">
        <v>1105777.5430340001</v>
      </c>
      <c r="T525" t="s">
        <v>25</v>
      </c>
      <c r="U525" s="94" t="s">
        <v>25</v>
      </c>
      <c r="V525" s="22"/>
      <c r="W525" s="213"/>
      <c r="X525" s="270" t="s">
        <v>25</v>
      </c>
    </row>
    <row r="526" spans="15:27">
      <c r="Q526" s="97" t="s">
        <v>6498</v>
      </c>
      <c r="R526" s="93">
        <v>2315234.8602510002</v>
      </c>
      <c r="V526" t="s">
        <v>25</v>
      </c>
      <c r="X526" t="s">
        <v>25</v>
      </c>
    </row>
    <row r="527" spans="15:27">
      <c r="Q527" s="97" t="s">
        <v>6500</v>
      </c>
      <c r="R527" s="93">
        <v>4136360.6541840001</v>
      </c>
      <c r="W527" s="112"/>
      <c r="X527" t="s">
        <v>25</v>
      </c>
    </row>
    <row r="528" spans="15:27">
      <c r="Q528" s="97" t="s">
        <v>6502</v>
      </c>
      <c r="R528" s="93">
        <v>3035714.4702960001</v>
      </c>
      <c r="T528" s="22"/>
      <c r="V528" s="213"/>
    </row>
    <row r="529" spans="17:24">
      <c r="Q529" s="97" t="s">
        <v>6513</v>
      </c>
      <c r="R529" s="93">
        <v>-179906186.46823201</v>
      </c>
      <c r="T529" s="22"/>
      <c r="W529" s="270"/>
    </row>
    <row r="530" spans="17:24">
      <c r="Q530" s="97" t="s">
        <v>6519</v>
      </c>
      <c r="R530" s="93">
        <v>345069.28943499998</v>
      </c>
    </row>
    <row r="531" spans="17:24">
      <c r="Q531" s="97" t="s">
        <v>6612</v>
      </c>
      <c r="R531" s="93">
        <v>567785.37859199999</v>
      </c>
    </row>
    <row r="532" spans="17:24">
      <c r="Q532" s="97" t="s">
        <v>6624</v>
      </c>
      <c r="R532" s="93">
        <v>189683.91675</v>
      </c>
      <c r="T532" s="97" t="s">
        <v>4435</v>
      </c>
      <c r="U532" s="97" t="s">
        <v>4416</v>
      </c>
      <c r="V532" s="97" t="s">
        <v>936</v>
      </c>
      <c r="W532" s="422"/>
    </row>
    <row r="533" spans="17:24">
      <c r="Q533" s="97" t="s">
        <v>6625</v>
      </c>
      <c r="R533" s="93">
        <v>10000000</v>
      </c>
      <c r="T533" s="93">
        <f>S238+R306+R548</f>
        <v>2379227281.3347359</v>
      </c>
      <c r="U533" s="93">
        <f>R185</f>
        <v>11682400819</v>
      </c>
      <c r="V533" s="93">
        <f>U533-T533</f>
        <v>9303173537.6652641</v>
      </c>
    </row>
    <row r="534" spans="17:24">
      <c r="Q534" s="97" t="s">
        <v>6625</v>
      </c>
      <c r="R534" s="93">
        <v>519135.75707200001</v>
      </c>
      <c r="W534" s="94" t="s">
        <v>25</v>
      </c>
    </row>
    <row r="535" spans="17:24">
      <c r="Q535" s="97" t="s">
        <v>6632</v>
      </c>
      <c r="R535" s="93">
        <v>3406413.9029760002</v>
      </c>
    </row>
    <row r="536" spans="17:24">
      <c r="Q536" s="97" t="s">
        <v>6634</v>
      </c>
      <c r="R536" s="93">
        <v>435036.348168</v>
      </c>
      <c r="T536" s="112"/>
      <c r="V536" s="112"/>
    </row>
    <row r="537" spans="17:24">
      <c r="Q537" s="97" t="s">
        <v>6680</v>
      </c>
      <c r="R537" s="93">
        <v>2321535.4633200001</v>
      </c>
    </row>
    <row r="538" spans="17:24">
      <c r="Q538" s="97" t="s">
        <v>7011</v>
      </c>
      <c r="R538" s="93">
        <v>1098146.8035800001</v>
      </c>
      <c r="T538" s="112"/>
    </row>
    <row r="539" spans="17:24">
      <c r="Q539" s="97" t="s">
        <v>7018</v>
      </c>
      <c r="R539" s="93">
        <v>540424.560405</v>
      </c>
    </row>
    <row r="540" spans="17:24">
      <c r="Q540" s="97" t="s">
        <v>7020</v>
      </c>
      <c r="R540" s="93">
        <v>2781712.2405709997</v>
      </c>
      <c r="T540" s="112"/>
    </row>
    <row r="541" spans="17:24">
      <c r="Q541" s="97" t="s">
        <v>7025</v>
      </c>
      <c r="R541" s="93">
        <v>159680.86334900002</v>
      </c>
      <c r="T541" t="s">
        <v>25</v>
      </c>
    </row>
    <row r="542" spans="17:24">
      <c r="Q542" s="97"/>
      <c r="R542" s="93"/>
      <c r="T542" t="s">
        <v>25</v>
      </c>
      <c r="X542" s="112"/>
    </row>
    <row r="543" spans="17:24">
      <c r="Q543" s="97"/>
      <c r="R543" s="93"/>
      <c r="W543" s="94" t="s">
        <v>25</v>
      </c>
    </row>
    <row r="544" spans="17:24">
      <c r="Q544" s="97"/>
      <c r="R544" s="93"/>
    </row>
    <row r="545" spans="17:24">
      <c r="Q545" s="97"/>
      <c r="R545" s="93"/>
      <c r="T545" t="s">
        <v>25</v>
      </c>
    </row>
    <row r="546" spans="17:24">
      <c r="Q546" s="97" t="s">
        <v>25</v>
      </c>
      <c r="R546" s="93"/>
      <c r="T546" s="422"/>
      <c r="U546" s="422"/>
      <c r="V546" s="422"/>
    </row>
    <row r="547" spans="17:24">
      <c r="Q547" s="97" t="s">
        <v>25</v>
      </c>
      <c r="R547" s="97" t="s">
        <v>25</v>
      </c>
      <c r="T547" s="422"/>
      <c r="U547" s="422"/>
      <c r="V547" s="422"/>
      <c r="W547" s="94" t="s">
        <v>25</v>
      </c>
    </row>
    <row r="548" spans="17:24">
      <c r="Q548" s="97"/>
      <c r="R548" s="93">
        <f>SUM(R311:R547)</f>
        <v>2066431701.7694731</v>
      </c>
      <c r="T548" s="422"/>
      <c r="U548" s="422"/>
      <c r="V548" s="422"/>
      <c r="X548" t="s">
        <v>25</v>
      </c>
    </row>
    <row r="549" spans="17:24">
      <c r="R549" s="97" t="s">
        <v>6</v>
      </c>
      <c r="T549" s="422"/>
      <c r="U549" s="422"/>
      <c r="V549" s="422"/>
    </row>
    <row r="550" spans="17:24">
      <c r="T550" s="422"/>
      <c r="U550" s="422"/>
      <c r="V550" s="422"/>
    </row>
    <row r="551" spans="17:24">
      <c r="Q551" t="s">
        <v>25</v>
      </c>
      <c r="T551" s="422"/>
      <c r="U551" s="422"/>
      <c r="V551" s="422"/>
    </row>
    <row r="552" spans="17:24">
      <c r="Q552" t="s">
        <v>25</v>
      </c>
      <c r="T552" s="422"/>
      <c r="U552" s="422"/>
      <c r="V552" s="422"/>
    </row>
    <row r="553" spans="17:24">
      <c r="Q553" t="s">
        <v>25</v>
      </c>
      <c r="R553" t="s">
        <v>25</v>
      </c>
      <c r="T553" s="422"/>
      <c r="U553" s="422"/>
      <c r="V553" s="422"/>
    </row>
    <row r="554" spans="17:24">
      <c r="Q554" t="s">
        <v>25</v>
      </c>
      <c r="R554" t="s">
        <v>25</v>
      </c>
      <c r="T554" s="422"/>
      <c r="U554" s="422"/>
      <c r="V554" s="422"/>
    </row>
    <row r="555" spans="17:24">
      <c r="Q555" s="112"/>
      <c r="R555" t="s">
        <v>25</v>
      </c>
      <c r="T555" s="422"/>
      <c r="U555" s="422"/>
      <c r="V555" s="422"/>
    </row>
    <row r="556" spans="17:24">
      <c r="T556" s="422"/>
      <c r="U556" s="422"/>
      <c r="V556" s="422"/>
    </row>
    <row r="557" spans="17:24">
      <c r="R557" t="s">
        <v>25</v>
      </c>
      <c r="T557" s="422"/>
      <c r="U557" s="422"/>
      <c r="V557" s="422"/>
      <c r="X557" t="s">
        <v>25</v>
      </c>
    </row>
    <row r="558" spans="17:24">
      <c r="Q558" t="s">
        <v>25</v>
      </c>
      <c r="T558" s="422"/>
      <c r="U558" s="422"/>
      <c r="V558" s="422"/>
    </row>
    <row r="559" spans="17:24">
      <c r="T559" s="422"/>
      <c r="U559" s="422"/>
      <c r="V559" s="422"/>
    </row>
    <row r="560" spans="17:24">
      <c r="T560" s="422"/>
      <c r="U560" s="422"/>
      <c r="V560" s="422"/>
    </row>
    <row r="562" spans="20:23">
      <c r="T562" s="94"/>
      <c r="V562" s="94"/>
    </row>
    <row r="563" spans="20:23">
      <c r="T563" s="94"/>
      <c r="V563" s="94"/>
      <c r="W563" s="112"/>
    </row>
    <row r="564" spans="20:23">
      <c r="T564" s="94"/>
      <c r="V564" s="94"/>
    </row>
    <row r="565" spans="20:23">
      <c r="T565" s="94"/>
      <c r="V565" s="94"/>
    </row>
    <row r="567" spans="20:23">
      <c r="U567"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1:G1048576 G300:G30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8"/>
  <sheetViews>
    <sheetView zoomScale="80" zoomScaleNormal="80" workbookViewId="0">
      <selection activeCell="G31" sqref="G31:G33"/>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5726</v>
      </c>
      <c r="B1" s="399" t="s">
        <v>4358</v>
      </c>
      <c r="C1" s="295">
        <v>16940</v>
      </c>
      <c r="D1" s="399">
        <v>3336</v>
      </c>
      <c r="E1" s="389" t="s">
        <v>4354</v>
      </c>
      <c r="F1" s="388">
        <v>13604</v>
      </c>
      <c r="G1" s="389">
        <f t="shared" ref="G1:G37" si="0">C1*D1*0.99114/(F1*1.0037158)</f>
        <v>4102.0133326251707</v>
      </c>
      <c r="H1" s="389">
        <f t="shared" ref="H1:H34" si="1">C1/F1</f>
        <v>1.2452219935313142</v>
      </c>
      <c r="I1" s="390">
        <f>$R$5/$R$6</f>
        <v>1.3248081841432224</v>
      </c>
      <c r="J1" s="400">
        <f t="shared" ref="J1:J34" si="2">I1/H1</f>
        <v>1.0639132548455961</v>
      </c>
      <c r="K1" s="32">
        <f t="shared" ref="K1:K35" si="3">(1/J1-1.0256)*100</f>
        <v>-8.5673746195475076</v>
      </c>
      <c r="L1" s="400"/>
      <c r="M1" s="400"/>
      <c r="N1" s="400">
        <v>1</v>
      </c>
      <c r="O1" s="40"/>
      <c r="P1" s="40"/>
      <c r="Q1" s="67" t="s">
        <v>5870</v>
      </c>
      <c r="R1" s="302">
        <v>3025</v>
      </c>
      <c r="S1" s="94" t="s">
        <v>5829</v>
      </c>
      <c r="T1" s="94" t="s">
        <v>5830</v>
      </c>
      <c r="U1" s="94"/>
      <c r="V1" s="94"/>
      <c r="W1" s="94"/>
      <c r="X1" s="5" t="s">
        <v>6434</v>
      </c>
      <c r="Y1" s="5" t="s">
        <v>6435</v>
      </c>
      <c r="Z1" s="5" t="s">
        <v>267</v>
      </c>
      <c r="AA1" s="94"/>
      <c r="AB1" s="94"/>
      <c r="AC1" s="94"/>
    </row>
    <row r="2" spans="1:29" ht="21">
      <c r="A2" s="399" t="s">
        <v>5736</v>
      </c>
      <c r="B2" s="399" t="s">
        <v>4358</v>
      </c>
      <c r="C2" s="295">
        <v>19359</v>
      </c>
      <c r="D2" s="399">
        <v>3498</v>
      </c>
      <c r="E2" s="389" t="s">
        <v>4354</v>
      </c>
      <c r="F2" s="388">
        <v>14680</v>
      </c>
      <c r="G2" s="389">
        <f t="shared" si="0"/>
        <v>4555.1314303341615</v>
      </c>
      <c r="H2" s="389">
        <f t="shared" si="1"/>
        <v>1.3187329700272479</v>
      </c>
      <c r="I2" s="390">
        <f>$R$5/$R$6</f>
        <v>1.3248081841432224</v>
      </c>
      <c r="J2" s="400">
        <f>I2/H2</f>
        <v>1.0046068569255906</v>
      </c>
      <c r="K2" s="32">
        <f t="shared" si="3"/>
        <v>-3.0185731118428816</v>
      </c>
      <c r="L2" s="400" t="s">
        <v>25</v>
      </c>
      <c r="M2" s="400"/>
      <c r="N2" s="400">
        <f>H2/H1</f>
        <v>1.059034434725542</v>
      </c>
      <c r="O2" s="40"/>
      <c r="P2" s="40"/>
      <c r="Q2" s="97" t="s">
        <v>4216</v>
      </c>
      <c r="R2" s="278">
        <v>1510</v>
      </c>
      <c r="S2" s="94">
        <v>80</v>
      </c>
      <c r="T2" s="112">
        <v>1099</v>
      </c>
      <c r="U2" s="94">
        <f>S2/T2</f>
        <v>7.2793448589626927E-2</v>
      </c>
      <c r="V2" s="94"/>
      <c r="W2" s="94"/>
      <c r="X2" s="5" t="s">
        <v>743</v>
      </c>
      <c r="Y2" s="5" t="s">
        <v>6436</v>
      </c>
      <c r="Z2" s="35">
        <v>50000000</v>
      </c>
      <c r="AA2" s="94"/>
      <c r="AB2" s="94"/>
      <c r="AC2" s="94"/>
    </row>
    <row r="3" spans="1:29" ht="21">
      <c r="A3" s="399" t="s">
        <v>5736</v>
      </c>
      <c r="B3" s="399" t="s">
        <v>4358</v>
      </c>
      <c r="C3" s="295">
        <v>19359</v>
      </c>
      <c r="D3" s="399">
        <v>3611</v>
      </c>
      <c r="E3" s="389" t="s">
        <v>4354</v>
      </c>
      <c r="F3" s="388">
        <v>14544</v>
      </c>
      <c r="G3" s="389">
        <f t="shared" si="0"/>
        <v>4746.2519139820852</v>
      </c>
      <c r="H3" s="389">
        <f t="shared" si="1"/>
        <v>1.3310643564356435</v>
      </c>
      <c r="I3" s="390">
        <f>$R$5/$R$6</f>
        <v>1.3248081841432224</v>
      </c>
      <c r="J3" s="400">
        <f t="shared" si="2"/>
        <v>0.99529987242001283</v>
      </c>
      <c r="K3" s="32">
        <f t="shared" si="3"/>
        <v>-2.0877676898964026</v>
      </c>
      <c r="L3" s="400"/>
      <c r="M3" s="400"/>
      <c r="N3" s="400">
        <f>H3/H2</f>
        <v>1.0093509350935093</v>
      </c>
      <c r="O3" s="40"/>
      <c r="P3" s="40"/>
      <c r="Q3" s="97" t="s">
        <v>5267</v>
      </c>
      <c r="R3" s="288">
        <v>1535</v>
      </c>
      <c r="S3" s="113"/>
      <c r="T3" s="113"/>
      <c r="U3" s="113"/>
      <c r="V3" s="113"/>
      <c r="W3" s="113"/>
      <c r="X3" s="5" t="s">
        <v>452</v>
      </c>
      <c r="Y3" s="5" t="s">
        <v>6640</v>
      </c>
      <c r="Z3" s="35">
        <v>60000000</v>
      </c>
      <c r="AA3" s="113"/>
      <c r="AB3" s="113"/>
      <c r="AC3" s="113"/>
    </row>
    <row r="4" spans="1:29" ht="21">
      <c r="A4" s="399" t="s">
        <v>5736</v>
      </c>
      <c r="B4" s="399" t="s">
        <v>4358</v>
      </c>
      <c r="C4" s="295">
        <v>19360.400000000001</v>
      </c>
      <c r="D4" s="399">
        <v>32968</v>
      </c>
      <c r="E4" s="394" t="s">
        <v>4216</v>
      </c>
      <c r="F4" s="391">
        <v>1216</v>
      </c>
      <c r="G4" s="401">
        <f t="shared" si="0"/>
        <v>518319.556570485</v>
      </c>
      <c r="H4" s="392">
        <f t="shared" si="1"/>
        <v>15.92138157894737</v>
      </c>
      <c r="I4" s="393">
        <f>$R$5/$R$2</f>
        <v>17.152317880794701</v>
      </c>
      <c r="J4" s="32">
        <f t="shared" si="2"/>
        <v>1.0773134100042538</v>
      </c>
      <c r="K4" s="32">
        <f t="shared" si="3"/>
        <v>-9.7365012192643814</v>
      </c>
      <c r="L4" s="32"/>
      <c r="M4" s="32"/>
      <c r="N4" s="402">
        <v>1</v>
      </c>
      <c r="O4" s="40"/>
      <c r="P4" s="191"/>
      <c r="Q4" s="97" t="s">
        <v>5812</v>
      </c>
      <c r="R4" s="346">
        <v>1358</v>
      </c>
      <c r="S4" s="113"/>
      <c r="T4" s="113"/>
      <c r="U4" s="113"/>
      <c r="AA4" s="113"/>
      <c r="AB4" s="113"/>
      <c r="AC4" s="113"/>
    </row>
    <row r="5" spans="1:29" ht="21">
      <c r="A5" s="399" t="s">
        <v>5739</v>
      </c>
      <c r="B5" s="399" t="s">
        <v>4358</v>
      </c>
      <c r="C5" s="295">
        <v>19361</v>
      </c>
      <c r="D5" s="399">
        <v>7994</v>
      </c>
      <c r="E5" s="394" t="s">
        <v>4216</v>
      </c>
      <c r="F5" s="391">
        <v>1198</v>
      </c>
      <c r="G5" s="401">
        <f t="shared" si="0"/>
        <v>127573.17191394574</v>
      </c>
      <c r="H5" s="392">
        <f t="shared" si="1"/>
        <v>16.161101836393989</v>
      </c>
      <c r="I5" s="393">
        <f>$R$5/$R$2</f>
        <v>17.152317880794701</v>
      </c>
      <c r="J5" s="32">
        <f t="shared" si="2"/>
        <v>1.0613334446150535</v>
      </c>
      <c r="K5" s="32">
        <f t="shared" si="3"/>
        <v>-8.3389043515253896</v>
      </c>
      <c r="L5" s="32"/>
      <c r="M5" s="32"/>
      <c r="N5" s="402">
        <f>H5/H4</f>
        <v>1.0150564984739514</v>
      </c>
      <c r="O5" s="40"/>
      <c r="P5" s="191"/>
      <c r="Q5" s="97" t="s">
        <v>4358</v>
      </c>
      <c r="R5" s="277">
        <v>25900</v>
      </c>
      <c r="S5" s="113"/>
      <c r="T5" s="113"/>
      <c r="U5" s="113"/>
      <c r="AA5" s="113"/>
      <c r="AB5" s="113"/>
      <c r="AC5" s="113"/>
    </row>
    <row r="6" spans="1:29" ht="21">
      <c r="A6" s="399" t="s">
        <v>5740</v>
      </c>
      <c r="B6" s="399" t="s">
        <v>4358</v>
      </c>
      <c r="C6" s="295">
        <v>19361</v>
      </c>
      <c r="D6" s="399">
        <v>3244</v>
      </c>
      <c r="E6" s="394" t="s">
        <v>4216</v>
      </c>
      <c r="F6" s="391">
        <v>1188</v>
      </c>
      <c r="G6" s="401">
        <f t="shared" si="0"/>
        <v>52205.52081645729</v>
      </c>
      <c r="H6" s="392">
        <f t="shared" si="1"/>
        <v>16.297138047138048</v>
      </c>
      <c r="I6" s="393">
        <f>$R$5/$R$2</f>
        <v>17.152317880794701</v>
      </c>
      <c r="J6" s="32">
        <f t="shared" si="2"/>
        <v>1.0524742338920563</v>
      </c>
      <c r="K6" s="32">
        <f t="shared" si="3"/>
        <v>-7.545797485797479</v>
      </c>
      <c r="L6" s="32"/>
      <c r="M6" s="32"/>
      <c r="N6" s="402">
        <f>H6/H5</f>
        <v>1.0084175084175087</v>
      </c>
      <c r="O6" s="40"/>
      <c r="P6" s="191"/>
      <c r="Q6" s="97" t="s">
        <v>4354</v>
      </c>
      <c r="R6" s="287">
        <v>19550</v>
      </c>
      <c r="S6" s="113"/>
      <c r="T6" s="113"/>
      <c r="U6" s="113"/>
      <c r="X6" s="113"/>
      <c r="Y6" s="113"/>
      <c r="Z6" s="113"/>
      <c r="AA6" s="113"/>
      <c r="AB6" s="113"/>
      <c r="AC6" s="113"/>
    </row>
    <row r="7" spans="1:29" ht="21">
      <c r="A7" s="399" t="s">
        <v>5736</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17.152317880794701</v>
      </c>
      <c r="J7" s="32">
        <f t="shared" ref="J7:J9" si="7">I7/H7</f>
        <v>1.0489500538650027</v>
      </c>
      <c r="K7" s="32">
        <f t="shared" ref="K7:K9" si="8">(1/J7-1.0256)*100</f>
        <v>-7.2265762287383906</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6657</v>
      </c>
      <c r="B8" s="399" t="s">
        <v>4358</v>
      </c>
      <c r="C8" s="295">
        <v>24630.9</v>
      </c>
      <c r="D8" s="399">
        <v>1137</v>
      </c>
      <c r="E8" s="394" t="s">
        <v>4216</v>
      </c>
      <c r="F8" s="391">
        <v>1628</v>
      </c>
      <c r="G8" s="401">
        <f t="shared" si="4"/>
        <v>16986.761456009037</v>
      </c>
      <c r="H8" s="392">
        <f t="shared" si="5"/>
        <v>15.129545454545456</v>
      </c>
      <c r="I8" s="393">
        <f t="shared" si="6"/>
        <v>17.152317880794701</v>
      </c>
      <c r="J8" s="32">
        <f t="shared" si="7"/>
        <v>1.1336968405512495</v>
      </c>
      <c r="K8" s="32">
        <f t="shared" si="8"/>
        <v>-14.352997542997537</v>
      </c>
      <c r="L8" s="32"/>
      <c r="M8" s="32"/>
      <c r="N8" s="402">
        <f t="shared" si="9"/>
        <v>0.92524739978543169</v>
      </c>
      <c r="O8" s="40"/>
      <c r="P8" s="191"/>
      <c r="S8" s="113"/>
      <c r="T8" s="113"/>
      <c r="U8" s="113"/>
      <c r="V8" s="113"/>
      <c r="W8" s="113"/>
      <c r="Y8" t="s">
        <v>25</v>
      </c>
      <c r="AA8" s="113"/>
      <c r="AB8" s="113"/>
      <c r="AC8" s="113"/>
    </row>
    <row r="9" spans="1:29" ht="19.5">
      <c r="A9" s="399" t="s">
        <v>6675</v>
      </c>
      <c r="B9" s="399" t="s">
        <v>4358</v>
      </c>
      <c r="C9" s="295">
        <v>24498.3</v>
      </c>
      <c r="D9" s="399">
        <v>250</v>
      </c>
      <c r="E9" s="394" t="s">
        <v>4216</v>
      </c>
      <c r="F9" s="391">
        <v>1523</v>
      </c>
      <c r="G9" s="401">
        <f t="shared" si="4"/>
        <v>3971.0037468382338</v>
      </c>
      <c r="H9" s="392">
        <f t="shared" si="5"/>
        <v>16.085554826001314</v>
      </c>
      <c r="I9" s="393">
        <f t="shared" si="6"/>
        <v>17.152317880794701</v>
      </c>
      <c r="J9" s="32">
        <f t="shared" si="7"/>
        <v>1.0663180764563389</v>
      </c>
      <c r="K9" s="32">
        <f t="shared" si="8"/>
        <v>-8.7793521727336454</v>
      </c>
      <c r="L9" s="32"/>
      <c r="M9" s="32"/>
      <c r="N9" s="402">
        <f t="shared" si="9"/>
        <v>1.0631882414662126</v>
      </c>
      <c r="O9" s="40"/>
      <c r="P9" s="191"/>
      <c r="Q9" s="351"/>
      <c r="R9" s="351"/>
      <c r="S9" s="113"/>
      <c r="T9" s="113"/>
    </row>
    <row r="10" spans="1:29" ht="19.5">
      <c r="A10" s="399" t="s">
        <v>6677</v>
      </c>
      <c r="B10" s="399" t="s">
        <v>4358</v>
      </c>
      <c r="C10" s="295">
        <v>25196.5</v>
      </c>
      <c r="D10" s="399">
        <v>613</v>
      </c>
      <c r="E10" s="394" t="s">
        <v>4216</v>
      </c>
      <c r="F10" s="391">
        <v>1542</v>
      </c>
      <c r="G10" s="401">
        <f t="shared" si="4"/>
        <v>9891.0081935249291</v>
      </c>
      <c r="H10" s="392">
        <f t="shared" si="5"/>
        <v>16.340142671854736</v>
      </c>
      <c r="I10" s="393">
        <f t="shared" si="6"/>
        <v>17.152317880794701</v>
      </c>
      <c r="J10" s="32">
        <f t="shared" ref="J10" si="10">I10/H10</f>
        <v>1.0497042911589081</v>
      </c>
      <c r="K10" s="32">
        <f t="shared" ref="K10" si="11">(1/J10-1.0256)*100</f>
        <v>-7.2950755424685321</v>
      </c>
      <c r="L10" s="32"/>
      <c r="M10" s="32"/>
      <c r="N10" s="402">
        <f t="shared" ref="N10" si="12">H10/H9</f>
        <v>1.015827110013134</v>
      </c>
      <c r="O10" s="40"/>
      <c r="P10" s="191" t="s">
        <v>25</v>
      </c>
      <c r="Q10" s="113"/>
      <c r="R10" s="113"/>
    </row>
    <row r="11" spans="1:29">
      <c r="A11" s="389" t="s">
        <v>5776</v>
      </c>
      <c r="B11" s="389" t="s">
        <v>4354</v>
      </c>
      <c r="C11" s="388">
        <v>11988</v>
      </c>
      <c r="D11" s="389">
        <v>667</v>
      </c>
      <c r="E11" s="394" t="s">
        <v>4216</v>
      </c>
      <c r="F11" s="391">
        <v>1163</v>
      </c>
      <c r="G11" s="394">
        <f t="shared" si="0"/>
        <v>6789.1764543476174</v>
      </c>
      <c r="H11" s="394">
        <f t="shared" si="1"/>
        <v>10.307824591573517</v>
      </c>
      <c r="I11" s="393">
        <f t="shared" ref="I11:I24" si="13">$R$6/$R$2</f>
        <v>12.947019867549669</v>
      </c>
      <c r="J11" s="400">
        <f>I11/H11</f>
        <v>1.2560380468768988</v>
      </c>
      <c r="K11" s="400">
        <f>(1/J11-1.0256)*100</f>
        <v>-22.944577323396366</v>
      </c>
      <c r="L11" s="400"/>
      <c r="M11" s="400"/>
      <c r="N11" s="400">
        <v>1</v>
      </c>
      <c r="O11" s="40"/>
      <c r="P11" s="191"/>
      <c r="Q11" s="97">
        <v>10000</v>
      </c>
      <c r="R11" s="97">
        <v>9432</v>
      </c>
    </row>
    <row r="12" spans="1:29">
      <c r="A12" s="389" t="s">
        <v>5778</v>
      </c>
      <c r="B12" s="389" t="s">
        <v>4354</v>
      </c>
      <c r="C12" s="388">
        <v>11872</v>
      </c>
      <c r="D12" s="389">
        <v>1116</v>
      </c>
      <c r="E12" s="394" t="s">
        <v>4216</v>
      </c>
      <c r="F12" s="391">
        <v>1142</v>
      </c>
      <c r="G12" s="394">
        <f t="shared" si="0"/>
        <v>11456.348637456234</v>
      </c>
      <c r="H12" s="394">
        <f t="shared" si="1"/>
        <v>10.395796847635728</v>
      </c>
      <c r="I12" s="393">
        <f t="shared" si="13"/>
        <v>12.947019867549669</v>
      </c>
      <c r="J12" s="400">
        <f t="shared" si="2"/>
        <v>1.2454090876635546</v>
      </c>
      <c r="K12" s="400">
        <f t="shared" si="3"/>
        <v>-22.265098516982363</v>
      </c>
      <c r="L12" s="400"/>
      <c r="M12" s="400"/>
      <c r="N12" s="400">
        <f t="shared" ref="N12:N20" si="14">H12/H11</f>
        <v>1.0085345123290248</v>
      </c>
      <c r="O12" s="40"/>
      <c r="P12" s="40" t="s">
        <v>25</v>
      </c>
      <c r="Q12" s="97">
        <f>Q11*R12/R11</f>
        <v>8420.2714164546232</v>
      </c>
      <c r="R12" s="97">
        <v>7942</v>
      </c>
      <c r="S12" s="113"/>
      <c r="X12" t="s">
        <v>25</v>
      </c>
    </row>
    <row r="13" spans="1:29">
      <c r="A13" s="389" t="s">
        <v>5779</v>
      </c>
      <c r="B13" s="389" t="s">
        <v>4354</v>
      </c>
      <c r="C13" s="388">
        <v>11872</v>
      </c>
      <c r="D13" s="389">
        <v>1116</v>
      </c>
      <c r="E13" s="394" t="s">
        <v>4216</v>
      </c>
      <c r="F13" s="391">
        <v>1131</v>
      </c>
      <c r="G13" s="394">
        <f t="shared" si="0"/>
        <v>11567.772010587991</v>
      </c>
      <c r="H13" s="394">
        <f t="shared" si="1"/>
        <v>10.496905393457117</v>
      </c>
      <c r="I13" s="393">
        <f t="shared" si="13"/>
        <v>12.947019867549669</v>
      </c>
      <c r="J13" s="400">
        <f t="shared" si="2"/>
        <v>1.2334130281501579</v>
      </c>
      <c r="K13" s="400">
        <f t="shared" si="3"/>
        <v>-21.48415783058697</v>
      </c>
      <c r="L13" s="400"/>
      <c r="M13" s="400"/>
      <c r="N13" s="400">
        <f t="shared" si="14"/>
        <v>1.0097259062776303</v>
      </c>
      <c r="O13" s="40"/>
      <c r="P13" s="40"/>
      <c r="Q13" s="97">
        <f>Q11-Q12</f>
        <v>1579.7285835453768</v>
      </c>
      <c r="R13" s="97">
        <f>R11-R12</f>
        <v>1490</v>
      </c>
      <c r="S13" s="113"/>
      <c r="U13" t="s">
        <v>25</v>
      </c>
      <c r="W13" t="s">
        <v>25</v>
      </c>
    </row>
    <row r="14" spans="1:29">
      <c r="A14" s="389" t="s">
        <v>5781</v>
      </c>
      <c r="B14" s="389" t="s">
        <v>4354</v>
      </c>
      <c r="C14" s="388">
        <v>11380</v>
      </c>
      <c r="D14" s="389">
        <v>1116</v>
      </c>
      <c r="E14" s="394" t="s">
        <v>4216</v>
      </c>
      <c r="F14" s="391">
        <v>1070</v>
      </c>
      <c r="G14" s="394">
        <f t="shared" si="0"/>
        <v>11720.521122379818</v>
      </c>
      <c r="H14" s="394">
        <f t="shared" si="1"/>
        <v>10.635514018691589</v>
      </c>
      <c r="I14" s="393">
        <f t="shared" si="13"/>
        <v>12.947019867549669</v>
      </c>
      <c r="J14" s="400">
        <f t="shared" si="2"/>
        <v>1.2173384233987825</v>
      </c>
      <c r="K14" s="400">
        <f t="shared" si="3"/>
        <v>-20.413574587087989</v>
      </c>
      <c r="L14" s="400"/>
      <c r="M14" s="400"/>
      <c r="N14" s="400">
        <f t="shared" si="14"/>
        <v>1.013204713202509</v>
      </c>
      <c r="O14" s="40"/>
      <c r="P14" s="40"/>
      <c r="S14" s="113"/>
    </row>
    <row r="15" spans="1:29">
      <c r="A15" s="403" t="s">
        <v>5781</v>
      </c>
      <c r="B15" s="389" t="s">
        <v>4354</v>
      </c>
      <c r="C15" s="388">
        <v>11425</v>
      </c>
      <c r="D15" s="389">
        <v>1116</v>
      </c>
      <c r="E15" s="394" t="s">
        <v>4216</v>
      </c>
      <c r="F15" s="391">
        <v>1083</v>
      </c>
      <c r="G15" s="394">
        <f t="shared" si="0"/>
        <v>11625.62177499628</v>
      </c>
      <c r="H15" s="394">
        <f t="shared" si="1"/>
        <v>10.549399815327794</v>
      </c>
      <c r="I15" s="393">
        <f t="shared" si="13"/>
        <v>12.947019867549669</v>
      </c>
      <c r="J15" s="400">
        <f t="shared" si="2"/>
        <v>1.2272754937904848</v>
      </c>
      <c r="K15" s="400">
        <f t="shared" si="3"/>
        <v>-21.078702193631869</v>
      </c>
      <c r="L15" s="400"/>
      <c r="M15" s="400" t="s">
        <v>25</v>
      </c>
      <c r="N15" s="400">
        <f t="shared" si="14"/>
        <v>0.99190314608090857</v>
      </c>
      <c r="O15" s="40"/>
      <c r="P15" s="40"/>
    </row>
    <row r="16" spans="1:29">
      <c r="A16" s="403" t="s">
        <v>5782</v>
      </c>
      <c r="B16" s="389" t="s">
        <v>4354</v>
      </c>
      <c r="C16" s="388">
        <v>11446</v>
      </c>
      <c r="D16" s="389">
        <v>1763</v>
      </c>
      <c r="E16" s="394" t="s">
        <v>4216</v>
      </c>
      <c r="F16" s="391">
        <v>1058</v>
      </c>
      <c r="G16" s="394">
        <f t="shared" si="0"/>
        <v>18834.089465901357</v>
      </c>
      <c r="H16" s="394">
        <f t="shared" si="1"/>
        <v>10.818525519848771</v>
      </c>
      <c r="I16" s="393">
        <f t="shared" si="13"/>
        <v>12.947019867549669</v>
      </c>
      <c r="J16" s="400">
        <f t="shared" si="2"/>
        <v>1.1967453276137996</v>
      </c>
      <c r="K16" s="400">
        <f t="shared" si="3"/>
        <v>-19.000033069198764</v>
      </c>
      <c r="L16" s="400"/>
      <c r="M16" s="400"/>
      <c r="N16" s="400">
        <f t="shared" si="14"/>
        <v>1.0255109967611571</v>
      </c>
      <c r="O16" s="40"/>
      <c r="P16" s="40"/>
      <c r="U16" t="s">
        <v>25</v>
      </c>
    </row>
    <row r="17" spans="1:26">
      <c r="A17" s="403" t="s">
        <v>5789</v>
      </c>
      <c r="B17" s="389" t="s">
        <v>4354</v>
      </c>
      <c r="C17" s="388">
        <v>11450</v>
      </c>
      <c r="D17" s="389">
        <v>1058</v>
      </c>
      <c r="E17" s="394" t="s">
        <v>4216</v>
      </c>
      <c r="F17" s="391">
        <v>1038</v>
      </c>
      <c r="G17" s="394">
        <f t="shared" si="0"/>
        <v>11524.392569604317</v>
      </c>
      <c r="H17" s="394">
        <f t="shared" si="1"/>
        <v>11.03082851637765</v>
      </c>
      <c r="I17" s="393">
        <f t="shared" si="13"/>
        <v>12.947019867549669</v>
      </c>
      <c r="J17" s="400">
        <f t="shared" si="2"/>
        <v>1.1737123687787385</v>
      </c>
      <c r="K17" s="400">
        <f t="shared" si="3"/>
        <v>-17.360250333860616</v>
      </c>
      <c r="L17" s="400"/>
      <c r="M17" s="400"/>
      <c r="N17" s="400">
        <f t="shared" si="14"/>
        <v>1.019624023268177</v>
      </c>
      <c r="O17" s="40"/>
      <c r="P17" s="40"/>
      <c r="Q17" t="s">
        <v>932</v>
      </c>
      <c r="R17" s="354">
        <v>14635</v>
      </c>
      <c r="S17" s="354">
        <f>R17/0.99114</f>
        <v>14765.825211372763</v>
      </c>
      <c r="T17" s="354"/>
      <c r="U17" s="354">
        <f>S17/1.0127</f>
        <v>14580.650944379149</v>
      </c>
    </row>
    <row r="18" spans="1:26">
      <c r="A18" s="403" t="s">
        <v>5793</v>
      </c>
      <c r="B18" s="389" t="s">
        <v>4354</v>
      </c>
      <c r="C18" s="388">
        <v>11455</v>
      </c>
      <c r="D18" s="389">
        <v>1839</v>
      </c>
      <c r="E18" s="394" t="s">
        <v>4216</v>
      </c>
      <c r="F18" s="391">
        <v>1019</v>
      </c>
      <c r="G18" s="394">
        <f t="shared" si="0"/>
        <v>20413.942241720473</v>
      </c>
      <c r="H18" s="394">
        <f t="shared" si="1"/>
        <v>11.241413150147203</v>
      </c>
      <c r="I18" s="393">
        <f t="shared" si="13"/>
        <v>12.947019867549669</v>
      </c>
      <c r="J18" s="400">
        <f t="shared" si="2"/>
        <v>1.1517252941975655</v>
      </c>
      <c r="K18" s="400">
        <f t="shared" si="3"/>
        <v>-15.733739863313168</v>
      </c>
      <c r="L18" s="400"/>
      <c r="M18" s="400"/>
      <c r="N18" s="400">
        <f t="shared" si="14"/>
        <v>1.0190905545722966</v>
      </c>
      <c r="O18" s="40"/>
      <c r="P18" s="40"/>
      <c r="Q18" t="s">
        <v>61</v>
      </c>
      <c r="R18" s="354">
        <v>15426</v>
      </c>
      <c r="S18" s="354">
        <f>R18/1.0037158</f>
        <v>15368.892270102753</v>
      </c>
      <c r="T18" s="354"/>
      <c r="U18" s="354">
        <f>S18*1.0127</f>
        <v>15564.077201933058</v>
      </c>
    </row>
    <row r="19" spans="1:26">
      <c r="A19" s="403" t="s">
        <v>5793</v>
      </c>
      <c r="B19" s="389" t="s">
        <v>4354</v>
      </c>
      <c r="C19" s="388">
        <v>11565</v>
      </c>
      <c r="D19" s="389">
        <v>3348</v>
      </c>
      <c r="E19" s="394" t="s">
        <v>4216</v>
      </c>
      <c r="F19" s="391">
        <v>1021</v>
      </c>
      <c r="G19" s="394">
        <f t="shared" si="0"/>
        <v>37448.082703028624</v>
      </c>
      <c r="H19" s="394">
        <f t="shared" si="1"/>
        <v>11.327130264446621</v>
      </c>
      <c r="I19" s="393">
        <f t="shared" si="13"/>
        <v>12.947019867549669</v>
      </c>
      <c r="J19" s="400">
        <f t="shared" si="2"/>
        <v>1.1430097090158418</v>
      </c>
      <c r="K19" s="400">
        <f t="shared" si="3"/>
        <v>-15.07167928739438</v>
      </c>
      <c r="L19" s="400"/>
      <c r="M19" s="400"/>
      <c r="N19" s="400">
        <f t="shared" si="14"/>
        <v>1.0076251191157668</v>
      </c>
      <c r="O19" s="40"/>
      <c r="P19" s="40"/>
      <c r="Q19" t="s">
        <v>6623</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12.947019867549669</v>
      </c>
      <c r="J20" s="400">
        <f>I20/H20</f>
        <v>1.1219766361844639</v>
      </c>
      <c r="K20" s="400">
        <f t="shared" si="3"/>
        <v>-13.431584331673175</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5831</v>
      </c>
      <c r="B21" s="389" t="s">
        <v>4354</v>
      </c>
      <c r="C21" s="388">
        <v>14504</v>
      </c>
      <c r="D21" s="389">
        <v>6127</v>
      </c>
      <c r="E21" s="394" t="s">
        <v>4216</v>
      </c>
      <c r="F21" s="391">
        <v>1179.0999999999999</v>
      </c>
      <c r="G21" s="394">
        <f t="shared" si="0"/>
        <v>74423.360289252698</v>
      </c>
      <c r="H21" s="394">
        <f t="shared" si="1"/>
        <v>12.300907471800526</v>
      </c>
      <c r="I21" s="393">
        <f t="shared" si="13"/>
        <v>12.947019867549669</v>
      </c>
      <c r="J21" s="400">
        <f t="shared" si="2"/>
        <v>1.0525255878259663</v>
      </c>
      <c r="K21" s="400">
        <f t="shared" si="3"/>
        <v>-7.5504333380112971</v>
      </c>
      <c r="L21" s="400"/>
      <c r="M21" s="400"/>
      <c r="N21" s="400">
        <f>H21/H20</f>
        <v>1.065985140087617</v>
      </c>
      <c r="O21" s="40"/>
      <c r="P21" s="40"/>
      <c r="W21" t="s">
        <v>25</v>
      </c>
    </row>
    <row r="22" spans="1:26">
      <c r="A22" s="403" t="s">
        <v>6486</v>
      </c>
      <c r="B22" s="389" t="s">
        <v>4354</v>
      </c>
      <c r="C22" s="388">
        <v>14171</v>
      </c>
      <c r="D22" s="389">
        <v>2105</v>
      </c>
      <c r="E22" s="394" t="s">
        <v>4216</v>
      </c>
      <c r="F22" s="391">
        <v>1155</v>
      </c>
      <c r="G22" s="394">
        <f t="shared" si="0"/>
        <v>25503.210580255756</v>
      </c>
      <c r="H22" s="394">
        <f t="shared" si="1"/>
        <v>12.26926406926407</v>
      </c>
      <c r="I22" s="393">
        <f t="shared" si="13"/>
        <v>12.947019867549669</v>
      </c>
      <c r="J22" s="400">
        <f>I22/H22</f>
        <v>1.0552401345720039</v>
      </c>
      <c r="K22" s="400">
        <f t="shared" ref="K22" si="15">(1/J22-1.0256)*100</f>
        <v>-7.7948401811317458</v>
      </c>
      <c r="L22" s="400"/>
      <c r="M22" s="400"/>
      <c r="N22" s="400">
        <f>H22/H21</f>
        <v>0.99742755543775952</v>
      </c>
      <c r="O22" s="40"/>
      <c r="P22" s="40"/>
    </row>
    <row r="23" spans="1:26">
      <c r="A23" s="403" t="s">
        <v>6502</v>
      </c>
      <c r="B23" s="389" t="s">
        <v>4354</v>
      </c>
      <c r="C23" s="388">
        <v>15584</v>
      </c>
      <c r="D23" s="389">
        <v>4776</v>
      </c>
      <c r="E23" s="394" t="s">
        <v>4216</v>
      </c>
      <c r="F23" s="391">
        <v>1253</v>
      </c>
      <c r="G23" s="394">
        <f t="shared" si="0"/>
        <v>58656.538391993388</v>
      </c>
      <c r="H23" s="394">
        <f t="shared" si="1"/>
        <v>12.437350359138069</v>
      </c>
      <c r="I23" s="393">
        <f t="shared" si="13"/>
        <v>12.947019867549669</v>
      </c>
      <c r="J23" s="400">
        <f t="shared" ref="J23:J24" si="16">I23/H23</f>
        <v>1.0409789459727756</v>
      </c>
      <c r="K23" s="400">
        <f t="shared" ref="K23:K24" si="17">(1/J23-1.0256)*100</f>
        <v>-6.496577788754565</v>
      </c>
      <c r="L23" s="400"/>
      <c r="M23" s="400"/>
      <c r="N23" s="400">
        <f t="shared" ref="N23:N24" si="18">H23/H22</f>
        <v>1.0136997858164187</v>
      </c>
      <c r="O23" s="40"/>
      <c r="P23" s="40"/>
      <c r="R23" s="352"/>
      <c r="T23" s="353"/>
      <c r="W23" s="353"/>
    </row>
    <row r="24" spans="1:26">
      <c r="A24" s="403" t="s">
        <v>6513</v>
      </c>
      <c r="B24" s="389" t="s">
        <v>4354</v>
      </c>
      <c r="C24" s="388">
        <v>16011</v>
      </c>
      <c r="D24" s="389">
        <v>1875</v>
      </c>
      <c r="E24" s="394" t="s">
        <v>4216</v>
      </c>
      <c r="F24" s="391">
        <v>1275</v>
      </c>
      <c r="G24" s="394">
        <f t="shared" si="0"/>
        <v>23250.57981903783</v>
      </c>
      <c r="H24" s="394">
        <f t="shared" si="1"/>
        <v>12.55764705882353</v>
      </c>
      <c r="I24" s="393">
        <f t="shared" si="13"/>
        <v>12.947019867549669</v>
      </c>
      <c r="J24" s="400">
        <f t="shared" si="16"/>
        <v>1.0310068285007699</v>
      </c>
      <c r="K24" s="400">
        <f t="shared" si="17"/>
        <v>-5.5674319241763133</v>
      </c>
      <c r="L24" s="400"/>
      <c r="M24" s="400"/>
      <c r="N24" s="400">
        <f t="shared" si="18"/>
        <v>1.0096722128276363</v>
      </c>
      <c r="O24" s="40"/>
      <c r="P24" s="40"/>
      <c r="Q24" s="94" t="s">
        <v>25</v>
      </c>
      <c r="R24" s="385"/>
      <c r="T24" s="353"/>
      <c r="U24" s="353"/>
      <c r="W24" s="353"/>
      <c r="Z24" s="353"/>
    </row>
    <row r="25" spans="1:26">
      <c r="A25" s="404" t="s">
        <v>6495</v>
      </c>
      <c r="B25" s="394" t="s">
        <v>4216</v>
      </c>
      <c r="C25" s="391">
        <v>1205</v>
      </c>
      <c r="D25" s="394">
        <v>11869</v>
      </c>
      <c r="E25" s="396" t="s">
        <v>5267</v>
      </c>
      <c r="F25" s="395">
        <v>1342.3</v>
      </c>
      <c r="G25" s="396">
        <f t="shared" ref="G25:G33" si="19">C25*D25*0.99114/(F25*1.0037158)</f>
        <v>10521.455664099438</v>
      </c>
      <c r="H25" s="396">
        <f t="shared" ref="H25:H33" si="20">C25/F25</f>
        <v>0.89771288087610823</v>
      </c>
      <c r="I25" s="397">
        <f t="shared" ref="I25:I33" si="21">$R$2/$R$3</f>
        <v>0.98371335504885993</v>
      </c>
      <c r="J25" s="400">
        <f t="shared" ref="J25:J26" si="22">I25/H25</f>
        <v>1.0957995323502776</v>
      </c>
      <c r="K25" s="400">
        <f>(1/J25-1.0256)*100</f>
        <v>-11.302432308289657</v>
      </c>
      <c r="L25" s="400"/>
      <c r="M25" s="400"/>
      <c r="N25" s="400">
        <f>1</f>
        <v>1</v>
      </c>
      <c r="O25" s="405">
        <f t="shared" ref="O25:O27" si="23">F25-C25</f>
        <v>137.29999999999995</v>
      </c>
      <c r="P25" s="405">
        <f>R3-R2</f>
        <v>25</v>
      </c>
      <c r="R25" s="385"/>
      <c r="T25" s="353"/>
      <c r="U25" s="353"/>
      <c r="V25" t="s">
        <v>25</v>
      </c>
      <c r="W25" s="353" t="s">
        <v>25</v>
      </c>
      <c r="Z25" s="353"/>
    </row>
    <row r="26" spans="1:26">
      <c r="A26" s="404" t="s">
        <v>6498</v>
      </c>
      <c r="B26" s="394" t="s">
        <v>4216</v>
      </c>
      <c r="C26" s="391">
        <v>1225</v>
      </c>
      <c r="D26" s="394">
        <v>54062</v>
      </c>
      <c r="E26" s="396" t="s">
        <v>5267</v>
      </c>
      <c r="F26" s="395">
        <v>1351.99</v>
      </c>
      <c r="G26" s="396">
        <f t="shared" si="19"/>
        <v>48370.319990677061</v>
      </c>
      <c r="H26" s="396">
        <f t="shared" si="20"/>
        <v>0.90607179047182296</v>
      </c>
      <c r="I26" s="397">
        <f t="shared" si="21"/>
        <v>0.98371335504885993</v>
      </c>
      <c r="J26" s="400">
        <f t="shared" si="22"/>
        <v>1.0856903011367414</v>
      </c>
      <c r="K26" s="400">
        <f>(1/J26-1.0256)*100</f>
        <v>-10.452702094420651</v>
      </c>
      <c r="L26" s="400"/>
      <c r="M26" s="400"/>
      <c r="N26" s="400">
        <f>H26/H25</f>
        <v>1.0093113397098157</v>
      </c>
      <c r="O26" s="405">
        <f t="shared" si="23"/>
        <v>126.99000000000001</v>
      </c>
      <c r="P26" s="405"/>
      <c r="R26" s="385"/>
      <c r="T26" s="353"/>
      <c r="U26" s="353"/>
      <c r="W26" s="353"/>
      <c r="Z26" s="353"/>
    </row>
    <row r="27" spans="1:26">
      <c r="A27" s="404" t="s">
        <v>6500</v>
      </c>
      <c r="B27" s="394" t="s">
        <v>4216</v>
      </c>
      <c r="C27" s="391">
        <v>1299.2</v>
      </c>
      <c r="D27" s="394">
        <v>183853</v>
      </c>
      <c r="E27" s="396" t="s">
        <v>5267</v>
      </c>
      <c r="F27" s="395">
        <v>1403</v>
      </c>
      <c r="G27" s="396">
        <f t="shared" si="19"/>
        <v>168117.64764379043</v>
      </c>
      <c r="H27" s="396">
        <f t="shared" si="20"/>
        <v>0.92601568068424811</v>
      </c>
      <c r="I27" s="397">
        <f t="shared" si="21"/>
        <v>0.98371335504885993</v>
      </c>
      <c r="J27" s="400">
        <f t="shared" ref="J27" si="24">I27/H27</f>
        <v>1.0623074485325972</v>
      </c>
      <c r="K27" s="400">
        <f t="shared" ref="K27" si="25">(1/J27-1.0256)*100</f>
        <v>-8.4252933873959712</v>
      </c>
      <c r="L27" s="400"/>
      <c r="M27" s="400"/>
      <c r="N27" s="400">
        <f t="shared" ref="N27" si="26">H27/H26</f>
        <v>1.0220113796965686</v>
      </c>
      <c r="O27" s="405">
        <f t="shared" si="23"/>
        <v>103.79999999999995</v>
      </c>
      <c r="P27" s="40"/>
      <c r="Q27" t="s">
        <v>25</v>
      </c>
      <c r="R27" s="384"/>
      <c r="T27" s="353"/>
      <c r="W27" s="353"/>
      <c r="Y27" s="353"/>
    </row>
    <row r="28" spans="1:26">
      <c r="A28" s="404" t="s">
        <v>6500</v>
      </c>
      <c r="B28" s="394" t="s">
        <v>4216</v>
      </c>
      <c r="C28" s="391">
        <v>1307</v>
      </c>
      <c r="D28" s="394">
        <v>253107</v>
      </c>
      <c r="E28" s="396" t="s">
        <v>5267</v>
      </c>
      <c r="F28" s="395">
        <v>1386.7</v>
      </c>
      <c r="G28" s="396">
        <f t="shared" si="19"/>
        <v>235570.80782387382</v>
      </c>
      <c r="H28" s="396">
        <f t="shared" si="20"/>
        <v>0.94252542006201767</v>
      </c>
      <c r="I28" s="397">
        <f t="shared" si="21"/>
        <v>0.98371335504885993</v>
      </c>
      <c r="J28" s="400">
        <f t="shared" ref="J28" si="27">I28/H28</f>
        <v>1.0436995481608677</v>
      </c>
      <c r="K28" s="400">
        <f t="shared" ref="K28" si="28">(1/J28-1.0256)*100</f>
        <v>-6.7469854440266879</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20">
        <f t="shared" si="20"/>
        <v>0.9438280080652145</v>
      </c>
      <c r="I29" s="397">
        <f t="shared" si="21"/>
        <v>0.98371335504885993</v>
      </c>
      <c r="J29" s="400">
        <f t="shared" ref="J29" si="31">I29/H29</f>
        <v>1.0422591262844676</v>
      </c>
      <c r="K29" s="400">
        <f t="shared" ref="K29:K30" si="32">(1/J29-1.0256)*100</f>
        <v>-6.6145700410527031</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7017</v>
      </c>
      <c r="B30" s="394" t="s">
        <v>4216</v>
      </c>
      <c r="C30" s="391">
        <v>1470</v>
      </c>
      <c r="D30" s="394">
        <v>100000</v>
      </c>
      <c r="E30" s="396" t="s">
        <v>5267</v>
      </c>
      <c r="F30" s="395">
        <v>1553</v>
      </c>
      <c r="G30" s="396">
        <f t="shared" si="19"/>
        <v>93469.543564806183</v>
      </c>
      <c r="H30" s="420">
        <f t="shared" si="20"/>
        <v>0.94655505473277524</v>
      </c>
      <c r="I30" s="397">
        <f t="shared" si="21"/>
        <v>0.98371335504885993</v>
      </c>
      <c r="J30" s="400">
        <f>I30/H30</f>
        <v>1.0392563540074011</v>
      </c>
      <c r="K30" s="400">
        <f t="shared" si="32"/>
        <v>-6.337350396370212</v>
      </c>
      <c r="L30" s="400"/>
      <c r="M30" s="400"/>
      <c r="N30" s="400">
        <f t="shared" si="33"/>
        <v>1.0028893470465567</v>
      </c>
      <c r="O30" s="405">
        <f>F30-C30</f>
        <v>83</v>
      </c>
      <c r="P30" s="40"/>
      <c r="R30" s="352" t="s">
        <v>25</v>
      </c>
      <c r="S30" s="352" t="s">
        <v>25</v>
      </c>
      <c r="T30" s="353" t="s">
        <v>25</v>
      </c>
      <c r="U30" t="s">
        <v>25</v>
      </c>
      <c r="W30" s="353"/>
      <c r="Y30" s="353"/>
    </row>
    <row r="31" spans="1:26" ht="18.75">
      <c r="A31" s="404" t="s">
        <v>7025</v>
      </c>
      <c r="B31" s="394" t="s">
        <v>4216</v>
      </c>
      <c r="C31" s="391">
        <v>1476.58</v>
      </c>
      <c r="D31" s="394">
        <v>140000</v>
      </c>
      <c r="E31" s="396" t="s">
        <v>5267</v>
      </c>
      <c r="F31" s="395">
        <v>1536.8889999999999</v>
      </c>
      <c r="G31" s="396">
        <f t="shared" si="19"/>
        <v>132821.00378048132</v>
      </c>
      <c r="H31" s="420">
        <f t="shared" si="20"/>
        <v>0.96075903985258537</v>
      </c>
      <c r="I31" s="397">
        <f t="shared" si="21"/>
        <v>0.98371335504885993</v>
      </c>
      <c r="J31" s="400">
        <f t="shared" ref="J31:J33" si="34">I31/H31</f>
        <v>1.0238918545068247</v>
      </c>
      <c r="K31" s="400">
        <f t="shared" ref="K31:K33" si="35">(1/J31-1.0256)*100</f>
        <v>-4.893435352733877</v>
      </c>
      <c r="L31" s="400"/>
      <c r="M31" s="400"/>
      <c r="N31" s="400">
        <f t="shared" ref="N31:N33" si="36">H31/H30</f>
        <v>1.0150059788374592</v>
      </c>
      <c r="O31" s="405">
        <f t="shared" ref="O31:O33" si="37">F31-C31</f>
        <v>60.308999999999969</v>
      </c>
      <c r="P31" s="40"/>
      <c r="Q31" s="112"/>
      <c r="R31" s="352" t="s">
        <v>25</v>
      </c>
      <c r="S31" t="s">
        <v>25</v>
      </c>
      <c r="T31" s="353" t="s">
        <v>25</v>
      </c>
      <c r="W31" s="353"/>
      <c r="Y31" s="353"/>
    </row>
    <row r="32" spans="1:26" ht="18.75">
      <c r="A32" s="404" t="s">
        <v>7025</v>
      </c>
      <c r="B32" s="394" t="s">
        <v>4216</v>
      </c>
      <c r="C32" s="391">
        <v>1500</v>
      </c>
      <c r="D32" s="394">
        <v>477049</v>
      </c>
      <c r="E32" s="396" t="s">
        <v>5267</v>
      </c>
      <c r="F32" s="395">
        <v>1532.9739999999999</v>
      </c>
      <c r="G32" s="396">
        <f t="shared" si="19"/>
        <v>460939.26259420923</v>
      </c>
      <c r="H32" s="420">
        <f t="shared" si="20"/>
        <v>0.97849017661095361</v>
      </c>
      <c r="I32" s="397">
        <f t="shared" si="21"/>
        <v>0.98371335504885993</v>
      </c>
      <c r="J32" s="400">
        <f t="shared" si="34"/>
        <v>1.0053379978284473</v>
      </c>
      <c r="K32" s="400">
        <f t="shared" si="35"/>
        <v>-3.0909654902110173</v>
      </c>
      <c r="L32" s="400"/>
      <c r="M32" s="400"/>
      <c r="N32" s="400">
        <f t="shared" si="36"/>
        <v>1.0184553421023119</v>
      </c>
      <c r="O32" s="405">
        <f t="shared" si="37"/>
        <v>32.973999999999933</v>
      </c>
      <c r="P32" s="40"/>
      <c r="Q32" t="s">
        <v>25</v>
      </c>
      <c r="R32" s="352" t="s">
        <v>25</v>
      </c>
      <c r="S32" t="s">
        <v>25</v>
      </c>
      <c r="T32" s="353"/>
      <c r="U32" t="s">
        <v>25</v>
      </c>
      <c r="V32" t="s">
        <v>25</v>
      </c>
      <c r="W32" s="353"/>
      <c r="Y32" s="353"/>
    </row>
    <row r="33" spans="1:25" ht="18.75">
      <c r="A33" s="404" t="s">
        <v>7025</v>
      </c>
      <c r="B33" s="394" t="s">
        <v>4216</v>
      </c>
      <c r="C33" s="391">
        <v>1521</v>
      </c>
      <c r="D33" s="394">
        <v>80000</v>
      </c>
      <c r="E33" s="396" t="s">
        <v>5267</v>
      </c>
      <c r="F33" s="395">
        <v>1524.8</v>
      </c>
      <c r="G33" s="396">
        <f t="shared" si="19"/>
        <v>78800.788044376532</v>
      </c>
      <c r="H33" s="420">
        <f t="shared" si="20"/>
        <v>0.99750786988457507</v>
      </c>
      <c r="I33" s="397">
        <f t="shared" si="21"/>
        <v>0.98371335504885993</v>
      </c>
      <c r="J33" s="400">
        <f t="shared" si="34"/>
        <v>0.98617102155062564</v>
      </c>
      <c r="K33" s="400">
        <f t="shared" si="35"/>
        <v>-1.1577099157071169</v>
      </c>
      <c r="L33" s="400"/>
      <c r="M33" s="400"/>
      <c r="N33" s="400">
        <f t="shared" si="36"/>
        <v>1.0194357528856244</v>
      </c>
      <c r="O33" s="405">
        <f t="shared" si="37"/>
        <v>3.7999999999999545</v>
      </c>
      <c r="P33" s="40"/>
      <c r="Q33" t="s">
        <v>25</v>
      </c>
      <c r="R33" s="421"/>
      <c r="S33" t="s">
        <v>25</v>
      </c>
      <c r="T33" s="353"/>
      <c r="W33" s="353"/>
      <c r="Y33" s="353"/>
    </row>
    <row r="34" spans="1:25">
      <c r="A34" s="389" t="s">
        <v>5781</v>
      </c>
      <c r="B34" s="389" t="s">
        <v>4354</v>
      </c>
      <c r="C34" s="388">
        <v>11624</v>
      </c>
      <c r="D34" s="389">
        <v>8930</v>
      </c>
      <c r="E34" s="396" t="s">
        <v>6630</v>
      </c>
      <c r="F34" s="395">
        <v>1266.3</v>
      </c>
      <c r="G34" s="396">
        <f t="shared" si="0"/>
        <v>80945.870190320566</v>
      </c>
      <c r="H34" s="396">
        <f t="shared" si="1"/>
        <v>9.1794993287530602</v>
      </c>
      <c r="I34" s="396">
        <f>$R$6/$R$3</f>
        <v>12.73615635179153</v>
      </c>
      <c r="J34" s="32">
        <f t="shared" si="2"/>
        <v>1.3874565371880261</v>
      </c>
      <c r="K34" s="32">
        <f t="shared" si="3"/>
        <v>-30.485670232041194</v>
      </c>
      <c r="L34" s="32"/>
      <c r="M34" s="32"/>
      <c r="N34" s="400">
        <v>1</v>
      </c>
      <c r="O34" s="40"/>
      <c r="P34" s="405" t="s">
        <v>25</v>
      </c>
      <c r="Q34" t="s">
        <v>25</v>
      </c>
      <c r="R34" s="352" t="s">
        <v>25</v>
      </c>
      <c r="T34" s="353" t="s">
        <v>25</v>
      </c>
      <c r="W34" s="353"/>
      <c r="Y34" s="353"/>
    </row>
    <row r="35" spans="1:25" ht="21">
      <c r="A35" s="389" t="s">
        <v>5782</v>
      </c>
      <c r="B35" s="389" t="s">
        <v>4354</v>
      </c>
      <c r="C35" s="388">
        <v>11612</v>
      </c>
      <c r="D35" s="389">
        <v>352</v>
      </c>
      <c r="E35" s="396" t="s">
        <v>6630</v>
      </c>
      <c r="F35" s="395">
        <v>1250.3</v>
      </c>
      <c r="G35" s="396">
        <f t="shared" si="0"/>
        <v>3228.1945677388489</v>
      </c>
      <c r="H35" s="396">
        <f t="shared" ref="H35:H38" si="38">C35/F35</f>
        <v>9.2873710309525723</v>
      </c>
      <c r="I35" s="396">
        <f>$R$6/$R$3</f>
        <v>12.73615635179153</v>
      </c>
      <c r="J35" s="32">
        <f t="shared" ref="J35:J38" si="39">I35/H35</f>
        <v>1.371341395680757</v>
      </c>
      <c r="K35" s="406">
        <f t="shared" si="3"/>
        <v>-29.638698043415868</v>
      </c>
      <c r="L35" s="32" t="s">
        <v>25</v>
      </c>
      <c r="M35" s="32" t="s">
        <v>25</v>
      </c>
      <c r="N35" s="32">
        <f>H35/H34</f>
        <v>1.0117513709992465</v>
      </c>
      <c r="O35" s="40"/>
      <c r="P35" s="40" t="s">
        <v>25</v>
      </c>
      <c r="Q35" t="s">
        <v>25</v>
      </c>
      <c r="R35" s="352" t="s">
        <v>25</v>
      </c>
      <c r="S35" t="s">
        <v>25</v>
      </c>
      <c r="T35" s="353" t="s">
        <v>25</v>
      </c>
      <c r="W35" s="353"/>
      <c r="Y35" s="353"/>
    </row>
    <row r="36" spans="1:25" ht="21">
      <c r="A36" s="407" t="s">
        <v>6662</v>
      </c>
      <c r="B36" s="407" t="s">
        <v>5870</v>
      </c>
      <c r="C36" s="398">
        <v>3112</v>
      </c>
      <c r="D36" s="407">
        <v>200</v>
      </c>
      <c r="E36" s="394" t="s">
        <v>4216</v>
      </c>
      <c r="F36" s="394">
        <v>1613</v>
      </c>
      <c r="G36" s="394">
        <f t="shared" si="0"/>
        <v>381.03025333950779</v>
      </c>
      <c r="H36" s="394">
        <f>C36/F36</f>
        <v>1.9293242405455673</v>
      </c>
      <c r="I36" s="394">
        <f>$R$1/$R$2</f>
        <v>2.0033112582781456</v>
      </c>
      <c r="J36" s="32">
        <f>I36/H36</f>
        <v>1.0383486695381263</v>
      </c>
      <c r="K36" s="406">
        <f>(1/J36-1.0256)*100</f>
        <v>-6.2532362570642537</v>
      </c>
      <c r="L36" s="32" t="s">
        <v>25</v>
      </c>
      <c r="M36" s="32" t="s">
        <v>25</v>
      </c>
      <c r="N36" s="32">
        <v>1</v>
      </c>
      <c r="O36" s="40"/>
      <c r="P36" s="40"/>
      <c r="Q36" t="s">
        <v>25</v>
      </c>
    </row>
    <row r="37" spans="1:25" ht="21">
      <c r="A37" s="407" t="s">
        <v>6662</v>
      </c>
      <c r="B37" s="407" t="s">
        <v>5870</v>
      </c>
      <c r="C37" s="398">
        <v>3178</v>
      </c>
      <c r="D37" s="407">
        <v>6860</v>
      </c>
      <c r="E37" s="396" t="s">
        <v>5267</v>
      </c>
      <c r="F37" s="396">
        <v>1704.9</v>
      </c>
      <c r="G37" s="396">
        <f t="shared" si="0"/>
        <v>12627.091883862513</v>
      </c>
      <c r="H37" s="396">
        <f>C37/F37</f>
        <v>1.864038946565781</v>
      </c>
      <c r="I37" s="396">
        <f>$R$1/$R$3</f>
        <v>1.9706840390879479</v>
      </c>
      <c r="J37" s="32">
        <f>I37/H37</f>
        <v>1.0572118370802526</v>
      </c>
      <c r="K37" s="406">
        <f>(1/J37-1.0256)*100</f>
        <v>-7.9715774221992275</v>
      </c>
      <c r="L37" s="32" t="s">
        <v>25</v>
      </c>
      <c r="M37" s="32" t="s">
        <v>25</v>
      </c>
      <c r="N37" s="32">
        <v>1</v>
      </c>
      <c r="O37" s="40"/>
      <c r="P37" s="40"/>
    </row>
    <row r="38" spans="1:25">
      <c r="A38" s="394" t="s">
        <v>6679</v>
      </c>
      <c r="B38" s="394" t="s">
        <v>4216</v>
      </c>
      <c r="C38" s="391">
        <v>1595.2</v>
      </c>
      <c r="D38" s="394">
        <v>1</v>
      </c>
      <c r="E38" s="408" t="s">
        <v>5812</v>
      </c>
      <c r="F38" s="408">
        <v>1428.4</v>
      </c>
      <c r="G38" s="408">
        <f>C38*D38*0.99114/(F38*1.0037158)</f>
        <v>1.1027816789647182</v>
      </c>
      <c r="H38" s="408">
        <f t="shared" si="38"/>
        <v>1.1167740128815458</v>
      </c>
      <c r="I38" s="408">
        <f>$R$2/$R$4</f>
        <v>1.1119293078055965</v>
      </c>
      <c r="J38" s="32">
        <f t="shared" si="39"/>
        <v>0.99566187516895321</v>
      </c>
      <c r="K38" s="32">
        <f>(1/J38-1.0256)*100</f>
        <v>-2.1242973845603474</v>
      </c>
      <c r="L38" s="32"/>
      <c r="M38" s="32"/>
      <c r="N38" s="32">
        <v>1</v>
      </c>
      <c r="O38" s="405">
        <f>F38-C38</f>
        <v>-166.79999999999995</v>
      </c>
      <c r="P38" s="405">
        <f>R4-R2</f>
        <v>-152</v>
      </c>
    </row>
    <row r="39" spans="1:25">
      <c r="A39" s="94"/>
      <c r="B39" s="113"/>
      <c r="C39" s="113"/>
      <c r="D39" s="94"/>
      <c r="E39" s="94"/>
      <c r="F39" s="94"/>
      <c r="G39" s="94"/>
      <c r="H39" s="94"/>
      <c r="I39" s="94"/>
      <c r="J39" s="94"/>
      <c r="K39" s="94"/>
      <c r="L39" s="94"/>
      <c r="M39" s="94"/>
      <c r="N39" s="94"/>
    </row>
    <row r="40" spans="1:25">
      <c r="A40" s="94"/>
      <c r="B40" s="94"/>
      <c r="C40" s="94"/>
      <c r="D40" s="94"/>
      <c r="E40" s="94"/>
      <c r="F40" s="94" t="s">
        <v>25</v>
      </c>
      <c r="G40" s="94"/>
      <c r="H40" s="94"/>
      <c r="I40" s="94"/>
      <c r="J40" s="94"/>
      <c r="K40" s="94"/>
      <c r="L40" s="94"/>
      <c r="M40" s="94"/>
      <c r="N40" s="94"/>
    </row>
    <row r="41" spans="1:25" ht="67.5" customHeight="1">
      <c r="A41" s="113"/>
      <c r="B41" s="113"/>
      <c r="C41" s="113"/>
      <c r="D41" s="113"/>
      <c r="E41" s="113"/>
      <c r="F41" s="113"/>
      <c r="G41" s="113"/>
      <c r="H41" s="113"/>
      <c r="I41" s="113"/>
      <c r="J41" s="113"/>
      <c r="K41" s="113"/>
      <c r="L41" s="113"/>
      <c r="M41" s="113"/>
      <c r="N41" s="113"/>
    </row>
    <row r="42" spans="1:25" ht="27.75" customHeight="1">
      <c r="A42" s="97" t="s">
        <v>5516</v>
      </c>
      <c r="B42" s="97"/>
      <c r="C42" s="97" t="s">
        <v>933</v>
      </c>
      <c r="D42" s="97" t="s">
        <v>6523</v>
      </c>
      <c r="E42" s="97"/>
      <c r="F42" s="97" t="s">
        <v>933</v>
      </c>
      <c r="G42" s="97" t="s">
        <v>6524</v>
      </c>
      <c r="H42" s="97"/>
      <c r="I42" s="97"/>
      <c r="J42" s="97"/>
      <c r="K42" s="97"/>
      <c r="L42" s="97" t="s">
        <v>936</v>
      </c>
      <c r="M42" s="97" t="s">
        <v>5</v>
      </c>
      <c r="N42" s="97" t="s">
        <v>6525</v>
      </c>
      <c r="P42" t="s">
        <v>6526</v>
      </c>
    </row>
    <row r="43" spans="1:25">
      <c r="A43" s="97" t="s">
        <v>5506</v>
      </c>
      <c r="B43" s="97" t="s">
        <v>6522</v>
      </c>
      <c r="C43" s="97">
        <v>17800</v>
      </c>
      <c r="D43" s="97">
        <v>916</v>
      </c>
      <c r="E43" s="97" t="s">
        <v>4354</v>
      </c>
      <c r="F43" s="97">
        <v>16472</v>
      </c>
      <c r="G43" s="97">
        <v>916</v>
      </c>
      <c r="H43" s="97"/>
      <c r="I43" s="97"/>
      <c r="J43" s="97"/>
      <c r="K43" s="97"/>
      <c r="L43" s="93">
        <v>987467</v>
      </c>
      <c r="M43" s="93">
        <f>L43/2</f>
        <v>493733.5</v>
      </c>
      <c r="N43" s="97" t="s">
        <v>5506</v>
      </c>
      <c r="P43">
        <v>1086</v>
      </c>
      <c r="U43" t="s">
        <v>25</v>
      </c>
    </row>
    <row r="44" spans="1:25" ht="33.75" customHeight="1">
      <c r="A44" s="271" t="s">
        <v>5736</v>
      </c>
      <c r="B44" s="340" t="s">
        <v>6601</v>
      </c>
      <c r="C44" s="271">
        <v>21532</v>
      </c>
      <c r="D44" s="271">
        <v>1859</v>
      </c>
      <c r="E44" s="273" t="s">
        <v>6529</v>
      </c>
      <c r="F44" s="273">
        <v>1187</v>
      </c>
      <c r="G44" s="273">
        <f t="shared" ref="G44:G50" si="40">C44*D44*0.99114/(F44*1.0037158)</f>
        <v>33299.467209851166</v>
      </c>
      <c r="H44" s="273">
        <f t="shared" ref="H44:H50" si="41">C44/F44</f>
        <v>18.139848357203032</v>
      </c>
      <c r="I44" s="273">
        <f t="shared" ref="I44:I49" si="42">$R$5/$R$2</f>
        <v>17.152317880794701</v>
      </c>
      <c r="J44" s="97">
        <f t="shared" ref="J44:J50" si="43">I44/H44</f>
        <v>0.94556015811365923</v>
      </c>
      <c r="K44" s="97">
        <f t="shared" ref="K44:K50" si="44">(1/J44-1.0256)*100</f>
        <v>3.1974170632300236</v>
      </c>
      <c r="L44" s="93">
        <v>1600000</v>
      </c>
      <c r="M44" s="93">
        <f t="shared" ref="M44:M53" si="45">L44/2</f>
        <v>800000</v>
      </c>
      <c r="N44" s="97" t="s">
        <v>6519</v>
      </c>
    </row>
    <row r="45" spans="1:25">
      <c r="A45" s="271" t="s">
        <v>5742</v>
      </c>
      <c r="B45" s="271" t="s">
        <v>6528</v>
      </c>
      <c r="C45" s="271">
        <v>22420.1</v>
      </c>
      <c r="D45" s="286">
        <v>1000</v>
      </c>
      <c r="E45" s="273" t="s">
        <v>6530</v>
      </c>
      <c r="F45" s="273">
        <v>1161</v>
      </c>
      <c r="G45" s="273">
        <f t="shared" si="40"/>
        <v>19069.072437793271</v>
      </c>
      <c r="H45" s="273">
        <f t="shared" si="41"/>
        <v>19.311024978466836</v>
      </c>
      <c r="I45" s="273">
        <f t="shared" si="42"/>
        <v>17.152317880794701</v>
      </c>
      <c r="J45" s="97">
        <f t="shared" si="43"/>
        <v>0.88821374835984901</v>
      </c>
      <c r="K45" s="97">
        <f t="shared" si="44"/>
        <v>10.025512422721716</v>
      </c>
      <c r="L45" s="93">
        <v>19462210</v>
      </c>
      <c r="M45" s="93">
        <f t="shared" si="45"/>
        <v>9731105</v>
      </c>
      <c r="N45" s="97" t="s">
        <v>6513</v>
      </c>
    </row>
    <row r="46" spans="1:25">
      <c r="A46" s="271" t="s">
        <v>5744</v>
      </c>
      <c r="B46" s="271" t="s">
        <v>6528</v>
      </c>
      <c r="C46" s="271">
        <v>23233.1</v>
      </c>
      <c r="D46" s="286">
        <v>1000</v>
      </c>
      <c r="E46" s="273" t="s">
        <v>6530</v>
      </c>
      <c r="F46" s="273">
        <v>1152</v>
      </c>
      <c r="G46" s="273">
        <f t="shared" si="40"/>
        <v>19914.936480069027</v>
      </c>
      <c r="H46" s="273">
        <f t="shared" si="41"/>
        <v>20.167621527777776</v>
      </c>
      <c r="I46" s="273">
        <f t="shared" si="42"/>
        <v>17.152317880794701</v>
      </c>
      <c r="J46" s="97">
        <f t="shared" si="43"/>
        <v>0.85048789006527314</v>
      </c>
      <c r="K46" s="97">
        <f t="shared" si="44"/>
        <v>15.019569524882016</v>
      </c>
      <c r="L46" s="93">
        <v>0</v>
      </c>
      <c r="M46" s="93">
        <f t="shared" si="45"/>
        <v>0</v>
      </c>
      <c r="N46" s="97" t="s">
        <v>6513</v>
      </c>
      <c r="R46" t="s">
        <v>25</v>
      </c>
    </row>
    <row r="47" spans="1:25">
      <c r="A47" s="271" t="s">
        <v>5746</v>
      </c>
      <c r="B47" s="271" t="s">
        <v>6528</v>
      </c>
      <c r="C47" s="271">
        <v>23900</v>
      </c>
      <c r="D47" s="286">
        <v>1000</v>
      </c>
      <c r="E47" s="273" t="s">
        <v>6531</v>
      </c>
      <c r="F47" s="273">
        <v>1153</v>
      </c>
      <c r="G47" s="273">
        <f t="shared" si="40"/>
        <v>20468.821398374203</v>
      </c>
      <c r="H47" s="273">
        <f t="shared" si="41"/>
        <v>20.7285342584562</v>
      </c>
      <c r="I47" s="273">
        <f t="shared" si="42"/>
        <v>17.152317880794701</v>
      </c>
      <c r="J47" s="97">
        <f t="shared" si="43"/>
        <v>0.82747374546260632</v>
      </c>
      <c r="K47" s="97">
        <f t="shared" si="44"/>
        <v>18.289755715323786</v>
      </c>
      <c r="L47" s="93">
        <v>0</v>
      </c>
      <c r="M47" s="93">
        <f t="shared" si="45"/>
        <v>0</v>
      </c>
      <c r="N47" s="97" t="s">
        <v>6513</v>
      </c>
      <c r="P47" t="s">
        <v>25</v>
      </c>
    </row>
    <row r="48" spans="1:25">
      <c r="A48" s="271" t="s">
        <v>5759</v>
      </c>
      <c r="B48" s="271" t="s">
        <v>6528</v>
      </c>
      <c r="C48" s="271">
        <v>22500</v>
      </c>
      <c r="D48" s="286">
        <v>2000</v>
      </c>
      <c r="E48" s="273" t="s">
        <v>6530</v>
      </c>
      <c r="F48" s="273">
        <v>1093</v>
      </c>
      <c r="G48" s="273">
        <f t="shared" si="40"/>
        <v>40655.246136679802</v>
      </c>
      <c r="H48" s="273">
        <f t="shared" si="41"/>
        <v>20.585544373284538</v>
      </c>
      <c r="I48" s="273">
        <f t="shared" si="42"/>
        <v>17.152317880794701</v>
      </c>
      <c r="J48" s="97">
        <f t="shared" si="43"/>
        <v>0.83322148638704929</v>
      </c>
      <c r="K48" s="97">
        <f t="shared" si="44"/>
        <v>17.456108122238035</v>
      </c>
      <c r="L48" s="93">
        <v>0</v>
      </c>
      <c r="M48" s="93">
        <f t="shared" si="45"/>
        <v>0</v>
      </c>
      <c r="N48" s="97" t="s">
        <v>6513</v>
      </c>
    </row>
    <row r="49" spans="1:19">
      <c r="A49" s="271" t="s">
        <v>6494</v>
      </c>
      <c r="B49" s="271" t="s">
        <v>6527</v>
      </c>
      <c r="C49" s="271">
        <v>23706</v>
      </c>
      <c r="D49" s="286">
        <v>1000</v>
      </c>
      <c r="E49" s="273" t="s">
        <v>4216</v>
      </c>
      <c r="F49" s="273">
        <v>1155</v>
      </c>
      <c r="G49" s="273">
        <f t="shared" si="40"/>
        <v>20267.516662882761</v>
      </c>
      <c r="H49" s="273">
        <f t="shared" si="41"/>
        <v>20.524675324675325</v>
      </c>
      <c r="I49" s="273">
        <f t="shared" si="42"/>
        <v>17.152317880794701</v>
      </c>
      <c r="J49" s="97">
        <f t="shared" si="43"/>
        <v>0.83569253152441914</v>
      </c>
      <c r="K49" s="97">
        <f t="shared" si="44"/>
        <v>17.101234518377375</v>
      </c>
      <c r="L49" s="93">
        <v>0</v>
      </c>
      <c r="M49" s="93">
        <f t="shared" si="45"/>
        <v>0</v>
      </c>
      <c r="N49" s="97" t="s">
        <v>6513</v>
      </c>
    </row>
    <row r="50" spans="1:19">
      <c r="A50" s="60" t="s">
        <v>6494</v>
      </c>
      <c r="B50" s="60" t="s">
        <v>4354</v>
      </c>
      <c r="C50" s="60">
        <v>16794</v>
      </c>
      <c r="D50" s="60">
        <v>2227</v>
      </c>
      <c r="E50" s="273" t="s">
        <v>4216</v>
      </c>
      <c r="F50" s="273">
        <v>1146.6500000000001</v>
      </c>
      <c r="G50" s="273">
        <f t="shared" si="40"/>
        <v>32208.294857700886</v>
      </c>
      <c r="H50" s="273">
        <f t="shared" si="41"/>
        <v>14.646143112545239</v>
      </c>
      <c r="I50" s="273">
        <f>$R$6/$R$2</f>
        <v>12.947019867549669</v>
      </c>
      <c r="J50" s="97">
        <f t="shared" si="43"/>
        <v>0.88398834888209055</v>
      </c>
      <c r="K50" s="97">
        <f t="shared" si="44"/>
        <v>10.563662915311056</v>
      </c>
      <c r="L50" s="93">
        <v>3219484</v>
      </c>
      <c r="M50" s="93">
        <f t="shared" si="45"/>
        <v>1609742</v>
      </c>
      <c r="N50" s="97" t="s">
        <v>6500</v>
      </c>
      <c r="P50" t="s">
        <v>25</v>
      </c>
      <c r="Q50" t="s">
        <v>25</v>
      </c>
    </row>
    <row r="51" spans="1:19">
      <c r="A51" s="20" t="s">
        <v>6608</v>
      </c>
      <c r="B51" s="20" t="s">
        <v>6609</v>
      </c>
      <c r="C51" s="20">
        <v>21350</v>
      </c>
      <c r="D51" s="20">
        <v>639</v>
      </c>
      <c r="E51" s="20" t="s">
        <v>4358</v>
      </c>
      <c r="F51" s="20">
        <v>20666.599999999999</v>
      </c>
      <c r="G51" s="20">
        <v>639</v>
      </c>
      <c r="H51" s="20"/>
      <c r="I51" s="20"/>
      <c r="J51" s="20"/>
      <c r="K51" s="20"/>
      <c r="L51" s="345">
        <v>268731</v>
      </c>
      <c r="M51" s="345">
        <f t="shared" si="45"/>
        <v>134365.5</v>
      </c>
      <c r="N51" s="20" t="s">
        <v>6608</v>
      </c>
    </row>
    <row r="52" spans="1:19">
      <c r="A52" s="97" t="s">
        <v>6619</v>
      </c>
      <c r="B52" s="97" t="s">
        <v>6621</v>
      </c>
      <c r="C52" s="97">
        <v>1286.5</v>
      </c>
      <c r="D52" s="97">
        <v>12000</v>
      </c>
      <c r="E52" s="97" t="s">
        <v>4216</v>
      </c>
      <c r="F52" s="97"/>
      <c r="G52" s="97"/>
      <c r="H52" s="97"/>
      <c r="I52" s="97"/>
      <c r="J52" s="97"/>
      <c r="K52" s="97"/>
      <c r="L52" s="345"/>
      <c r="M52" s="345">
        <f t="shared" si="45"/>
        <v>0</v>
      </c>
      <c r="N52" s="97"/>
      <c r="P52" t="s">
        <v>25</v>
      </c>
    </row>
    <row r="53" spans="1:19" ht="30">
      <c r="A53" s="97" t="s">
        <v>6620</v>
      </c>
      <c r="B53" s="97" t="s">
        <v>6621</v>
      </c>
      <c r="C53" s="97">
        <v>1275</v>
      </c>
      <c r="D53" s="97">
        <v>9000</v>
      </c>
      <c r="E53" s="97" t="s">
        <v>4216</v>
      </c>
      <c r="F53" s="97">
        <v>1314</v>
      </c>
      <c r="G53" s="97">
        <v>9000</v>
      </c>
      <c r="H53" s="97"/>
      <c r="I53" s="97"/>
      <c r="J53" s="97"/>
      <c r="K53" s="97"/>
      <c r="L53" s="345">
        <v>191456</v>
      </c>
      <c r="M53" s="345">
        <f t="shared" si="45"/>
        <v>95728</v>
      </c>
      <c r="N53" s="36" t="s">
        <v>6636</v>
      </c>
    </row>
    <row r="54" spans="1:19">
      <c r="A54" s="97" t="s">
        <v>6620</v>
      </c>
      <c r="B54" s="97" t="s">
        <v>6609</v>
      </c>
      <c r="C54" s="97">
        <v>19703</v>
      </c>
      <c r="D54" s="97">
        <v>210</v>
      </c>
      <c r="E54" s="97" t="s">
        <v>4358</v>
      </c>
      <c r="F54" s="97">
        <v>20548.900000000001</v>
      </c>
      <c r="G54" s="97">
        <v>210</v>
      </c>
      <c r="H54" s="97"/>
      <c r="I54" s="97"/>
      <c r="J54" s="97"/>
      <c r="K54" s="97"/>
      <c r="L54" s="345">
        <v>124637</v>
      </c>
      <c r="M54" s="345">
        <f>L54/2</f>
        <v>62318.5</v>
      </c>
      <c r="N54" s="97" t="s">
        <v>6622</v>
      </c>
    </row>
    <row r="55" spans="1:19">
      <c r="A55" s="97" t="s">
        <v>6622</v>
      </c>
      <c r="B55" s="97" t="s">
        <v>6621</v>
      </c>
      <c r="C55" s="97">
        <v>1266.5</v>
      </c>
      <c r="D55" s="97">
        <v>8000</v>
      </c>
      <c r="E55" s="97" t="s">
        <v>4216</v>
      </c>
      <c r="F55" s="97">
        <v>1301</v>
      </c>
      <c r="G55" s="97">
        <v>8000</v>
      </c>
      <c r="H55" s="97"/>
      <c r="I55" s="97"/>
      <c r="J55" s="97"/>
      <c r="K55" s="97"/>
      <c r="L55" s="345">
        <v>146805</v>
      </c>
      <c r="M55" s="345">
        <f>L55/2</f>
        <v>73402.5</v>
      </c>
      <c r="N55" s="97" t="s">
        <v>6622</v>
      </c>
      <c r="P55" t="s">
        <v>25</v>
      </c>
    </row>
    <row r="56" spans="1:19" ht="30">
      <c r="A56" s="36" t="s">
        <v>6637</v>
      </c>
      <c r="B56" s="97" t="s">
        <v>6621</v>
      </c>
      <c r="C56" s="97" t="s">
        <v>6638</v>
      </c>
      <c r="D56" s="97">
        <v>21000</v>
      </c>
      <c r="E56" s="97" t="s">
        <v>4216</v>
      </c>
      <c r="F56" s="97">
        <v>1312</v>
      </c>
      <c r="G56" s="97">
        <v>21000</v>
      </c>
      <c r="H56" s="97"/>
      <c r="I56" s="97"/>
      <c r="J56" s="97"/>
      <c r="K56" s="97"/>
      <c r="L56" s="345">
        <v>345822</v>
      </c>
      <c r="M56" s="345">
        <f>L56/2</f>
        <v>172911</v>
      </c>
      <c r="N56" s="97" t="s">
        <v>6639</v>
      </c>
      <c r="S56" t="s">
        <v>25</v>
      </c>
    </row>
    <row r="57" spans="1:19">
      <c r="A57" s="97"/>
      <c r="B57" s="97"/>
      <c r="C57" s="97"/>
      <c r="D57" s="97"/>
      <c r="E57" s="97"/>
      <c r="F57" s="97"/>
      <c r="G57" s="97"/>
      <c r="H57" s="97"/>
      <c r="I57" s="97"/>
      <c r="J57" s="97"/>
      <c r="K57" s="97" t="s">
        <v>25</v>
      </c>
      <c r="L57" s="345"/>
      <c r="M57" s="345"/>
      <c r="N57" s="97"/>
      <c r="P57" t="s">
        <v>25</v>
      </c>
    </row>
    <row r="58" spans="1:19">
      <c r="A58" s="94"/>
      <c r="N58" s="94"/>
      <c r="P58" t="s">
        <v>25</v>
      </c>
    </row>
    <row r="59" spans="1:19">
      <c r="A59" s="94"/>
      <c r="Q59" s="94"/>
    </row>
    <row r="60" spans="1:19">
      <c r="A60" s="97" t="s">
        <v>6514</v>
      </c>
      <c r="B60" s="97"/>
      <c r="C60" s="97" t="s">
        <v>920</v>
      </c>
      <c r="D60" s="97" t="s">
        <v>933</v>
      </c>
      <c r="E60" s="97" t="s">
        <v>920</v>
      </c>
      <c r="F60" s="97" t="s">
        <v>933</v>
      </c>
      <c r="G60" s="97" t="s">
        <v>936</v>
      </c>
      <c r="H60" s="97" t="s">
        <v>5</v>
      </c>
      <c r="I60" s="97" t="s">
        <v>6633</v>
      </c>
      <c r="J60" s="97"/>
      <c r="K60" s="97"/>
      <c r="L60" s="97"/>
      <c r="M60" s="97"/>
      <c r="N60" s="97"/>
      <c r="Q60" s="94"/>
      <c r="R60" s="94"/>
    </row>
    <row r="61" spans="1:19">
      <c r="A61" s="97" t="s">
        <v>6513</v>
      </c>
      <c r="B61" s="97" t="s">
        <v>4216</v>
      </c>
      <c r="C61" s="97">
        <v>33874</v>
      </c>
      <c r="D61" s="112">
        <v>1240</v>
      </c>
      <c r="E61" s="97">
        <v>33874</v>
      </c>
      <c r="F61" s="93">
        <v>1278</v>
      </c>
      <c r="G61" s="93">
        <v>750337</v>
      </c>
      <c r="H61" s="93">
        <f>G61/2</f>
        <v>375168.5</v>
      </c>
      <c r="I61" s="97">
        <v>0</v>
      </c>
      <c r="J61" s="97"/>
      <c r="K61" s="97"/>
      <c r="L61" s="97"/>
      <c r="M61" s="97"/>
      <c r="N61" s="97"/>
      <c r="P61" s="94"/>
      <c r="Q61" s="94"/>
      <c r="R61" s="94"/>
    </row>
    <row r="62" spans="1:19">
      <c r="A62" s="97" t="s">
        <v>6519</v>
      </c>
      <c r="B62" s="97" t="s">
        <v>4216</v>
      </c>
      <c r="C62" s="97">
        <v>33274</v>
      </c>
      <c r="D62" s="97">
        <v>1291</v>
      </c>
      <c r="E62" s="97">
        <v>33274</v>
      </c>
      <c r="F62" s="97">
        <v>1314.3</v>
      </c>
      <c r="G62" s="93">
        <v>229922</v>
      </c>
      <c r="H62" s="93">
        <f>G62/2</f>
        <v>114961</v>
      </c>
      <c r="I62" s="97">
        <v>0</v>
      </c>
      <c r="J62" s="97" t="s">
        <v>25</v>
      </c>
      <c r="K62" s="97"/>
      <c r="L62" s="97"/>
      <c r="M62" s="97"/>
      <c r="N62" s="97"/>
      <c r="P62" s="94"/>
      <c r="Q62" s="94"/>
      <c r="R62" s="94"/>
    </row>
    <row r="63" spans="1:19">
      <c r="A63" s="97" t="s">
        <v>6612</v>
      </c>
      <c r="B63" s="97" t="s">
        <v>4216</v>
      </c>
      <c r="C63" s="97">
        <v>2838</v>
      </c>
      <c r="D63" s="97">
        <v>1302</v>
      </c>
      <c r="E63" s="97">
        <v>2838</v>
      </c>
      <c r="F63" s="97">
        <v>1320</v>
      </c>
      <c r="G63" s="93">
        <v>4540</v>
      </c>
      <c r="H63" s="93">
        <f>G63/2</f>
        <v>2270</v>
      </c>
      <c r="I63" s="97">
        <v>0</v>
      </c>
      <c r="J63" s="97"/>
      <c r="K63" s="97"/>
      <c r="L63" s="97"/>
      <c r="M63" s="97"/>
      <c r="N63" s="97"/>
      <c r="P63" s="94"/>
      <c r="Q63" s="94"/>
      <c r="R63" s="94"/>
    </row>
    <row r="64" spans="1:19">
      <c r="A64" s="20" t="s">
        <v>6612</v>
      </c>
      <c r="B64" s="20" t="s">
        <v>4216</v>
      </c>
      <c r="C64" s="20">
        <v>28000</v>
      </c>
      <c r="D64" s="20">
        <v>1302</v>
      </c>
      <c r="E64" s="20">
        <v>28000</v>
      </c>
      <c r="F64" s="20">
        <v>1345</v>
      </c>
      <c r="G64" s="93">
        <v>737130</v>
      </c>
      <c r="H64" s="93">
        <f>G64/2</f>
        <v>368565</v>
      </c>
      <c r="I64" s="20" t="s">
        <v>6618</v>
      </c>
      <c r="J64" s="20"/>
      <c r="K64" s="97"/>
      <c r="L64" s="97"/>
      <c r="M64" s="97"/>
      <c r="N64" s="97"/>
      <c r="P64" s="94"/>
      <c r="Q64" s="94"/>
      <c r="R64" s="94"/>
      <c r="S64" s="94"/>
    </row>
    <row r="65" spans="1:20">
      <c r="A65" s="159" t="s">
        <v>6618</v>
      </c>
      <c r="B65" s="159" t="s">
        <v>4216</v>
      </c>
      <c r="C65" s="159">
        <v>28000</v>
      </c>
      <c r="D65" s="159">
        <v>1306.5</v>
      </c>
      <c r="E65" s="159">
        <v>28000</v>
      </c>
      <c r="F65" s="159">
        <v>1358.5</v>
      </c>
      <c r="G65" s="159">
        <v>985488</v>
      </c>
      <c r="H65" s="159">
        <f>G65/2</f>
        <v>492744</v>
      </c>
      <c r="I65" s="97" t="s">
        <v>6632</v>
      </c>
      <c r="J65" s="97"/>
      <c r="K65" s="97"/>
      <c r="L65" s="97"/>
      <c r="M65" s="97"/>
      <c r="N65" s="97"/>
      <c r="O65" s="94"/>
      <c r="P65" s="94"/>
      <c r="Q65" s="94"/>
      <c r="R65" s="94"/>
      <c r="S65" s="94"/>
    </row>
    <row r="66" spans="1:20">
      <c r="A66" s="97"/>
      <c r="B66" s="97"/>
      <c r="C66" s="97"/>
      <c r="D66" s="97"/>
      <c r="E66" s="97"/>
      <c r="F66" s="97"/>
      <c r="G66" s="97"/>
      <c r="H66" s="97"/>
      <c r="I66" s="97"/>
      <c r="J66" s="97"/>
      <c r="K66" s="97"/>
      <c r="L66" s="97"/>
      <c r="M66" s="97"/>
      <c r="N66" s="97"/>
      <c r="O66" s="94"/>
      <c r="P66" s="94"/>
      <c r="Q66" s="94"/>
      <c r="R66" s="94"/>
      <c r="S66" s="94"/>
    </row>
    <row r="67" spans="1:20">
      <c r="A67" s="97"/>
      <c r="B67" s="97"/>
      <c r="C67" s="97"/>
      <c r="D67" s="97"/>
      <c r="E67" s="97"/>
      <c r="F67" s="97"/>
      <c r="G67" s="97"/>
      <c r="H67" s="97"/>
      <c r="I67" s="97"/>
      <c r="J67" s="97"/>
      <c r="K67" s="97"/>
      <c r="L67" s="97"/>
      <c r="M67" s="97"/>
      <c r="N67" s="97"/>
      <c r="O67" s="94"/>
      <c r="P67" s="94"/>
      <c r="Q67" s="94"/>
      <c r="R67" s="94"/>
      <c r="S67" s="94"/>
    </row>
    <row r="68" spans="1:20">
      <c r="A68" s="327" t="s">
        <v>6641</v>
      </c>
      <c r="B68" s="273" t="s">
        <v>4216</v>
      </c>
      <c r="C68" s="274">
        <v>1504</v>
      </c>
      <c r="D68" s="273">
        <v>7754</v>
      </c>
      <c r="E68" s="348" t="s">
        <v>1068</v>
      </c>
      <c r="F68" s="44">
        <v>115435.1</v>
      </c>
      <c r="G68" s="348">
        <f>C68*D68*0.99114/(F68*1.00125)</f>
        <v>100.00649900224266</v>
      </c>
      <c r="H68" s="195">
        <f>C68/F68</f>
        <v>1.3028966059716672E-2</v>
      </c>
      <c r="I68" s="349">
        <f>$R$2/$R$7</f>
        <v>1.2894961571306575E-2</v>
      </c>
      <c r="J68" s="20">
        <f>I68/H68</f>
        <v>0.98971487930846513</v>
      </c>
      <c r="K68" s="20">
        <f>(1/J68-1.015155)*100</f>
        <v>-0.47629962961441841</v>
      </c>
      <c r="L68" s="20"/>
      <c r="M68" s="20"/>
      <c r="N68" s="20">
        <f>1</f>
        <v>1</v>
      </c>
      <c r="O68" s="94"/>
      <c r="P68" s="94"/>
      <c r="Q68" s="94"/>
      <c r="R68" s="94"/>
      <c r="S68" s="94"/>
      <c r="T68" s="94"/>
    </row>
    <row r="69" spans="1:20">
      <c r="A69" s="327"/>
      <c r="B69" s="273"/>
      <c r="C69" s="274"/>
      <c r="D69" s="273"/>
      <c r="E69" s="348" t="s">
        <v>1068</v>
      </c>
      <c r="F69" s="44">
        <v>0</v>
      </c>
      <c r="G69" s="348" t="e">
        <f t="shared" ref="G69:G70" si="46">C69*D69*0.99114/(F69*1.0037158)</f>
        <v>#DIV/0!</v>
      </c>
      <c r="H69" s="195" t="e">
        <f t="shared" ref="H69:H70" si="47">C69/F69</f>
        <v>#DIV/0!</v>
      </c>
      <c r="I69" s="349">
        <f t="shared" ref="I69:I70" si="48">$R$2/$R$7</f>
        <v>1.2894961571306575E-2</v>
      </c>
      <c r="J69" s="20" t="e">
        <f t="shared" ref="J69:J70" si="49">I69/H69</f>
        <v>#DIV/0!</v>
      </c>
      <c r="K69" s="20" t="e">
        <f t="shared" ref="K69:K70" si="50">(1/J69-1.0256)*100</f>
        <v>#DIV/0!</v>
      </c>
      <c r="L69" s="20"/>
      <c r="M69" s="20"/>
      <c r="N69" s="20">
        <f>1</f>
        <v>1</v>
      </c>
      <c r="O69" s="94"/>
      <c r="P69" s="94"/>
      <c r="Q69" s="94"/>
      <c r="R69" s="94"/>
      <c r="S69" s="94"/>
      <c r="T69" s="94"/>
    </row>
    <row r="70" spans="1:20">
      <c r="A70" s="327"/>
      <c r="B70" s="273"/>
      <c r="C70" s="274"/>
      <c r="D70" s="273"/>
      <c r="E70" s="348" t="s">
        <v>1068</v>
      </c>
      <c r="F70" s="44">
        <v>0</v>
      </c>
      <c r="G70" s="348" t="e">
        <f t="shared" si="46"/>
        <v>#DIV/0!</v>
      </c>
      <c r="H70" s="195" t="e">
        <f t="shared" si="47"/>
        <v>#DIV/0!</v>
      </c>
      <c r="I70" s="349">
        <f t="shared" si="48"/>
        <v>1.2894961571306575E-2</v>
      </c>
      <c r="J70" s="20" t="e">
        <f t="shared" si="49"/>
        <v>#DIV/0!</v>
      </c>
      <c r="K70" s="20" t="e">
        <f t="shared" si="50"/>
        <v>#DIV/0!</v>
      </c>
      <c r="L70" s="20"/>
      <c r="M70" s="20"/>
      <c r="N70" s="20">
        <f>1</f>
        <v>1</v>
      </c>
      <c r="O70" s="94"/>
      <c r="P70" s="94"/>
      <c r="Q70" s="94"/>
      <c r="R70" s="94" t="s">
        <v>25</v>
      </c>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B73" s="94"/>
      <c r="C73" s="94"/>
      <c r="D73" s="94"/>
      <c r="E73" s="94"/>
      <c r="O73" s="94"/>
      <c r="P73" s="94"/>
      <c r="Q73" s="94"/>
      <c r="R73" s="94"/>
      <c r="S73" s="94"/>
      <c r="T73" s="94"/>
    </row>
    <row r="74" spans="1:20">
      <c r="A74" s="94"/>
      <c r="B74" s="94"/>
      <c r="C74" s="94"/>
      <c r="D74" s="94" t="s">
        <v>25</v>
      </c>
      <c r="E74" s="94"/>
      <c r="P74" s="94"/>
      <c r="Q74" s="94"/>
      <c r="R74" s="94"/>
      <c r="S74" s="94"/>
      <c r="T74" s="94"/>
    </row>
    <row r="75" spans="1:20">
      <c r="A75" s="94"/>
      <c r="B75" s="94"/>
      <c r="C75" s="94"/>
      <c r="D75" s="94"/>
      <c r="E75" s="94"/>
      <c r="O75" s="94"/>
      <c r="P75" s="94"/>
      <c r="Q75" s="94"/>
      <c r="R75" s="94"/>
      <c r="S75" s="94"/>
      <c r="T75" s="94"/>
    </row>
    <row r="76" spans="1:20">
      <c r="A76" s="94"/>
      <c r="B76" s="94"/>
      <c r="C76" s="94"/>
      <c r="D76" s="94"/>
      <c r="E76" s="94"/>
      <c r="O76" s="94"/>
      <c r="P76" s="94"/>
      <c r="Q76" s="94"/>
      <c r="R76" s="94"/>
      <c r="S76" s="94"/>
      <c r="T76" s="94"/>
    </row>
    <row r="77" spans="1:20">
      <c r="A77" s="94"/>
      <c r="H77">
        <v>66597</v>
      </c>
      <c r="J77" t="s">
        <v>25</v>
      </c>
      <c r="O77" s="94"/>
      <c r="P77" s="94"/>
      <c r="Q77" s="94"/>
      <c r="R77" s="94"/>
      <c r="S77" s="94"/>
      <c r="T77" s="94"/>
    </row>
    <row r="78" spans="1:20">
      <c r="A78" s="94"/>
      <c r="O78" s="94"/>
      <c r="P78" s="94"/>
      <c r="Q78" s="94"/>
      <c r="R78" s="94" t="s">
        <v>25</v>
      </c>
      <c r="S78" s="94"/>
      <c r="T78" s="94"/>
    </row>
    <row r="79" spans="1:20">
      <c r="A79" s="94"/>
      <c r="O79" s="94"/>
      <c r="P79" s="94"/>
      <c r="Q79" s="94"/>
      <c r="R79" s="94" t="s">
        <v>25</v>
      </c>
      <c r="S79" s="94"/>
      <c r="T79" s="94"/>
    </row>
    <row r="80" spans="1:20">
      <c r="A80" s="94"/>
      <c r="H80">
        <v>31500</v>
      </c>
      <c r="O80" s="94"/>
      <c r="P80" s="94"/>
      <c r="Q80" s="94"/>
      <c r="R80" s="94" t="s">
        <v>25</v>
      </c>
      <c r="S80" s="94"/>
      <c r="T80" s="94"/>
    </row>
    <row r="81" spans="1:26">
      <c r="A81" s="94"/>
      <c r="H81">
        <v>34120</v>
      </c>
      <c r="O81" s="94"/>
      <c r="P81" s="94"/>
      <c r="Q81" s="94"/>
      <c r="R81" s="94" t="s">
        <v>25</v>
      </c>
      <c r="S81" s="94"/>
      <c r="T81" s="94"/>
    </row>
    <row r="82" spans="1:26">
      <c r="A82" s="94"/>
      <c r="O82" s="94"/>
      <c r="P82" s="94"/>
      <c r="Q82" s="94" t="s">
        <v>25</v>
      </c>
      <c r="R82" s="94" t="s">
        <v>25</v>
      </c>
      <c r="S82" s="94"/>
      <c r="T82" s="94"/>
    </row>
    <row r="83" spans="1:26">
      <c r="A83" s="94"/>
      <c r="O83" s="94"/>
      <c r="P83" s="94"/>
      <c r="Q83" s="94" t="s">
        <v>25</v>
      </c>
      <c r="R83" s="94" t="s">
        <v>25</v>
      </c>
      <c r="S83" s="94"/>
      <c r="T83" s="94"/>
    </row>
    <row r="84" spans="1:26">
      <c r="A84" s="94"/>
      <c r="O84" s="94"/>
      <c r="P84" s="94" t="s">
        <v>25</v>
      </c>
      <c r="Q84" s="94" t="s">
        <v>25</v>
      </c>
      <c r="R84" s="94" t="s">
        <v>25</v>
      </c>
      <c r="S84" s="94"/>
      <c r="T84" s="94"/>
    </row>
    <row r="85" spans="1:26">
      <c r="A85" s="94"/>
      <c r="O85" s="94" t="s">
        <v>25</v>
      </c>
      <c r="P85" s="94" t="s">
        <v>25</v>
      </c>
      <c r="Q85" s="94" t="s">
        <v>25</v>
      </c>
      <c r="R85" s="112" t="s">
        <v>25</v>
      </c>
      <c r="S85" s="94" t="s">
        <v>25</v>
      </c>
      <c r="T85" s="94"/>
    </row>
    <row r="86" spans="1:26">
      <c r="A86" s="94"/>
      <c r="O86" s="94"/>
      <c r="P86" s="94"/>
      <c r="Q86" s="94" t="s">
        <v>25</v>
      </c>
      <c r="R86" s="112" t="s">
        <v>25</v>
      </c>
      <c r="S86" s="94" t="s">
        <v>25</v>
      </c>
      <c r="T86" s="94"/>
    </row>
    <row r="87" spans="1:26">
      <c r="A87" s="94"/>
      <c r="O87" s="94"/>
      <c r="P87" s="94" t="s">
        <v>25</v>
      </c>
      <c r="Q87" s="94" t="s">
        <v>25</v>
      </c>
      <c r="R87" s="112"/>
      <c r="S87" s="120" t="s">
        <v>25</v>
      </c>
      <c r="T87" s="94"/>
    </row>
    <row r="88" spans="1:26">
      <c r="A88" s="94"/>
      <c r="O88" s="94" t="s">
        <v>25</v>
      </c>
      <c r="P88" s="94" t="s">
        <v>25</v>
      </c>
      <c r="Q88" s="94"/>
      <c r="R88" s="94"/>
      <c r="S88" s="94" t="s">
        <v>25</v>
      </c>
      <c r="T88" s="94"/>
    </row>
    <row r="89" spans="1:26">
      <c r="A89" s="94"/>
      <c r="O89" s="94" t="s">
        <v>25</v>
      </c>
      <c r="P89" s="94" t="s">
        <v>25</v>
      </c>
      <c r="Q89" s="94"/>
      <c r="R89" s="94"/>
      <c r="S89" s="94" t="s">
        <v>25</v>
      </c>
      <c r="T89" s="94"/>
    </row>
    <row r="90" spans="1:26">
      <c r="A90" s="94"/>
      <c r="O90" s="94"/>
      <c r="P90" s="94" t="s">
        <v>25</v>
      </c>
      <c r="Q90" s="94"/>
      <c r="S90" s="94"/>
      <c r="T90" s="94"/>
    </row>
    <row r="91" spans="1:26">
      <c r="A91" s="94"/>
      <c r="O91" s="94"/>
      <c r="P91" s="94" t="s">
        <v>25</v>
      </c>
      <c r="Q91" s="94"/>
      <c r="S91" s="94"/>
      <c r="T91" s="94"/>
    </row>
    <row r="92" spans="1:26">
      <c r="A92" s="94"/>
      <c r="O92" s="94"/>
      <c r="P92" s="94" t="s">
        <v>25</v>
      </c>
      <c r="S92" s="94"/>
      <c r="T92" s="94"/>
    </row>
    <row r="93" spans="1:26">
      <c r="A93" s="94"/>
      <c r="O93" s="94"/>
      <c r="P93" s="94" t="s">
        <v>25</v>
      </c>
      <c r="S93" s="94"/>
      <c r="T93" s="94"/>
    </row>
    <row r="94" spans="1:26">
      <c r="A94" s="94"/>
      <c r="O94" s="94"/>
    </row>
    <row r="95" spans="1:26">
      <c r="A95" s="94"/>
      <c r="P95" t="s">
        <v>25</v>
      </c>
      <c r="R95" t="s">
        <v>25</v>
      </c>
    </row>
    <row r="96" spans="1:26">
      <c r="A96" s="94"/>
      <c r="Z96" t="s">
        <v>25</v>
      </c>
    </row>
    <row r="97" spans="1:27">
      <c r="A97" s="94"/>
      <c r="O97" t="s">
        <v>25</v>
      </c>
    </row>
    <row r="98" spans="1:27">
      <c r="A98" s="94"/>
      <c r="Q98" t="s">
        <v>25</v>
      </c>
    </row>
    <row r="99" spans="1:27">
      <c r="A99" s="94"/>
      <c r="P99" t="s">
        <v>25</v>
      </c>
      <c r="AA99" t="s">
        <v>25</v>
      </c>
    </row>
    <row r="100" spans="1:27">
      <c r="A100" s="94"/>
      <c r="O100" t="s">
        <v>25</v>
      </c>
      <c r="P100" t="s">
        <v>25</v>
      </c>
    </row>
    <row r="101" spans="1:27">
      <c r="P101" t="s">
        <v>25</v>
      </c>
    </row>
    <row r="102" spans="1:27">
      <c r="O102" t="s">
        <v>25</v>
      </c>
      <c r="P102" t="s">
        <v>25</v>
      </c>
    </row>
    <row r="103" spans="1:27">
      <c r="Q103" t="s">
        <v>25</v>
      </c>
    </row>
    <row r="104" spans="1:27">
      <c r="P104" t="s">
        <v>25</v>
      </c>
    </row>
    <row r="105" spans="1:27">
      <c r="P105" t="s">
        <v>25</v>
      </c>
      <c r="R105" t="s">
        <v>25</v>
      </c>
    </row>
    <row r="106" spans="1:27">
      <c r="P106" t="s">
        <v>25</v>
      </c>
    </row>
    <row r="107" spans="1:27">
      <c r="O107" t="s">
        <v>25</v>
      </c>
      <c r="P107" t="s">
        <v>25</v>
      </c>
      <c r="Z107" t="s">
        <v>25</v>
      </c>
    </row>
    <row r="108" spans="1:27">
      <c r="P108" t="s">
        <v>25</v>
      </c>
    </row>
    <row r="112" spans="1:27">
      <c r="P112" t="s">
        <v>25</v>
      </c>
    </row>
    <row r="113" spans="15:19">
      <c r="P113" t="s">
        <v>25</v>
      </c>
    </row>
    <row r="114" spans="15:19">
      <c r="Q114" t="s">
        <v>25</v>
      </c>
    </row>
    <row r="115" spans="15:19" ht="27" customHeight="1">
      <c r="R115" t="s">
        <v>25</v>
      </c>
    </row>
    <row r="116" spans="15:19">
      <c r="P116" t="s">
        <v>25</v>
      </c>
      <c r="Q116" t="s">
        <v>25</v>
      </c>
      <c r="R116" t="s">
        <v>25</v>
      </c>
    </row>
    <row r="117" spans="15:19">
      <c r="R117" s="283" t="s">
        <v>5659</v>
      </c>
    </row>
    <row r="118" spans="15:19">
      <c r="P118" t="s">
        <v>25</v>
      </c>
      <c r="Q118" t="s">
        <v>25</v>
      </c>
      <c r="R118" t="s">
        <v>25</v>
      </c>
    </row>
    <row r="119" spans="15:19">
      <c r="P119" t="s">
        <v>25</v>
      </c>
      <c r="R119" t="s">
        <v>25</v>
      </c>
    </row>
    <row r="120" spans="15:19">
      <c r="O120" t="s">
        <v>25</v>
      </c>
      <c r="P120" s="94" t="s">
        <v>25</v>
      </c>
      <c r="R120" t="s">
        <v>25</v>
      </c>
    </row>
    <row r="122" spans="15:19">
      <c r="O122" s="94"/>
      <c r="P122" t="s">
        <v>25</v>
      </c>
    </row>
    <row r="123" spans="15:19">
      <c r="O123" s="94"/>
      <c r="P123" t="s">
        <v>25</v>
      </c>
      <c r="R123" t="s">
        <v>25</v>
      </c>
      <c r="S123" t="s">
        <v>25</v>
      </c>
    </row>
    <row r="124" spans="15:19">
      <c r="O124" s="94" t="s">
        <v>25</v>
      </c>
      <c r="R124" t="s">
        <v>25</v>
      </c>
      <c r="S124" t="s">
        <v>25</v>
      </c>
    </row>
    <row r="125" spans="15:19">
      <c r="O125" t="s">
        <v>25</v>
      </c>
      <c r="S125" t="s">
        <v>25</v>
      </c>
    </row>
    <row r="126" spans="15:19">
      <c r="S126" t="s">
        <v>25</v>
      </c>
    </row>
    <row r="127" spans="15:19">
      <c r="Q127" t="s">
        <v>25</v>
      </c>
      <c r="R127" t="s">
        <v>25</v>
      </c>
      <c r="S127" t="s">
        <v>25</v>
      </c>
    </row>
    <row r="128" spans="15:19">
      <c r="P128" s="94" t="s">
        <v>5507</v>
      </c>
      <c r="Q128" t="s">
        <v>25</v>
      </c>
    </row>
    <row r="129" spans="15:21">
      <c r="P129" s="94" t="s">
        <v>5508</v>
      </c>
      <c r="R129" t="s">
        <v>25</v>
      </c>
    </row>
    <row r="130" spans="15:21">
      <c r="P130" s="94" t="s">
        <v>5509</v>
      </c>
      <c r="S130" t="s">
        <v>25</v>
      </c>
      <c r="T130" t="s">
        <v>25</v>
      </c>
    </row>
    <row r="131" spans="15:21">
      <c r="O131" t="s">
        <v>25</v>
      </c>
      <c r="P131" s="94" t="s">
        <v>5510</v>
      </c>
      <c r="Q131" t="s">
        <v>25</v>
      </c>
      <c r="R131" t="s">
        <v>25</v>
      </c>
      <c r="S131" t="s">
        <v>25</v>
      </c>
    </row>
    <row r="132" spans="15:21">
      <c r="P132" s="94" t="s">
        <v>5511</v>
      </c>
      <c r="Q132" t="s">
        <v>25</v>
      </c>
      <c r="R132" t="s">
        <v>25</v>
      </c>
    </row>
    <row r="133" spans="15:21">
      <c r="P133" s="94" t="s">
        <v>5512</v>
      </c>
      <c r="R133" t="s">
        <v>25</v>
      </c>
      <c r="S133" t="s">
        <v>25</v>
      </c>
    </row>
    <row r="134" spans="15:21">
      <c r="O134" s="94"/>
      <c r="Q134" t="s">
        <v>25</v>
      </c>
    </row>
    <row r="135" spans="15:21">
      <c r="O135" s="94"/>
      <c r="P135" t="s">
        <v>25</v>
      </c>
    </row>
    <row r="136" spans="15:21">
      <c r="O136" s="94"/>
      <c r="R136" t="s">
        <v>25</v>
      </c>
    </row>
    <row r="137" spans="15:21">
      <c r="O137" s="94"/>
      <c r="P137" t="s">
        <v>25</v>
      </c>
      <c r="S137" t="s">
        <v>25</v>
      </c>
    </row>
    <row r="138" spans="15:21">
      <c r="O138" t="s">
        <v>25</v>
      </c>
      <c r="R138" t="s">
        <v>25</v>
      </c>
    </row>
    <row r="139" spans="15:21">
      <c r="P139" t="s">
        <v>25</v>
      </c>
      <c r="U139" t="s">
        <v>25</v>
      </c>
    </row>
    <row r="140" spans="15:21">
      <c r="P140" t="s">
        <v>25</v>
      </c>
      <c r="R140" t="s">
        <v>25</v>
      </c>
    </row>
    <row r="141" spans="15:21">
      <c r="O141" t="s">
        <v>25</v>
      </c>
      <c r="R141" t="s">
        <v>25</v>
      </c>
      <c r="S141" t="s">
        <v>25</v>
      </c>
    </row>
    <row r="142" spans="15:21">
      <c r="O142" s="94"/>
      <c r="Q142" t="s">
        <v>25</v>
      </c>
      <c r="R142" t="s">
        <v>25</v>
      </c>
    </row>
    <row r="143" spans="15:21">
      <c r="O143" s="94" t="s">
        <v>25</v>
      </c>
      <c r="R143" t="s">
        <v>25</v>
      </c>
    </row>
    <row r="145" spans="15:18">
      <c r="O145" t="s">
        <v>25</v>
      </c>
      <c r="P145" t="s">
        <v>25</v>
      </c>
    </row>
    <row r="146" spans="15:18">
      <c r="O146" t="s">
        <v>25</v>
      </c>
    </row>
    <row r="147" spans="15:18">
      <c r="O147" t="s">
        <v>25</v>
      </c>
    </row>
    <row r="151" spans="15:18">
      <c r="P151" t="s">
        <v>25</v>
      </c>
      <c r="Q151" t="s">
        <v>25</v>
      </c>
    </row>
    <row r="152" spans="15:18">
      <c r="Q152" t="s">
        <v>25</v>
      </c>
    </row>
    <row r="156" spans="15:18">
      <c r="R156" t="s">
        <v>25</v>
      </c>
    </row>
    <row r="159" spans="15:18">
      <c r="P159" t="s">
        <v>25</v>
      </c>
    </row>
    <row r="160" spans="15:18">
      <c r="P160" t="s">
        <v>25</v>
      </c>
    </row>
    <row r="162" spans="15:16">
      <c r="P162" t="s">
        <v>25</v>
      </c>
    </row>
    <row r="163" spans="15:16">
      <c r="O163" t="s">
        <v>25</v>
      </c>
    </row>
    <row r="178" spans="16:21">
      <c r="P178" t="s">
        <v>25</v>
      </c>
    </row>
    <row r="179" spans="16:21">
      <c r="S179" t="s">
        <v>25</v>
      </c>
    </row>
    <row r="189" spans="16:21">
      <c r="P189" t="s">
        <v>25</v>
      </c>
    </row>
    <row r="192" spans="16:21">
      <c r="U192" t="s">
        <v>25</v>
      </c>
    </row>
    <row r="195" spans="15:17">
      <c r="Q195" t="s">
        <v>25</v>
      </c>
    </row>
    <row r="198" spans="15:17">
      <c r="P198" t="s">
        <v>25</v>
      </c>
    </row>
    <row r="203" spans="15:17">
      <c r="O203" s="94"/>
    </row>
    <row r="204" spans="15:17">
      <c r="O204" s="94" t="s">
        <v>25</v>
      </c>
    </row>
    <row r="205" spans="15:17">
      <c r="O205" s="94"/>
      <c r="P205" t="s">
        <v>25</v>
      </c>
    </row>
    <row r="206" spans="15:17">
      <c r="O206" s="94" t="s">
        <v>25</v>
      </c>
    </row>
    <row r="207" spans="15:17">
      <c r="O207" s="94"/>
    </row>
    <row r="208" spans="15:17">
      <c r="O208" s="94"/>
    </row>
  </sheetData>
  <conditionalFormatting sqref="K51 K1:K39">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44:K50">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8:K70">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24" t="s">
        <v>6532</v>
      </c>
      <c r="C1" s="424"/>
      <c r="D1" s="424" t="s">
        <v>6533</v>
      </c>
      <c r="E1" s="424"/>
      <c r="G1" s="22"/>
      <c r="R1" s="97" t="s">
        <v>5516</v>
      </c>
      <c r="S1" s="97"/>
      <c r="T1" s="97" t="s">
        <v>933</v>
      </c>
      <c r="U1" s="97" t="s">
        <v>6523</v>
      </c>
      <c r="V1" s="97"/>
      <c r="W1" s="97" t="s">
        <v>933</v>
      </c>
      <c r="X1" s="97" t="s">
        <v>6524</v>
      </c>
      <c r="Y1" s="97"/>
      <c r="Z1" s="97" t="s">
        <v>936</v>
      </c>
      <c r="AA1" s="97" t="s">
        <v>5</v>
      </c>
      <c r="AB1" s="97" t="s">
        <v>6525</v>
      </c>
      <c r="AC1" s="342"/>
      <c r="AD1" s="342" t="s">
        <v>6526</v>
      </c>
    </row>
    <row r="2" spans="1:30">
      <c r="A2" s="329" t="s">
        <v>3623</v>
      </c>
      <c r="B2" s="329" t="s">
        <v>180</v>
      </c>
      <c r="C2" s="329" t="s">
        <v>6534</v>
      </c>
      <c r="D2" s="329" t="s">
        <v>6535</v>
      </c>
      <c r="E2" s="329" t="s">
        <v>6536</v>
      </c>
      <c r="F2" s="329" t="s">
        <v>5309</v>
      </c>
      <c r="G2" s="22"/>
      <c r="H2" s="329" t="s">
        <v>4116</v>
      </c>
      <c r="I2" s="329" t="s">
        <v>5</v>
      </c>
      <c r="R2" s="97" t="s">
        <v>5506</v>
      </c>
      <c r="S2" s="97" t="s">
        <v>6522</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6602</v>
      </c>
      <c r="C3" s="338" t="s">
        <v>6603</v>
      </c>
      <c r="D3" s="338">
        <v>0</v>
      </c>
      <c r="E3" s="338">
        <v>426136788</v>
      </c>
      <c r="F3" s="338">
        <v>1153060652</v>
      </c>
      <c r="G3" s="22"/>
      <c r="H3" s="112">
        <v>1230000</v>
      </c>
      <c r="I3" s="112">
        <f>H3/2</f>
        <v>615000</v>
      </c>
      <c r="J3" s="341" t="s">
        <v>6605</v>
      </c>
      <c r="R3" s="271" t="s">
        <v>5736</v>
      </c>
      <c r="S3" s="340" t="s">
        <v>6601</v>
      </c>
      <c r="T3" s="271">
        <v>21532</v>
      </c>
      <c r="U3" s="271">
        <v>1859</v>
      </c>
      <c r="V3" s="273" t="s">
        <v>6529</v>
      </c>
      <c r="W3" s="273">
        <v>1187</v>
      </c>
      <c r="X3" s="273">
        <f t="shared" ref="X3:X9" si="0">T3*U3*0.99114/(W3*1.0037158)</f>
        <v>33299.467209851166</v>
      </c>
      <c r="Y3" s="273">
        <f t="shared" ref="Y3:Y9" si="1">T3/W3</f>
        <v>18.139848357203032</v>
      </c>
      <c r="Z3" s="93">
        <v>0</v>
      </c>
      <c r="AA3" s="93">
        <f t="shared" ref="AA3:AA9" si="2">Z3/2</f>
        <v>0</v>
      </c>
      <c r="AB3" s="97" t="s">
        <v>6519</v>
      </c>
      <c r="AC3" s="342"/>
      <c r="AD3" s="342"/>
    </row>
    <row r="4" spans="1:30" s="341" customFormat="1">
      <c r="A4" s="343">
        <v>3</v>
      </c>
      <c r="B4" s="343" t="s">
        <v>6602</v>
      </c>
      <c r="C4" s="343" t="s">
        <v>6604</v>
      </c>
      <c r="D4" s="343">
        <v>0</v>
      </c>
      <c r="E4" s="343">
        <v>259688196</v>
      </c>
      <c r="F4" s="343">
        <v>1412748848</v>
      </c>
      <c r="G4" s="22"/>
      <c r="H4" s="112"/>
      <c r="I4" s="112"/>
      <c r="R4" s="271" t="s">
        <v>5742</v>
      </c>
      <c r="S4" s="271" t="s">
        <v>6528</v>
      </c>
      <c r="T4" s="271">
        <v>22420.1</v>
      </c>
      <c r="U4" s="286">
        <v>1000</v>
      </c>
      <c r="V4" s="273" t="s">
        <v>6530</v>
      </c>
      <c r="W4" s="273">
        <v>1161</v>
      </c>
      <c r="X4" s="273">
        <f t="shared" si="0"/>
        <v>19069.072437793271</v>
      </c>
      <c r="Y4" s="273">
        <f t="shared" si="1"/>
        <v>19.311024978466836</v>
      </c>
      <c r="Z4" s="93">
        <v>19462210</v>
      </c>
      <c r="AA4" s="93">
        <f t="shared" si="2"/>
        <v>9731105</v>
      </c>
      <c r="AB4" s="97" t="s">
        <v>6513</v>
      </c>
      <c r="AC4" s="342"/>
      <c r="AD4" s="342"/>
    </row>
    <row r="5" spans="1:30">
      <c r="A5" s="339"/>
      <c r="B5" s="330" t="s">
        <v>6537</v>
      </c>
      <c r="C5" s="330" t="s">
        <v>6538</v>
      </c>
      <c r="D5" s="330">
        <v>0</v>
      </c>
      <c r="E5" s="330">
        <v>1545379960</v>
      </c>
      <c r="F5" s="330">
        <v>1545486874</v>
      </c>
      <c r="G5" s="22"/>
      <c r="H5" s="112">
        <f>(E5-D7)/10</f>
        <v>19462210.699999999</v>
      </c>
      <c r="I5" s="112">
        <f>H5/2</f>
        <v>9731105.3499999996</v>
      </c>
      <c r="R5" s="271" t="s">
        <v>5744</v>
      </c>
      <c r="S5" s="271" t="s">
        <v>6528</v>
      </c>
      <c r="T5" s="271">
        <v>23233.1</v>
      </c>
      <c r="U5" s="286">
        <v>1000</v>
      </c>
      <c r="V5" s="273" t="s">
        <v>6530</v>
      </c>
      <c r="W5" s="273">
        <v>1152</v>
      </c>
      <c r="X5" s="273">
        <f t="shared" si="0"/>
        <v>19914.936480069027</v>
      </c>
      <c r="Y5" s="273">
        <f t="shared" si="1"/>
        <v>20.167621527777776</v>
      </c>
      <c r="Z5" s="93">
        <v>0</v>
      </c>
      <c r="AA5" s="93">
        <f t="shared" si="2"/>
        <v>0</v>
      </c>
      <c r="AB5" s="97" t="s">
        <v>6513</v>
      </c>
      <c r="AC5" s="342"/>
      <c r="AD5" s="342"/>
    </row>
    <row r="6" spans="1:30">
      <c r="A6" s="329"/>
      <c r="B6" s="331" t="s">
        <v>6537</v>
      </c>
      <c r="C6" s="331" t="s">
        <v>6539</v>
      </c>
      <c r="D6" s="331">
        <v>0</v>
      </c>
      <c r="E6" s="331">
        <v>32194843</v>
      </c>
      <c r="F6" s="331">
        <v>1577681717</v>
      </c>
      <c r="G6" s="22"/>
      <c r="H6" s="112">
        <f>E6/10</f>
        <v>3219484.3</v>
      </c>
      <c r="I6" s="112">
        <f>H6/2</f>
        <v>1609742.15</v>
      </c>
      <c r="R6" s="271" t="s">
        <v>5746</v>
      </c>
      <c r="S6" s="271" t="s">
        <v>6528</v>
      </c>
      <c r="T6" s="271">
        <v>23900</v>
      </c>
      <c r="U6" s="286">
        <v>1000</v>
      </c>
      <c r="V6" s="273" t="s">
        <v>6531</v>
      </c>
      <c r="W6" s="273">
        <v>1153</v>
      </c>
      <c r="X6" s="273">
        <f t="shared" si="0"/>
        <v>20468.821398374203</v>
      </c>
      <c r="Y6" s="273">
        <f t="shared" si="1"/>
        <v>20.7285342584562</v>
      </c>
      <c r="Z6" s="93">
        <v>0</v>
      </c>
      <c r="AA6" s="93">
        <f t="shared" si="2"/>
        <v>0</v>
      </c>
      <c r="AB6" s="97" t="s">
        <v>6513</v>
      </c>
      <c r="AC6" s="342"/>
      <c r="AD6" s="342"/>
    </row>
    <row r="7" spans="1:30">
      <c r="A7" s="339"/>
      <c r="B7" s="330" t="s">
        <v>6537</v>
      </c>
      <c r="C7" s="330" t="s">
        <v>6540</v>
      </c>
      <c r="D7" s="330">
        <v>1350757853</v>
      </c>
      <c r="E7" s="330">
        <v>0</v>
      </c>
      <c r="F7" s="330">
        <v>226923864</v>
      </c>
      <c r="G7" s="22"/>
      <c r="H7" s="112"/>
      <c r="I7" s="112"/>
      <c r="R7" s="271" t="s">
        <v>5759</v>
      </c>
      <c r="S7" s="271" t="s">
        <v>6528</v>
      </c>
      <c r="T7" s="271">
        <v>22500</v>
      </c>
      <c r="U7" s="286">
        <v>2000</v>
      </c>
      <c r="V7" s="273" t="s">
        <v>6530</v>
      </c>
      <c r="W7" s="273">
        <v>1093</v>
      </c>
      <c r="X7" s="273">
        <f t="shared" si="0"/>
        <v>40655.246136679802</v>
      </c>
      <c r="Y7" s="273">
        <f t="shared" si="1"/>
        <v>20.585544373284538</v>
      </c>
      <c r="Z7" s="93">
        <v>0</v>
      </c>
      <c r="AA7" s="93">
        <f t="shared" si="2"/>
        <v>0</v>
      </c>
      <c r="AB7" s="97" t="s">
        <v>6513</v>
      </c>
      <c r="AC7" s="342"/>
      <c r="AD7" s="342"/>
    </row>
    <row r="8" spans="1:30" ht="30">
      <c r="A8" s="41">
        <v>1</v>
      </c>
      <c r="B8" s="331" t="s">
        <v>6541</v>
      </c>
      <c r="C8" s="331" t="s">
        <v>6542</v>
      </c>
      <c r="D8" s="331">
        <v>0</v>
      </c>
      <c r="E8" s="331">
        <v>417254126</v>
      </c>
      <c r="F8" s="331">
        <v>417260507</v>
      </c>
      <c r="G8" s="22" t="s">
        <v>6543</v>
      </c>
      <c r="H8" s="112"/>
      <c r="I8" s="112"/>
      <c r="R8" s="271" t="s">
        <v>6494</v>
      </c>
      <c r="S8" s="271" t="s">
        <v>6527</v>
      </c>
      <c r="T8" s="271">
        <v>23706</v>
      </c>
      <c r="U8" s="286">
        <v>1000</v>
      </c>
      <c r="V8" s="273" t="s">
        <v>4216</v>
      </c>
      <c r="W8" s="273">
        <v>1155</v>
      </c>
      <c r="X8" s="273">
        <f t="shared" si="0"/>
        <v>20267.516662882761</v>
      </c>
      <c r="Y8" s="273">
        <f t="shared" si="1"/>
        <v>20.524675324675325</v>
      </c>
      <c r="Z8" s="93">
        <v>0</v>
      </c>
      <c r="AA8" s="93">
        <f t="shared" si="2"/>
        <v>0</v>
      </c>
      <c r="AB8" s="97" t="s">
        <v>6513</v>
      </c>
      <c r="AC8" s="342"/>
      <c r="AD8" s="342"/>
    </row>
    <row r="9" spans="1:30">
      <c r="A9" s="41">
        <v>2</v>
      </c>
      <c r="B9" s="331" t="s">
        <v>6541</v>
      </c>
      <c r="C9" s="331" t="s">
        <v>6544</v>
      </c>
      <c r="D9" s="331">
        <v>417153593</v>
      </c>
      <c r="E9" s="331">
        <v>0</v>
      </c>
      <c r="F9" s="331">
        <v>106914</v>
      </c>
      <c r="G9" s="22"/>
      <c r="H9" s="112"/>
      <c r="I9" s="112"/>
      <c r="R9" s="60" t="s">
        <v>6494</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6500</v>
      </c>
      <c r="AC9" s="342"/>
      <c r="AD9" s="342" t="s">
        <v>25</v>
      </c>
    </row>
    <row r="10" spans="1:30">
      <c r="A10" s="41">
        <v>3</v>
      </c>
      <c r="B10" s="330" t="s">
        <v>6545</v>
      </c>
      <c r="C10" s="332" t="s">
        <v>6546</v>
      </c>
      <c r="D10" s="332">
        <v>0</v>
      </c>
      <c r="E10" s="332">
        <v>234963645</v>
      </c>
      <c r="F10" s="332">
        <v>235147671</v>
      </c>
      <c r="G10" s="22"/>
      <c r="H10" s="112"/>
      <c r="I10" s="112"/>
      <c r="R10" s="342"/>
      <c r="S10" s="342"/>
      <c r="T10" s="342"/>
      <c r="U10" s="342"/>
      <c r="V10" s="342"/>
      <c r="W10" s="342"/>
      <c r="X10" s="342"/>
      <c r="Y10" s="342"/>
      <c r="Z10" s="342"/>
    </row>
    <row r="11" spans="1:30">
      <c r="A11" s="331">
        <v>4</v>
      </c>
      <c r="B11" s="331" t="s">
        <v>6545</v>
      </c>
      <c r="C11" s="331" t="s">
        <v>6547</v>
      </c>
      <c r="D11" s="331">
        <v>0</v>
      </c>
      <c r="E11" s="331">
        <v>370711163</v>
      </c>
      <c r="F11" s="331">
        <v>605858834</v>
      </c>
      <c r="G11" s="22"/>
      <c r="H11" s="112"/>
      <c r="I11" s="112"/>
      <c r="R11" s="342"/>
      <c r="S11" s="342"/>
      <c r="T11" s="342"/>
      <c r="U11" s="342"/>
      <c r="V11" s="342"/>
      <c r="W11" s="342"/>
      <c r="X11" s="342"/>
      <c r="Y11" s="342"/>
      <c r="Z11" s="342"/>
    </row>
    <row r="12" spans="1:30" ht="30">
      <c r="A12" s="331">
        <v>5</v>
      </c>
      <c r="B12" s="330" t="s">
        <v>6545</v>
      </c>
      <c r="C12" s="331" t="s">
        <v>6548</v>
      </c>
      <c r="D12" s="332">
        <v>605852453</v>
      </c>
      <c r="E12" s="332">
        <v>0</v>
      </c>
      <c r="F12" s="332">
        <v>6381</v>
      </c>
      <c r="G12" s="22" t="s">
        <v>6549</v>
      </c>
      <c r="H12" s="112"/>
      <c r="I12" s="112"/>
      <c r="R12" s="342"/>
      <c r="S12" s="342"/>
      <c r="T12" s="342"/>
      <c r="U12" s="342"/>
      <c r="V12" s="342"/>
      <c r="W12" s="342"/>
      <c r="X12" s="342"/>
      <c r="Y12" s="342"/>
      <c r="Z12" s="342"/>
    </row>
    <row r="13" spans="1:30">
      <c r="A13" s="41">
        <v>11</v>
      </c>
      <c r="B13" s="41" t="s">
        <v>6378</v>
      </c>
      <c r="C13" s="41" t="s">
        <v>6550</v>
      </c>
      <c r="D13" s="41">
        <v>88258180</v>
      </c>
      <c r="E13" s="41">
        <v>0</v>
      </c>
      <c r="F13" s="41">
        <v>184108</v>
      </c>
      <c r="G13" s="22" t="s">
        <v>6551</v>
      </c>
      <c r="H13" s="112"/>
      <c r="I13" s="112"/>
      <c r="R13" s="342"/>
      <c r="S13" s="342"/>
      <c r="T13" s="342"/>
      <c r="U13" s="342"/>
      <c r="V13" s="342"/>
      <c r="W13" s="342"/>
      <c r="X13" s="342"/>
      <c r="Y13" s="342"/>
      <c r="Z13" s="342"/>
    </row>
    <row r="14" spans="1:30">
      <c r="A14" s="333">
        <v>12</v>
      </c>
      <c r="B14" s="333" t="s">
        <v>6552</v>
      </c>
      <c r="C14" s="333" t="s">
        <v>6553</v>
      </c>
      <c r="D14" s="333">
        <v>0</v>
      </c>
      <c r="E14" s="333">
        <v>88371992</v>
      </c>
      <c r="F14" s="333">
        <v>88442288</v>
      </c>
      <c r="G14" s="22"/>
      <c r="H14" s="112"/>
      <c r="I14" s="112"/>
    </row>
    <row r="15" spans="1:30">
      <c r="A15" s="334">
        <v>15</v>
      </c>
      <c r="B15" s="330" t="s">
        <v>6554</v>
      </c>
      <c r="C15" s="334" t="s">
        <v>6555</v>
      </c>
      <c r="D15" s="334">
        <v>0</v>
      </c>
      <c r="E15" s="334">
        <v>446040000</v>
      </c>
      <c r="F15" s="334">
        <v>455337264</v>
      </c>
      <c r="G15" s="22"/>
      <c r="H15" s="112"/>
      <c r="I15" s="112"/>
    </row>
    <row r="16" spans="1:30">
      <c r="A16" s="41">
        <v>16</v>
      </c>
      <c r="B16" s="41" t="s">
        <v>6554</v>
      </c>
      <c r="C16" s="41" t="s">
        <v>6556</v>
      </c>
      <c r="D16" s="41">
        <v>0</v>
      </c>
      <c r="E16" s="41">
        <v>5458523</v>
      </c>
      <c r="F16" s="41">
        <v>460795787</v>
      </c>
      <c r="G16" s="22"/>
      <c r="H16" s="112"/>
      <c r="I16" s="112"/>
    </row>
    <row r="17" spans="1:9">
      <c r="A17" s="334">
        <v>17</v>
      </c>
      <c r="B17" s="330" t="s">
        <v>6554</v>
      </c>
      <c r="C17" s="334" t="s">
        <v>6557</v>
      </c>
      <c r="D17" s="334">
        <v>460784299</v>
      </c>
      <c r="E17" s="334">
        <v>0</v>
      </c>
      <c r="F17" s="334">
        <v>11488</v>
      </c>
      <c r="G17" s="22"/>
      <c r="H17" s="112"/>
      <c r="I17" s="112"/>
    </row>
    <row r="18" spans="1:9">
      <c r="A18" s="335">
        <v>19</v>
      </c>
      <c r="B18" s="330" t="s">
        <v>6558</v>
      </c>
      <c r="C18" s="335" t="s">
        <v>6559</v>
      </c>
      <c r="D18" s="335">
        <v>0</v>
      </c>
      <c r="E18" s="335">
        <v>236896800</v>
      </c>
      <c r="F18" s="335">
        <v>247051542</v>
      </c>
      <c r="G18" s="22"/>
      <c r="H18" s="112"/>
      <c r="I18" s="112"/>
    </row>
    <row r="19" spans="1:9">
      <c r="A19" s="335">
        <v>22</v>
      </c>
      <c r="B19" s="330" t="s">
        <v>6558</v>
      </c>
      <c r="C19" s="335" t="s">
        <v>6560</v>
      </c>
      <c r="D19" s="335">
        <v>244418699</v>
      </c>
      <c r="E19" s="335">
        <v>0</v>
      </c>
      <c r="F19" s="335">
        <v>8048350</v>
      </c>
      <c r="G19" s="22"/>
      <c r="H19" s="112"/>
      <c r="I19" s="112"/>
    </row>
    <row r="20" spans="1:9">
      <c r="A20" s="336">
        <v>23</v>
      </c>
      <c r="B20" s="330" t="s">
        <v>6561</v>
      </c>
      <c r="C20" s="336" t="s">
        <v>6562</v>
      </c>
      <c r="D20" s="336">
        <v>0</v>
      </c>
      <c r="E20" s="336">
        <v>230286491</v>
      </c>
      <c r="F20" s="336">
        <v>238422914</v>
      </c>
      <c r="G20" s="22"/>
      <c r="H20" s="112"/>
      <c r="I20" s="112"/>
    </row>
    <row r="21" spans="1:9">
      <c r="A21" s="336">
        <v>24</v>
      </c>
      <c r="B21" s="330" t="s">
        <v>6561</v>
      </c>
      <c r="C21" s="336" t="s">
        <v>6563</v>
      </c>
      <c r="D21" s="336">
        <v>228268172</v>
      </c>
      <c r="E21" s="336">
        <v>0</v>
      </c>
      <c r="F21" s="336">
        <v>10154742</v>
      </c>
      <c r="G21" s="22"/>
      <c r="H21" s="112"/>
      <c r="I21" s="112"/>
    </row>
    <row r="22" spans="1:9">
      <c r="A22" s="337">
        <v>25</v>
      </c>
      <c r="B22" s="330" t="s">
        <v>6564</v>
      </c>
      <c r="C22" s="337" t="s">
        <v>6565</v>
      </c>
      <c r="D22" s="337">
        <v>0</v>
      </c>
      <c r="E22" s="337">
        <v>222228038</v>
      </c>
      <c r="F22" s="337">
        <v>230347490</v>
      </c>
      <c r="G22" s="22"/>
      <c r="H22" s="112"/>
      <c r="I22" s="112"/>
    </row>
    <row r="23" spans="1:9">
      <c r="A23" s="337">
        <v>26</v>
      </c>
      <c r="B23" s="330" t="s">
        <v>6564</v>
      </c>
      <c r="C23" s="337" t="s">
        <v>6566</v>
      </c>
      <c r="D23" s="337">
        <v>222211067</v>
      </c>
      <c r="E23" s="337">
        <v>0</v>
      </c>
      <c r="F23" s="337">
        <v>8136423</v>
      </c>
      <c r="G23" s="22"/>
      <c r="H23" s="112"/>
      <c r="I23" s="112"/>
    </row>
    <row r="24" spans="1:9">
      <c r="A24" s="338">
        <v>27</v>
      </c>
      <c r="B24" s="338" t="s">
        <v>6567</v>
      </c>
      <c r="C24" s="338" t="s">
        <v>6568</v>
      </c>
      <c r="D24" s="338">
        <v>0</v>
      </c>
      <c r="E24" s="338">
        <v>396757423</v>
      </c>
      <c r="F24" s="338">
        <v>404903981</v>
      </c>
      <c r="G24" s="22"/>
      <c r="H24" s="112"/>
      <c r="I24" s="112"/>
    </row>
    <row r="25" spans="1:9" ht="30">
      <c r="A25" s="338">
        <v>28</v>
      </c>
      <c r="B25" s="338" t="s">
        <v>6567</v>
      </c>
      <c r="C25" s="338" t="s">
        <v>6569</v>
      </c>
      <c r="D25" s="338">
        <v>396784529</v>
      </c>
      <c r="E25" s="338">
        <v>0</v>
      </c>
      <c r="F25" s="338">
        <v>8119452</v>
      </c>
      <c r="G25" s="22" t="s">
        <v>6570</v>
      </c>
      <c r="H25" s="112"/>
      <c r="I25" s="112"/>
    </row>
    <row r="26" spans="1:9">
      <c r="A26" s="41">
        <v>41</v>
      </c>
      <c r="B26" s="41" t="s">
        <v>6571</v>
      </c>
      <c r="C26" s="41" t="s">
        <v>6572</v>
      </c>
      <c r="D26" s="41">
        <v>9935956</v>
      </c>
      <c r="E26" s="41">
        <v>0</v>
      </c>
      <c r="F26" s="41">
        <v>4150875</v>
      </c>
      <c r="G26" s="22"/>
      <c r="H26" s="112"/>
      <c r="I26" s="112"/>
    </row>
    <row r="27" spans="1:9" ht="30">
      <c r="A27" s="333">
        <v>46</v>
      </c>
      <c r="B27" s="333" t="s">
        <v>6573</v>
      </c>
      <c r="C27" s="333" t="s">
        <v>6574</v>
      </c>
      <c r="D27" s="333">
        <v>13072</v>
      </c>
      <c r="E27" s="333">
        <v>0</v>
      </c>
      <c r="F27" s="333">
        <v>4639060</v>
      </c>
      <c r="G27" s="22" t="s">
        <v>6575</v>
      </c>
      <c r="H27" s="112"/>
      <c r="I27" s="112"/>
    </row>
    <row r="28" spans="1:9">
      <c r="A28" s="41">
        <v>59</v>
      </c>
      <c r="B28" s="41" t="s">
        <v>6576</v>
      </c>
      <c r="C28" s="41" t="s">
        <v>6577</v>
      </c>
      <c r="D28" s="41">
        <v>0</v>
      </c>
      <c r="E28" s="41">
        <v>2339234</v>
      </c>
      <c r="F28" s="41">
        <v>2355939</v>
      </c>
      <c r="G28" s="22"/>
      <c r="H28" s="112"/>
      <c r="I28" s="112"/>
    </row>
    <row r="29" spans="1:9">
      <c r="A29" s="334">
        <v>65</v>
      </c>
      <c r="B29" s="334" t="s">
        <v>6578</v>
      </c>
      <c r="C29" s="334" t="s">
        <v>6579</v>
      </c>
      <c r="D29" s="334">
        <v>0</v>
      </c>
      <c r="E29" s="334">
        <v>161458284</v>
      </c>
      <c r="F29" s="334">
        <v>379598720</v>
      </c>
      <c r="G29" s="22" t="s">
        <v>6580</v>
      </c>
      <c r="H29" s="112">
        <f>(E29-D31)/10</f>
        <v>987467.4</v>
      </c>
      <c r="I29" s="112">
        <f>H29/2</f>
        <v>493733.7</v>
      </c>
    </row>
    <row r="30" spans="1:9">
      <c r="A30" s="41">
        <v>66</v>
      </c>
      <c r="B30" s="41" t="s">
        <v>6578</v>
      </c>
      <c r="C30" s="41" t="s">
        <v>6581</v>
      </c>
      <c r="D30" s="41">
        <v>227863316</v>
      </c>
      <c r="E30" s="41">
        <v>0</v>
      </c>
      <c r="F30" s="41">
        <v>151735404</v>
      </c>
      <c r="G30" s="22"/>
    </row>
    <row r="31" spans="1:9">
      <c r="A31" s="334">
        <v>67</v>
      </c>
      <c r="B31" s="334" t="s">
        <v>6578</v>
      </c>
      <c r="C31" s="334" t="s">
        <v>6582</v>
      </c>
      <c r="D31" s="334">
        <v>151583610</v>
      </c>
      <c r="E31" s="334">
        <v>0</v>
      </c>
      <c r="F31" s="334">
        <v>151794</v>
      </c>
      <c r="G31" s="22"/>
    </row>
    <row r="32" spans="1:9">
      <c r="A32" s="41">
        <v>69</v>
      </c>
      <c r="B32" s="41" t="s">
        <v>6583</v>
      </c>
      <c r="C32" s="41" t="s">
        <v>6584</v>
      </c>
      <c r="D32" s="41">
        <v>86650200</v>
      </c>
      <c r="E32" s="41">
        <v>0</v>
      </c>
      <c r="F32" s="41">
        <v>420268653</v>
      </c>
      <c r="G32" s="22"/>
    </row>
    <row r="33" spans="1:9">
      <c r="A33" s="41">
        <v>71</v>
      </c>
      <c r="B33" s="41" t="s">
        <v>6583</v>
      </c>
      <c r="C33" s="41" t="s">
        <v>6585</v>
      </c>
      <c r="D33" s="41">
        <v>135477677</v>
      </c>
      <c r="E33" s="41">
        <v>0</v>
      </c>
      <c r="F33" s="41">
        <v>223507936</v>
      </c>
      <c r="G33" s="22"/>
    </row>
    <row r="34" spans="1:9">
      <c r="A34" s="41">
        <v>73</v>
      </c>
      <c r="B34" s="41" t="s">
        <v>6583</v>
      </c>
      <c r="C34" s="41" t="s">
        <v>6586</v>
      </c>
      <c r="D34" s="41">
        <v>69492638</v>
      </c>
      <c r="E34" s="41">
        <v>0</v>
      </c>
      <c r="F34" s="41">
        <v>153774186</v>
      </c>
      <c r="G34" s="22"/>
    </row>
    <row r="35" spans="1:9">
      <c r="A35" s="41">
        <v>79</v>
      </c>
      <c r="B35" s="41" t="s">
        <v>6587</v>
      </c>
      <c r="C35" s="41" t="s">
        <v>6588</v>
      </c>
      <c r="D35" s="41">
        <v>338468093</v>
      </c>
      <c r="E35" s="41">
        <v>0</v>
      </c>
      <c r="F35" s="41">
        <v>-338350050</v>
      </c>
      <c r="G35" s="22"/>
    </row>
    <row r="36" spans="1:9">
      <c r="A36" s="41">
        <v>80</v>
      </c>
      <c r="B36" s="41" t="s">
        <v>6589</v>
      </c>
      <c r="C36" s="41" t="s">
        <v>6590</v>
      </c>
      <c r="D36" s="41">
        <v>330081591</v>
      </c>
      <c r="E36" s="41">
        <v>0</v>
      </c>
      <c r="F36" s="41">
        <v>-330057613</v>
      </c>
      <c r="G36" s="22"/>
    </row>
    <row r="37" spans="1:9">
      <c r="A37" s="41">
        <v>81</v>
      </c>
      <c r="B37" s="41" t="s">
        <v>6589</v>
      </c>
      <c r="C37" s="41" t="s">
        <v>6591</v>
      </c>
      <c r="D37" s="41">
        <v>169824344</v>
      </c>
      <c r="E37" s="41">
        <v>0</v>
      </c>
      <c r="F37" s="41">
        <v>-499881957</v>
      </c>
      <c r="G37" s="22"/>
    </row>
    <row r="38" spans="1:9">
      <c r="A38" s="41">
        <v>82</v>
      </c>
      <c r="B38" s="41" t="s">
        <v>6592</v>
      </c>
      <c r="C38" s="41" t="s">
        <v>6593</v>
      </c>
      <c r="D38" s="41">
        <v>176497082</v>
      </c>
      <c r="E38" s="41">
        <v>0</v>
      </c>
      <c r="F38" s="41">
        <v>152229958</v>
      </c>
      <c r="G38" s="22"/>
    </row>
    <row r="39" spans="1:9">
      <c r="A39" s="41">
        <v>83</v>
      </c>
      <c r="B39" s="41" t="s">
        <v>6592</v>
      </c>
      <c r="C39" s="41" t="s">
        <v>6594</v>
      </c>
      <c r="D39" s="41">
        <v>152205980</v>
      </c>
      <c r="E39" s="41">
        <v>0</v>
      </c>
      <c r="F39" s="41">
        <v>23978</v>
      </c>
      <c r="G39" s="22"/>
    </row>
    <row r="40" spans="1:9">
      <c r="A40" s="41">
        <v>85</v>
      </c>
      <c r="B40" s="41" t="s">
        <v>6595</v>
      </c>
      <c r="C40" s="41" t="s">
        <v>6596</v>
      </c>
      <c r="D40" s="41">
        <v>170329802</v>
      </c>
      <c r="E40" s="41">
        <v>0</v>
      </c>
      <c r="F40" s="41">
        <v>329670198</v>
      </c>
      <c r="G40" s="22"/>
    </row>
    <row r="41" spans="1:9">
      <c r="A41" s="41">
        <v>86</v>
      </c>
      <c r="B41" s="41" t="s">
        <v>6597</v>
      </c>
      <c r="C41" s="41" t="s">
        <v>6598</v>
      </c>
      <c r="D41" s="41">
        <v>0</v>
      </c>
      <c r="E41" s="41">
        <v>0</v>
      </c>
      <c r="F41" s="41">
        <v>0</v>
      </c>
      <c r="H41" s="94">
        <f>SUM(H6:H40)</f>
        <v>4206951.7</v>
      </c>
      <c r="I41" s="94">
        <f>SUM(I6:I40)</f>
        <v>2103475.85</v>
      </c>
    </row>
    <row r="42" spans="1:9">
      <c r="A42" s="41">
        <v>87</v>
      </c>
      <c r="G42" s="22"/>
      <c r="H42" s="22" t="s">
        <v>6599</v>
      </c>
      <c r="I42" s="94" t="s">
        <v>6600</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5525</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5526</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5532</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5536</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5537</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5541</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5546</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5548</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5549</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5550</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5551</v>
      </c>
      <c r="L389" s="82">
        <v>6126666000</v>
      </c>
      <c r="M389" s="82">
        <v>3341157354</v>
      </c>
      <c r="N389" s="111">
        <f t="shared" si="44"/>
        <v>9467823354</v>
      </c>
      <c r="O389" s="111">
        <f t="shared" si="49"/>
        <v>26757796</v>
      </c>
      <c r="P389" s="111">
        <f t="shared" si="50"/>
        <v>-44095692</v>
      </c>
      <c r="Q389" s="217">
        <v>0</v>
      </c>
    </row>
    <row r="390" spans="9:21">
      <c r="I390" s="257" t="s">
        <v>5557</v>
      </c>
      <c r="J390" s="92">
        <f>L390-L389+98469400</f>
        <v>113425690</v>
      </c>
      <c r="K390" s="257" t="s">
        <v>5540</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5538</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5558</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5559</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5560</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5562</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5563</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5564</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5539</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5567</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5568</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5571</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5572</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5574</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5576</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5579</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5581</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5582</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5583</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5586</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5588</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5591</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5592</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5593</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5596</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5597</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5598</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5603</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5604</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5606</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5608</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5609</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5610</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5622</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5623</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5625</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5629</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5631</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5634</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5638</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5640</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5644</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5646</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5648</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5649</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5651</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5652</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5654</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5656</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5658</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5660</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5661</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5662</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5671</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5673</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5674</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5685</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5684</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5683</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5677</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5680</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5681</v>
      </c>
      <c r="L453" s="82">
        <v>4500000000</v>
      </c>
      <c r="M453" s="82">
        <v>2500000000</v>
      </c>
      <c r="N453" s="111">
        <f t="shared" si="52"/>
        <v>7000000000</v>
      </c>
      <c r="O453" s="111">
        <f t="shared" si="55"/>
        <v>-100000000</v>
      </c>
      <c r="P453" s="111">
        <f t="shared" si="56"/>
        <v>-200000000</v>
      </c>
      <c r="Q453" s="217">
        <v>0</v>
      </c>
    </row>
    <row r="454" spans="9:21">
      <c r="I454" s="187" t="s">
        <v>5687</v>
      </c>
      <c r="J454" s="186">
        <f>L454-L453-260000000</f>
        <v>-241879353</v>
      </c>
      <c r="K454" s="187" t="s">
        <v>5682</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5686</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5688</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5689</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5690</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5691</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5694</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5695</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5696</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5697</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5698</v>
      </c>
      <c r="L464" s="82">
        <v>5684600946</v>
      </c>
      <c r="M464" s="82">
        <v>3223570500</v>
      </c>
      <c r="N464" s="111">
        <f t="shared" si="57"/>
        <v>8908171446</v>
      </c>
      <c r="O464" s="111">
        <f t="shared" si="58"/>
        <v>146480670</v>
      </c>
      <c r="P464" s="111">
        <f t="shared" si="59"/>
        <v>445129043</v>
      </c>
      <c r="Q464" s="217">
        <v>0</v>
      </c>
    </row>
    <row r="465" spans="9:19">
      <c r="I465" s="187" t="s">
        <v>5701</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5704</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5705</v>
      </c>
      <c r="L467" s="82">
        <v>6143888625</v>
      </c>
      <c r="M467" s="82">
        <v>3526728170</v>
      </c>
      <c r="N467" s="111">
        <f t="shared" si="57"/>
        <v>9670616795</v>
      </c>
      <c r="O467" s="111">
        <f t="shared" si="58"/>
        <v>62523077</v>
      </c>
      <c r="P467" s="111">
        <f t="shared" si="59"/>
        <v>145542848</v>
      </c>
      <c r="Q467" s="217">
        <v>0</v>
      </c>
    </row>
    <row r="468" spans="9:19">
      <c r="I468" s="206" t="s">
        <v>5708</v>
      </c>
      <c r="J468" s="111">
        <f>L468-L467-20000</f>
        <v>-31443260</v>
      </c>
      <c r="K468" s="206" t="s">
        <v>5707</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5710</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5711</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5713</v>
      </c>
      <c r="L471" s="82">
        <v>6013616539</v>
      </c>
      <c r="M471" s="82">
        <v>3413915060</v>
      </c>
      <c r="N471" s="111">
        <f t="shared" si="57"/>
        <v>9427531599</v>
      </c>
      <c r="O471" s="111">
        <f t="shared" si="58"/>
        <v>-132100286</v>
      </c>
      <c r="P471" s="111">
        <f t="shared" si="59"/>
        <v>-358771555</v>
      </c>
      <c r="Q471" s="217">
        <v>0</v>
      </c>
      <c r="R471" t="s">
        <v>25</v>
      </c>
    </row>
    <row r="472" spans="9:19">
      <c r="I472" s="206" t="s">
        <v>5717</v>
      </c>
      <c r="J472" s="111">
        <f>L472-L471-70000</f>
        <v>-63686539</v>
      </c>
      <c r="K472" s="206" t="s">
        <v>5715</v>
      </c>
      <c r="L472" s="82">
        <v>5950000000</v>
      </c>
      <c r="M472" s="82">
        <v>3380000000</v>
      </c>
      <c r="N472" s="111">
        <f t="shared" si="57"/>
        <v>9330000000</v>
      </c>
      <c r="O472" s="111">
        <f>M472-M471-70000</f>
        <v>-33985060</v>
      </c>
      <c r="P472" s="111">
        <f>N472-N471-140000</f>
        <v>-97671599</v>
      </c>
      <c r="Q472" s="217">
        <v>140000</v>
      </c>
    </row>
    <row r="473" spans="9:19">
      <c r="I473" s="206" t="s">
        <v>5724</v>
      </c>
      <c r="J473" s="111">
        <f>L473-L472-330000</f>
        <v>-62693116</v>
      </c>
      <c r="K473" s="206" t="s">
        <v>5722</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5726</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5735</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5530</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6486</v>
      </c>
      <c r="I31" s="11">
        <v>284000</v>
      </c>
      <c r="J31" s="11" t="s">
        <v>475</v>
      </c>
    </row>
    <row r="32" spans="2:21">
      <c r="G32" s="11">
        <f t="shared" si="5"/>
        <v>101000</v>
      </c>
      <c r="H32" s="57" t="s">
        <v>778</v>
      </c>
      <c r="I32" s="11">
        <v>185000</v>
      </c>
      <c r="J32" s="11" t="s">
        <v>555</v>
      </c>
    </row>
    <row r="33" spans="6:23">
      <c r="G33" s="11">
        <f t="shared" si="5"/>
        <v>2000</v>
      </c>
      <c r="H33" s="11" t="s">
        <v>6486</v>
      </c>
      <c r="I33" s="11">
        <v>284000</v>
      </c>
      <c r="J33" s="11" t="s">
        <v>562</v>
      </c>
    </row>
    <row r="34" spans="6:23">
      <c r="G34" s="11">
        <f t="shared" si="5"/>
        <v>2000</v>
      </c>
      <c r="H34" s="11" t="s">
        <v>6486</v>
      </c>
      <c r="I34" s="11">
        <v>284000</v>
      </c>
      <c r="J34" s="11" t="s">
        <v>563</v>
      </c>
    </row>
    <row r="35" spans="6:23">
      <c r="G35" s="11">
        <f t="shared" si="5"/>
        <v>2000</v>
      </c>
      <c r="H35" s="11" t="s">
        <v>6486</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5791</v>
      </c>
      <c r="I48" s="97">
        <v>275860</v>
      </c>
      <c r="J48" s="97" t="s">
        <v>5790</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5531</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6678</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5759</v>
      </c>
      <c r="I58" s="97">
        <v>42500</v>
      </c>
      <c r="J58" s="97" t="s">
        <v>562</v>
      </c>
      <c r="M58" s="25"/>
      <c r="N58" s="25"/>
      <c r="O58" s="25"/>
      <c r="P58" s="25"/>
      <c r="Q58" s="69"/>
      <c r="R58" s="25"/>
      <c r="S58" s="69"/>
      <c r="T58" s="25"/>
      <c r="U58" s="25"/>
      <c r="V58" s="25"/>
      <c r="W58" s="25"/>
    </row>
    <row r="59" spans="7:23">
      <c r="G59" s="97">
        <f t="shared" si="6"/>
        <v>9400</v>
      </c>
      <c r="H59" s="97" t="s">
        <v>5759</v>
      </c>
      <c r="I59" s="97">
        <v>42500</v>
      </c>
      <c r="J59" s="97" t="s">
        <v>563</v>
      </c>
      <c r="M59" s="25"/>
      <c r="N59" s="25"/>
      <c r="O59" s="25"/>
      <c r="P59" s="25"/>
      <c r="Q59" s="69"/>
      <c r="R59" s="25"/>
      <c r="S59" s="69"/>
      <c r="T59" s="25"/>
      <c r="U59" s="25"/>
      <c r="V59" s="25"/>
      <c r="W59" s="25"/>
    </row>
    <row r="60" spans="7:23">
      <c r="G60" s="97">
        <f t="shared" si="6"/>
        <v>0</v>
      </c>
      <c r="H60" s="97" t="s">
        <v>6678</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6498</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6498</v>
      </c>
      <c r="I67" s="97">
        <v>50500</v>
      </c>
      <c r="J67" s="97" t="s">
        <v>6610</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5759</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opLeftCell="A158" zoomScale="85" zoomScaleNormal="85" workbookViewId="0">
      <selection activeCell="H182" activeCellId="4" sqref="H180 H181 H186 H191 H182"/>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4828</v>
      </c>
      <c r="B1" s="359" t="s">
        <v>4829</v>
      </c>
      <c r="C1" s="359" t="s">
        <v>6454</v>
      </c>
      <c r="D1" s="359" t="s">
        <v>5837</v>
      </c>
      <c r="E1" s="383" t="s">
        <v>6663</v>
      </c>
      <c r="F1" s="359" t="s">
        <v>6664</v>
      </c>
      <c r="G1" s="383" t="s">
        <v>6665</v>
      </c>
      <c r="H1" s="359" t="s">
        <v>6649</v>
      </c>
      <c r="I1" s="359" t="s">
        <v>6666</v>
      </c>
      <c r="J1" s="359" t="s">
        <v>6667</v>
      </c>
      <c r="K1" s="359" t="s">
        <v>4245</v>
      </c>
      <c r="L1" s="359" t="s">
        <v>4913</v>
      </c>
      <c r="M1" s="357"/>
      <c r="N1" s="357"/>
      <c r="Q1" t="s">
        <v>4831</v>
      </c>
      <c r="R1" t="s">
        <v>4833</v>
      </c>
      <c r="S1" t="s">
        <v>4834</v>
      </c>
    </row>
    <row r="2" spans="1:26">
      <c r="A2" s="359" t="s">
        <v>4830</v>
      </c>
      <c r="B2" s="364">
        <v>1114343604</v>
      </c>
      <c r="C2" s="365">
        <v>950</v>
      </c>
      <c r="D2" s="365">
        <f>B2*C2/$O$2</f>
        <v>14.703144775</v>
      </c>
      <c r="E2" s="365">
        <v>2037</v>
      </c>
      <c r="F2" s="365">
        <f>B2*E2/$O$2</f>
        <v>31.526637796500001</v>
      </c>
      <c r="G2" s="365">
        <v>2000</v>
      </c>
      <c r="H2" s="365">
        <f>B2*G2/$O$2</f>
        <v>30.953989</v>
      </c>
      <c r="I2" s="365">
        <v>3000</v>
      </c>
      <c r="J2" s="365">
        <f>B2*I2/$O$2</f>
        <v>46.430983500000004</v>
      </c>
      <c r="K2" s="365">
        <v>21319</v>
      </c>
      <c r="L2" s="365">
        <f>B2*K2/$O$2</f>
        <v>329.95404574550003</v>
      </c>
      <c r="M2" s="357"/>
      <c r="N2" s="357"/>
      <c r="O2">
        <v>72000000000</v>
      </c>
      <c r="P2">
        <v>27416800780</v>
      </c>
      <c r="Q2">
        <v>40500000000</v>
      </c>
    </row>
    <row r="3" spans="1:26">
      <c r="A3" s="359" t="s">
        <v>4832</v>
      </c>
      <c r="B3" s="364">
        <v>5320000000</v>
      </c>
      <c r="C3" s="365">
        <v>80</v>
      </c>
      <c r="D3" s="365">
        <f>B3*C3/$O$2</f>
        <v>5.9111111111111114</v>
      </c>
      <c r="E3" s="365">
        <v>170</v>
      </c>
      <c r="F3" s="365">
        <f>B3*E3/$O$2</f>
        <v>12.561111111111112</v>
      </c>
      <c r="G3" s="365">
        <v>170</v>
      </c>
      <c r="H3" s="365">
        <f>B3*G3/$O$2</f>
        <v>12.561111111111112</v>
      </c>
      <c r="I3" s="365">
        <v>120</v>
      </c>
      <c r="J3" s="365">
        <f>B3*I3/$O$2</f>
        <v>8.8666666666666671</v>
      </c>
      <c r="K3" s="365">
        <v>5001</v>
      </c>
      <c r="L3" s="365">
        <f>B3*K3/$O$2</f>
        <v>369.51833333333332</v>
      </c>
      <c r="P3">
        <f>P2/Q2</f>
        <v>0.67695804395061732</v>
      </c>
    </row>
    <row r="4" spans="1:26">
      <c r="A4" s="359" t="s">
        <v>6615</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4830</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3000</v>
      </c>
      <c r="J6" s="361">
        <f t="shared" ref="J6:J14" si="3">B6*I6*$P$3/$O$2</f>
        <v>31.707826891759101</v>
      </c>
      <c r="K6" s="361">
        <f>K2</f>
        <v>21319</v>
      </c>
      <c r="L6" s="361">
        <f t="shared" ref="L6:L14" si="4">B6*K6*$P$3/$O$2</f>
        <v>225.32638716847077</v>
      </c>
      <c r="M6">
        <f>B6*E6/$Q$2</f>
        <v>56.539501217629628</v>
      </c>
      <c r="N6" s="372">
        <f>B6*G6/$Q$2</f>
        <v>55.512519604938269</v>
      </c>
      <c r="O6" s="94">
        <f t="shared" ref="O6:O14" si="5">B6*I6/$Q$2</f>
        <v>83.268779407407408</v>
      </c>
      <c r="P6" s="94">
        <f t="shared" ref="P6:P14" si="6">B6*C6/$Q$2</f>
        <v>26.368446812345677</v>
      </c>
      <c r="Q6" s="94">
        <f t="shared" ref="Q6:Q14" si="7">B6*K6/$Q$2</f>
        <v>591.73570272883956</v>
      </c>
      <c r="R6" s="94"/>
      <c r="S6" s="94"/>
      <c r="T6" s="94"/>
      <c r="U6" s="94"/>
      <c r="V6" s="94"/>
      <c r="W6" s="94"/>
      <c r="X6" s="94"/>
      <c r="Y6" s="94"/>
      <c r="Z6" s="94"/>
    </row>
    <row r="7" spans="1:26">
      <c r="A7" s="243" t="s">
        <v>6616</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6615</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4835</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4836</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6617</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5490</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4358</v>
      </c>
      <c r="B13" s="360">
        <v>813683684</v>
      </c>
      <c r="C13" s="361">
        <v>1100</v>
      </c>
      <c r="D13" s="361">
        <f t="shared" si="0"/>
        <v>8.4154539809262427</v>
      </c>
      <c r="E13" s="361">
        <v>2412</v>
      </c>
      <c r="F13" s="361">
        <f t="shared" si="1"/>
        <v>18.45279545635827</v>
      </c>
      <c r="G13" s="361">
        <v>2300</v>
      </c>
      <c r="H13" s="361">
        <f t="shared" si="2"/>
        <v>17.595949232845779</v>
      </c>
      <c r="I13" s="361">
        <v>4600</v>
      </c>
      <c r="J13" s="361">
        <f>B13*I13*$P$3/$O$2</f>
        <v>35.191898465691558</v>
      </c>
      <c r="K13" s="361">
        <v>25578</v>
      </c>
      <c r="L13" s="361">
        <f t="shared" si="4"/>
        <v>195.68225629466494</v>
      </c>
      <c r="M13" s="94">
        <f t="shared" si="8"/>
        <v>48.459383847111113</v>
      </c>
      <c r="N13" s="372">
        <f t="shared" si="9"/>
        <v>46.209196869135802</v>
      </c>
      <c r="O13" s="94">
        <f t="shared" si="5"/>
        <v>92.418393738271604</v>
      </c>
      <c r="P13" s="94">
        <f t="shared" si="6"/>
        <v>22.100050676543209</v>
      </c>
      <c r="Q13" s="94">
        <f t="shared" si="7"/>
        <v>513.88645109511106</v>
      </c>
      <c r="R13" s="94"/>
      <c r="S13" s="94" t="s">
        <v>25</v>
      </c>
      <c r="T13" s="94"/>
      <c r="U13" s="94"/>
      <c r="V13" s="94"/>
      <c r="W13" s="94"/>
      <c r="X13" s="94"/>
    </row>
    <row r="14" spans="1:26">
      <c r="A14" s="243" t="s">
        <v>4837</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6450</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6452</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6451</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6467</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5836</v>
      </c>
      <c r="B20" s="170"/>
      <c r="C20" s="369"/>
      <c r="D20" s="369">
        <v>12.5</v>
      </c>
      <c r="E20" s="170"/>
      <c r="F20" s="369">
        <v>25</v>
      </c>
      <c r="G20" s="170"/>
      <c r="H20" s="369">
        <v>25</v>
      </c>
      <c r="I20" s="369"/>
      <c r="J20" s="369">
        <v>40</v>
      </c>
      <c r="K20" s="369" t="s">
        <v>5402</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5602</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5403</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418.34049642570534</v>
      </c>
      <c r="K23" s="370" t="s">
        <v>4433</v>
      </c>
      <c r="L23" s="371">
        <f>SUM(L2:L22)</f>
        <v>3503.6142609241197</v>
      </c>
      <c r="O23" t="s">
        <v>25</v>
      </c>
    </row>
    <row r="24" spans="1:34" ht="21">
      <c r="A24" s="257"/>
      <c r="B24" s="257"/>
      <c r="C24" s="257"/>
      <c r="D24" s="257" t="s">
        <v>6</v>
      </c>
      <c r="E24" s="257"/>
      <c r="F24" s="374" t="s">
        <v>6648</v>
      </c>
      <c r="G24" s="374"/>
      <c r="H24" s="374" t="s">
        <v>6647</v>
      </c>
      <c r="I24" s="257"/>
      <c r="J24" s="257" t="s">
        <v>6</v>
      </c>
      <c r="K24" s="370" t="s">
        <v>5015</v>
      </c>
      <c r="L24" s="371">
        <v>1581</v>
      </c>
      <c r="AF24" t="s">
        <v>25</v>
      </c>
    </row>
    <row r="25" spans="1:34" ht="21">
      <c r="A25" s="257"/>
      <c r="B25" s="257"/>
      <c r="C25" s="257"/>
      <c r="D25" s="257"/>
      <c r="E25" s="257"/>
      <c r="F25" s="257"/>
      <c r="G25" s="257"/>
      <c r="H25" s="257"/>
      <c r="I25" s="257"/>
      <c r="J25" s="257"/>
      <c r="K25" s="370" t="s">
        <v>5016</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6466</v>
      </c>
      <c r="B28" s="306" t="s">
        <v>4829</v>
      </c>
      <c r="C28" s="306" t="s">
        <v>6460</v>
      </c>
      <c r="D28" s="306" t="s">
        <v>5520</v>
      </c>
      <c r="E28" s="306" t="s">
        <v>6459</v>
      </c>
      <c r="F28" s="306" t="s">
        <v>6469</v>
      </c>
      <c r="H28" s="94"/>
      <c r="I28" s="94"/>
      <c r="J28" s="94"/>
      <c r="K28" s="94"/>
      <c r="L28" s="94"/>
    </row>
    <row r="29" spans="1:34" ht="18.75">
      <c r="A29" s="304" t="s">
        <v>6458</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6461</v>
      </c>
      <c r="B30" s="313">
        <v>1175000000</v>
      </c>
      <c r="C30" s="320">
        <v>30</v>
      </c>
      <c r="D30" s="320">
        <f t="shared" si="10"/>
        <v>0.48958333333333331</v>
      </c>
      <c r="E30" s="376">
        <v>653</v>
      </c>
      <c r="F30" s="320">
        <f t="shared" si="11"/>
        <v>10.656597222222222</v>
      </c>
      <c r="H30" s="94"/>
      <c r="I30" s="94"/>
      <c r="J30" s="94"/>
      <c r="K30" s="94"/>
      <c r="L30" s="94"/>
      <c r="O30" t="s">
        <v>4903</v>
      </c>
    </row>
    <row r="31" spans="1:34" ht="18.75">
      <c r="A31" s="307" t="s">
        <v>6462</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4901</v>
      </c>
      <c r="R31" s="97"/>
      <c r="S31" s="97"/>
      <c r="T31" s="97"/>
      <c r="U31" s="94"/>
      <c r="V31" s="94"/>
      <c r="W31" s="206" t="s">
        <v>6438</v>
      </c>
      <c r="X31" s="206" t="s">
        <v>25</v>
      </c>
      <c r="Y31" s="206"/>
      <c r="Z31" s="206"/>
      <c r="AA31" s="97"/>
      <c r="AB31" s="206" t="s">
        <v>6439</v>
      </c>
      <c r="AC31" s="206"/>
      <c r="AD31" s="206"/>
      <c r="AE31" s="206"/>
      <c r="AF31" s="206"/>
      <c r="AH31" t="s">
        <v>25</v>
      </c>
    </row>
    <row r="32" spans="1:34" ht="18.75">
      <c r="A32" s="308" t="s">
        <v>6463</v>
      </c>
      <c r="B32" s="315">
        <v>468000000</v>
      </c>
      <c r="C32" s="322">
        <v>180</v>
      </c>
      <c r="D32" s="322">
        <f t="shared" si="10"/>
        <v>1.17</v>
      </c>
      <c r="E32" s="378">
        <v>5350</v>
      </c>
      <c r="F32" s="322">
        <f t="shared" si="11"/>
        <v>34.774999999999999</v>
      </c>
      <c r="H32" s="94"/>
      <c r="I32" s="94"/>
      <c r="J32" s="94"/>
      <c r="K32" s="94"/>
      <c r="L32" s="94"/>
      <c r="O32" s="97" t="s">
        <v>4894</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6464</v>
      </c>
      <c r="B33" s="316">
        <v>393000000</v>
      </c>
      <c r="C33" s="323">
        <v>100</v>
      </c>
      <c r="D33" s="323">
        <f t="shared" si="10"/>
        <v>0.54583333333333328</v>
      </c>
      <c r="E33" s="379">
        <v>1910</v>
      </c>
      <c r="F33" s="323">
        <f t="shared" si="11"/>
        <v>10.425416666666667</v>
      </c>
      <c r="H33" s="94"/>
      <c r="I33" s="94" t="s">
        <v>25</v>
      </c>
      <c r="J33" s="94"/>
      <c r="K33" s="94"/>
      <c r="L33" s="94"/>
      <c r="O33" s="97" t="s">
        <v>4900</v>
      </c>
      <c r="P33" s="18">
        <v>-500000</v>
      </c>
      <c r="Q33" s="97">
        <v>7</v>
      </c>
      <c r="R33" s="97">
        <f t="shared" ref="R33:R96" si="12">Q33+R34</f>
        <v>815</v>
      </c>
      <c r="S33" s="97">
        <f t="shared" ref="S33:S96" si="13">P33*R33</f>
        <v>-407500000</v>
      </c>
      <c r="T33" s="97"/>
      <c r="U33" s="94"/>
      <c r="V33" s="94"/>
      <c r="W33" s="206" t="s">
        <v>6423</v>
      </c>
      <c r="X33" s="18">
        <v>55000000</v>
      </c>
      <c r="Y33" s="206">
        <v>1</v>
      </c>
      <c r="Z33" s="206">
        <f>Y33+Z34</f>
        <v>12</v>
      </c>
      <c r="AA33" s="18">
        <f>X33*Z33</f>
        <v>660000000</v>
      </c>
      <c r="AB33" s="206" t="s">
        <v>6437</v>
      </c>
      <c r="AC33" s="18">
        <v>197440000</v>
      </c>
      <c r="AD33" s="206">
        <v>11</v>
      </c>
      <c r="AE33" s="18">
        <f>AC33*AD33</f>
        <v>2171840000</v>
      </c>
      <c r="AF33" s="206"/>
    </row>
    <row r="34" spans="1:33" ht="18.75">
      <c r="A34" s="310" t="s">
        <v>6465</v>
      </c>
      <c r="B34" s="317">
        <v>4360000</v>
      </c>
      <c r="C34" s="324">
        <v>347</v>
      </c>
      <c r="D34" s="324">
        <f t="shared" si="10"/>
        <v>2.1012777777777776E-2</v>
      </c>
      <c r="E34" s="380">
        <v>14072</v>
      </c>
      <c r="F34" s="324">
        <f t="shared" si="11"/>
        <v>0.85213777777777777</v>
      </c>
      <c r="H34" s="94"/>
      <c r="I34" s="94"/>
      <c r="J34" s="94"/>
      <c r="K34" s="94"/>
      <c r="L34" s="94"/>
      <c r="O34" s="97" t="s">
        <v>4908</v>
      </c>
      <c r="P34" s="18">
        <v>-7000000</v>
      </c>
      <c r="Q34" s="97">
        <v>1</v>
      </c>
      <c r="R34" s="97">
        <f t="shared" si="12"/>
        <v>808</v>
      </c>
      <c r="S34" s="97">
        <f t="shared" si="13"/>
        <v>-5656000000</v>
      </c>
      <c r="T34" s="97"/>
      <c r="U34" s="94"/>
      <c r="V34" s="94"/>
      <c r="W34" s="206" t="s">
        <v>6440</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6468</v>
      </c>
      <c r="B35" s="318">
        <v>1</v>
      </c>
      <c r="C35" s="325">
        <v>80000000000</v>
      </c>
      <c r="D35" s="325">
        <f t="shared" si="10"/>
        <v>1.1111111111111112</v>
      </c>
      <c r="E35" s="381">
        <v>703000000000</v>
      </c>
      <c r="F35" s="325">
        <f t="shared" si="11"/>
        <v>9.7638888888888893</v>
      </c>
      <c r="G35" s="94"/>
      <c r="H35" s="94"/>
      <c r="I35" s="94"/>
      <c r="J35" s="94"/>
      <c r="K35" s="94"/>
      <c r="L35" s="94"/>
      <c r="O35" s="97" t="s">
        <v>4911</v>
      </c>
      <c r="P35" s="18">
        <v>2000000</v>
      </c>
      <c r="Q35" s="97">
        <v>6</v>
      </c>
      <c r="R35" s="97">
        <f t="shared" si="12"/>
        <v>807</v>
      </c>
      <c r="S35" s="97">
        <f t="shared" si="13"/>
        <v>1614000000</v>
      </c>
      <c r="T35" s="97"/>
      <c r="U35" s="94"/>
      <c r="V35" s="94"/>
      <c r="W35" s="206" t="s">
        <v>6441</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2"/>
        <v>801</v>
      </c>
      <c r="S36" s="97">
        <f t="shared" si="13"/>
        <v>801000000</v>
      </c>
      <c r="T36" s="97"/>
      <c r="U36" s="94"/>
      <c r="V36" s="94"/>
      <c r="W36" s="206" t="s">
        <v>6430</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4930</v>
      </c>
      <c r="P37" s="18">
        <v>200000</v>
      </c>
      <c r="Q37" s="97">
        <v>3</v>
      </c>
      <c r="R37" s="97">
        <f t="shared" si="12"/>
        <v>798</v>
      </c>
      <c r="S37" s="97">
        <f t="shared" si="13"/>
        <v>159600000</v>
      </c>
      <c r="T37" s="97"/>
      <c r="U37" s="94"/>
      <c r="V37" s="94"/>
      <c r="W37" s="206" t="s">
        <v>6442</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2"/>
        <v>795</v>
      </c>
      <c r="S38" s="97">
        <f t="shared" si="13"/>
        <v>-2544000000</v>
      </c>
      <c r="T38" s="97"/>
      <c r="U38" s="94"/>
      <c r="V38" s="94"/>
      <c r="W38" s="206" t="s">
        <v>6443</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4959</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4210</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5084</v>
      </c>
      <c r="D46" s="94">
        <v>1306</v>
      </c>
      <c r="E46">
        <v>0.53500000000000003</v>
      </c>
      <c r="F46">
        <f t="shared" ref="F46:F52" si="16">D46*E46*$D$57</f>
        <v>698710000</v>
      </c>
      <c r="G46">
        <f>F46*11400/1000000000</f>
        <v>7965.2939999999999</v>
      </c>
      <c r="J46" t="s">
        <v>25</v>
      </c>
      <c r="O46" s="97" t="s">
        <v>4982</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5090</v>
      </c>
      <c r="D47" s="94">
        <v>10</v>
      </c>
      <c r="E47" s="94">
        <v>0.5</v>
      </c>
      <c r="F47" s="94">
        <f t="shared" si="16"/>
        <v>5000000</v>
      </c>
      <c r="G47" s="94">
        <f t="shared" ref="G47:G52" si="17">F47*11400/1000000000</f>
        <v>57</v>
      </c>
      <c r="O47" s="97" t="s">
        <v>4983</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5091</v>
      </c>
      <c r="D48" s="94">
        <v>492</v>
      </c>
      <c r="E48" s="94">
        <v>0.65</v>
      </c>
      <c r="F48" s="94">
        <f t="shared" si="16"/>
        <v>319800000</v>
      </c>
      <c r="G48" s="94">
        <f t="shared" si="17"/>
        <v>3645.72</v>
      </c>
      <c r="J48" t="s">
        <v>25</v>
      </c>
      <c r="L48" t="s">
        <v>25</v>
      </c>
      <c r="O48" s="97" t="s">
        <v>4986</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5783</v>
      </c>
      <c r="B49" s="94"/>
      <c r="C49" s="94" t="s">
        <v>5092</v>
      </c>
      <c r="D49" s="94">
        <v>235</v>
      </c>
      <c r="E49" s="94">
        <v>1</v>
      </c>
      <c r="F49" s="94">
        <f t="shared" si="16"/>
        <v>235000000</v>
      </c>
      <c r="G49" s="94">
        <f t="shared" si="17"/>
        <v>2679</v>
      </c>
      <c r="O49" s="97" t="s">
        <v>4986</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5784</v>
      </c>
      <c r="B50" s="94">
        <v>0.3</v>
      </c>
      <c r="C50" s="94" t="s">
        <v>5093</v>
      </c>
      <c r="D50" s="94">
        <v>500</v>
      </c>
      <c r="E50" s="94">
        <v>0.6</v>
      </c>
      <c r="F50" s="94">
        <f t="shared" si="16"/>
        <v>300000000</v>
      </c>
      <c r="G50" s="94">
        <f t="shared" si="17"/>
        <v>3420</v>
      </c>
      <c r="O50" s="97" t="s">
        <v>4999</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6"/>
        <v>903000000</v>
      </c>
      <c r="G51" s="94">
        <f>F51*11400/1000000000</f>
        <v>10294.200000000001</v>
      </c>
      <c r="H51">
        <v>1</v>
      </c>
      <c r="O51" s="97" t="s">
        <v>4989</v>
      </c>
      <c r="P51" s="18">
        <v>6000000</v>
      </c>
      <c r="Q51" s="97">
        <v>8</v>
      </c>
      <c r="R51" s="97">
        <f t="shared" si="12"/>
        <v>735</v>
      </c>
      <c r="S51" s="97">
        <f t="shared" si="13"/>
        <v>4410000000</v>
      </c>
      <c r="T51" s="97"/>
      <c r="U51" s="94"/>
      <c r="V51" s="94"/>
    </row>
    <row r="52" spans="1:32">
      <c r="A52" s="120" t="s">
        <v>4829</v>
      </c>
      <c r="B52" s="94">
        <v>18000000000</v>
      </c>
      <c r="E52" s="94"/>
      <c r="F52" s="94">
        <f t="shared" si="16"/>
        <v>0</v>
      </c>
      <c r="G52" s="94">
        <f t="shared" si="17"/>
        <v>0</v>
      </c>
      <c r="L52" t="s">
        <v>25</v>
      </c>
      <c r="O52" s="97" t="s">
        <v>5039</v>
      </c>
      <c r="P52" s="18">
        <v>-50000</v>
      </c>
      <c r="Q52" s="97">
        <v>3</v>
      </c>
      <c r="R52" s="97">
        <f t="shared" si="12"/>
        <v>727</v>
      </c>
      <c r="S52" s="97">
        <f t="shared" si="13"/>
        <v>-36350000</v>
      </c>
      <c r="T52" s="97"/>
      <c r="U52" s="94"/>
      <c r="V52" s="94"/>
    </row>
    <row r="53" spans="1:32">
      <c r="A53" s="120" t="s">
        <v>5785</v>
      </c>
      <c r="B53" s="18">
        <f>B50*B51/B52</f>
        <v>600</v>
      </c>
      <c r="E53" s="94"/>
      <c r="F53" s="94"/>
      <c r="G53" s="94"/>
      <c r="O53" s="97" t="s">
        <v>5042</v>
      </c>
      <c r="P53" s="18">
        <v>-20000</v>
      </c>
      <c r="Q53" s="97">
        <v>7</v>
      </c>
      <c r="R53" s="97">
        <f t="shared" si="12"/>
        <v>724</v>
      </c>
      <c r="S53" s="97">
        <f t="shared" si="13"/>
        <v>-14480000</v>
      </c>
      <c r="T53" s="97"/>
      <c r="U53" s="94"/>
      <c r="V53" s="94"/>
    </row>
    <row r="54" spans="1:32">
      <c r="A54" s="120" t="s">
        <v>5786</v>
      </c>
      <c r="B54" s="120">
        <v>872000000</v>
      </c>
      <c r="E54" s="94"/>
      <c r="F54" s="94"/>
      <c r="G54" s="94"/>
      <c r="O54" s="97" t="s">
        <v>5001</v>
      </c>
      <c r="P54" s="18">
        <v>6000000</v>
      </c>
      <c r="Q54" s="97">
        <v>1</v>
      </c>
      <c r="R54" s="97">
        <f t="shared" si="12"/>
        <v>717</v>
      </c>
      <c r="S54" s="97">
        <f t="shared" si="13"/>
        <v>4302000000</v>
      </c>
      <c r="T54" s="97"/>
      <c r="U54" s="94"/>
      <c r="V54" s="94"/>
    </row>
    <row r="55" spans="1:32">
      <c r="A55" s="120" t="s">
        <v>5787</v>
      </c>
      <c r="B55" s="18">
        <v>750</v>
      </c>
      <c r="E55" s="94"/>
      <c r="F55" s="94"/>
      <c r="N55" t="s">
        <v>25</v>
      </c>
      <c r="O55" s="97" t="s">
        <v>5058</v>
      </c>
      <c r="P55" s="18">
        <v>-2302282</v>
      </c>
      <c r="Q55" s="97">
        <v>6</v>
      </c>
      <c r="R55" s="97">
        <f t="shared" si="12"/>
        <v>716</v>
      </c>
      <c r="S55" s="97">
        <f t="shared" si="13"/>
        <v>-1648433912</v>
      </c>
      <c r="T55" s="97"/>
      <c r="U55" s="94"/>
      <c r="V55" s="94"/>
    </row>
    <row r="56" spans="1:32">
      <c r="A56" s="120" t="s">
        <v>5788</v>
      </c>
      <c r="B56" s="94">
        <f>B54*B55/B52</f>
        <v>36.333333333333336</v>
      </c>
      <c r="C56" s="94" t="s">
        <v>5080</v>
      </c>
      <c r="D56" s="94" t="s">
        <v>5081</v>
      </c>
      <c r="E56" s="94"/>
      <c r="F56" s="94"/>
      <c r="O56" s="97" t="s">
        <v>5063</v>
      </c>
      <c r="P56" s="18">
        <v>100000</v>
      </c>
      <c r="Q56" s="97">
        <v>1</v>
      </c>
      <c r="R56" s="97">
        <f t="shared" si="12"/>
        <v>710</v>
      </c>
      <c r="S56" s="97">
        <f t="shared" si="13"/>
        <v>71000000</v>
      </c>
      <c r="T56" s="97"/>
      <c r="U56" s="94"/>
      <c r="V56" s="94"/>
    </row>
    <row r="57" spans="1:32">
      <c r="A57" s="120"/>
      <c r="B57" s="120"/>
      <c r="C57" s="94" t="s">
        <v>5087</v>
      </c>
      <c r="D57" s="94">
        <v>1000000</v>
      </c>
      <c r="E57" s="94"/>
      <c r="F57" s="94"/>
      <c r="O57" s="97" t="s">
        <v>5066</v>
      </c>
      <c r="P57" s="18">
        <v>-1727718</v>
      </c>
      <c r="Q57" s="97">
        <v>2</v>
      </c>
      <c r="R57" s="97">
        <f t="shared" si="12"/>
        <v>709</v>
      </c>
      <c r="S57" s="97">
        <f t="shared" si="13"/>
        <v>-1224952062</v>
      </c>
      <c r="T57" s="97"/>
      <c r="U57" s="94"/>
      <c r="V57" s="94"/>
    </row>
    <row r="58" spans="1:32">
      <c r="A58" s="120"/>
      <c r="B58" s="18"/>
      <c r="C58" s="94" t="s">
        <v>5082</v>
      </c>
      <c r="D58" s="94" t="s">
        <v>5083</v>
      </c>
      <c r="E58" s="94"/>
      <c r="F58" s="94"/>
      <c r="O58" s="97" t="s">
        <v>5070</v>
      </c>
      <c r="P58" s="18">
        <v>-1000000</v>
      </c>
      <c r="Q58" s="97">
        <v>0</v>
      </c>
      <c r="R58" s="97">
        <f t="shared" si="12"/>
        <v>707</v>
      </c>
      <c r="S58" s="97">
        <f t="shared" si="13"/>
        <v>-707000000</v>
      </c>
      <c r="T58" s="97"/>
      <c r="U58" s="94"/>
      <c r="V58" s="94"/>
    </row>
    <row r="59" spans="1:32">
      <c r="A59" s="120"/>
      <c r="B59" s="94"/>
      <c r="E59" s="94"/>
      <c r="F59" s="94"/>
      <c r="O59" s="97" t="s">
        <v>5070</v>
      </c>
      <c r="P59" s="18">
        <v>-439200</v>
      </c>
      <c r="Q59" s="97">
        <v>1</v>
      </c>
      <c r="R59" s="97">
        <f t="shared" si="12"/>
        <v>707</v>
      </c>
      <c r="S59" s="97">
        <f t="shared" si="13"/>
        <v>-310514400</v>
      </c>
      <c r="T59" s="97"/>
      <c r="U59" s="94"/>
      <c r="V59" s="94"/>
    </row>
    <row r="60" spans="1:32">
      <c r="A60" s="94"/>
      <c r="B60" s="94"/>
      <c r="E60" s="94"/>
      <c r="F60" s="94"/>
      <c r="M60" t="s">
        <v>25</v>
      </c>
      <c r="O60" s="97" t="s">
        <v>5073</v>
      </c>
      <c r="P60" s="18">
        <v>-3631879</v>
      </c>
      <c r="Q60" s="97">
        <v>3</v>
      </c>
      <c r="R60" s="97">
        <f t="shared" si="12"/>
        <v>706</v>
      </c>
      <c r="S60" s="97">
        <f t="shared" si="13"/>
        <v>-2564106574</v>
      </c>
      <c r="T60" s="97"/>
      <c r="U60" s="94"/>
      <c r="V60" s="94"/>
    </row>
    <row r="61" spans="1:32">
      <c r="A61" s="94"/>
      <c r="B61" s="94"/>
      <c r="E61" s="94"/>
      <c r="F61" s="94"/>
      <c r="M61" t="s">
        <v>25</v>
      </c>
      <c r="O61" s="97" t="s">
        <v>5098</v>
      </c>
      <c r="P61" s="18">
        <v>-2428921</v>
      </c>
      <c r="Q61" s="97">
        <v>9</v>
      </c>
      <c r="R61" s="97">
        <f t="shared" si="12"/>
        <v>703</v>
      </c>
      <c r="S61" s="97">
        <f t="shared" si="13"/>
        <v>-1707531463</v>
      </c>
      <c r="T61" s="97"/>
      <c r="U61" s="94"/>
      <c r="V61" s="94"/>
    </row>
    <row r="62" spans="1:32">
      <c r="A62" s="94"/>
      <c r="B62" s="94"/>
      <c r="E62" s="94"/>
      <c r="F62" s="94"/>
      <c r="O62" s="97" t="s">
        <v>5117</v>
      </c>
      <c r="P62" s="18">
        <v>-500000</v>
      </c>
      <c r="Q62" s="97">
        <v>1</v>
      </c>
      <c r="R62" s="97">
        <f t="shared" si="12"/>
        <v>694</v>
      </c>
      <c r="S62" s="97">
        <f t="shared" si="13"/>
        <v>-347000000</v>
      </c>
      <c r="T62" s="97"/>
      <c r="U62" s="94"/>
      <c r="V62" s="94"/>
    </row>
    <row r="63" spans="1:32">
      <c r="A63" s="94"/>
      <c r="B63" s="94" t="s">
        <v>4829</v>
      </c>
      <c r="C63" s="94" t="s">
        <v>4245</v>
      </c>
      <c r="D63" s="94" t="s">
        <v>4419</v>
      </c>
      <c r="E63" s="94" t="s">
        <v>5085</v>
      </c>
      <c r="F63" s="94" t="s">
        <v>5392</v>
      </c>
      <c r="O63" s="97" t="s">
        <v>5118</v>
      </c>
      <c r="P63" s="18">
        <v>-2603</v>
      </c>
      <c r="Q63" s="97">
        <v>0</v>
      </c>
      <c r="R63" s="97">
        <f t="shared" si="12"/>
        <v>693</v>
      </c>
      <c r="S63" s="97">
        <f t="shared" si="13"/>
        <v>-1803879</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2"/>
        <v>693</v>
      </c>
      <c r="S64" s="97">
        <f t="shared" si="13"/>
        <v>-173250000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2"/>
        <v>686</v>
      </c>
      <c r="S65" s="97">
        <f t="shared" si="13"/>
        <v>127423814</v>
      </c>
      <c r="T65" s="97"/>
      <c r="U65" s="94"/>
      <c r="V65" s="94"/>
    </row>
    <row r="66" spans="1:22">
      <c r="A66" s="94"/>
      <c r="B66" s="94"/>
      <c r="E66" s="94"/>
      <c r="F66" s="94"/>
      <c r="O66" s="97" t="s">
        <v>5132</v>
      </c>
      <c r="P66" s="18">
        <v>300000</v>
      </c>
      <c r="Q66" s="97">
        <v>3</v>
      </c>
      <c r="R66" s="97">
        <f t="shared" si="12"/>
        <v>681</v>
      </c>
      <c r="S66" s="97">
        <f t="shared" si="13"/>
        <v>204300000</v>
      </c>
      <c r="T66" s="97"/>
      <c r="U66" s="94"/>
      <c r="V66" s="94"/>
    </row>
    <row r="67" spans="1:22">
      <c r="A67" s="94"/>
      <c r="B67" s="94"/>
      <c r="E67" s="94"/>
      <c r="F67" s="94"/>
      <c r="O67" s="97" t="s">
        <v>5138</v>
      </c>
      <c r="P67" s="18">
        <v>-50000</v>
      </c>
      <c r="Q67" s="97">
        <v>3</v>
      </c>
      <c r="R67" s="97">
        <f t="shared" si="12"/>
        <v>678</v>
      </c>
      <c r="S67" s="97">
        <f t="shared" si="13"/>
        <v>-33900000</v>
      </c>
      <c r="T67" s="97"/>
      <c r="U67" s="94"/>
      <c r="V67" s="94"/>
    </row>
    <row r="68" spans="1:22">
      <c r="A68" s="94"/>
      <c r="B68" s="94"/>
      <c r="E68" s="94"/>
      <c r="F68" s="94"/>
      <c r="O68" s="97" t="s">
        <v>5143</v>
      </c>
      <c r="P68" s="18">
        <v>-1683146</v>
      </c>
      <c r="Q68" s="97">
        <v>10</v>
      </c>
      <c r="R68" s="97">
        <f t="shared" si="12"/>
        <v>675</v>
      </c>
      <c r="S68" s="97">
        <f t="shared" si="13"/>
        <v>-1136123550</v>
      </c>
      <c r="T68" s="97"/>
      <c r="U68" s="94"/>
      <c r="V68" s="94"/>
    </row>
    <row r="69" spans="1:22">
      <c r="A69" s="94"/>
      <c r="B69" s="94"/>
      <c r="E69" s="94"/>
      <c r="F69" s="94"/>
      <c r="O69" s="97" t="s">
        <v>5155</v>
      </c>
      <c r="P69" s="18">
        <v>700000</v>
      </c>
      <c r="Q69" s="97">
        <v>18</v>
      </c>
      <c r="R69" s="97">
        <f t="shared" si="12"/>
        <v>665</v>
      </c>
      <c r="S69" s="97">
        <f t="shared" si="13"/>
        <v>465500000</v>
      </c>
      <c r="T69" s="97"/>
      <c r="U69" s="94"/>
      <c r="V69" s="94"/>
    </row>
    <row r="70" spans="1:22">
      <c r="A70" s="94" t="s">
        <v>5807</v>
      </c>
      <c r="B70" s="94"/>
      <c r="E70" s="94"/>
      <c r="F70" s="94"/>
      <c r="K70" t="s">
        <v>25</v>
      </c>
      <c r="O70" s="97" t="s">
        <v>5168</v>
      </c>
      <c r="P70" s="18">
        <v>-700000</v>
      </c>
      <c r="Q70" s="97">
        <v>46</v>
      </c>
      <c r="R70" s="97">
        <f t="shared" si="12"/>
        <v>647</v>
      </c>
      <c r="S70" s="97">
        <f t="shared" si="13"/>
        <v>-452900000</v>
      </c>
      <c r="T70" s="97"/>
    </row>
    <row r="71" spans="1:22">
      <c r="A71" s="94" t="s">
        <v>5799</v>
      </c>
      <c r="B71" s="94"/>
      <c r="E71" s="94"/>
      <c r="F71" s="94"/>
      <c r="O71" s="97" t="s">
        <v>5218</v>
      </c>
      <c r="P71" s="18">
        <v>1000000</v>
      </c>
      <c r="Q71" s="97">
        <v>4</v>
      </c>
      <c r="R71" s="97">
        <f t="shared" si="12"/>
        <v>601</v>
      </c>
      <c r="S71" s="97">
        <f t="shared" si="13"/>
        <v>601000000</v>
      </c>
      <c r="T71" s="97"/>
    </row>
    <row r="72" spans="1:22">
      <c r="A72" s="94" t="s">
        <v>5800</v>
      </c>
      <c r="B72" s="94"/>
      <c r="E72" s="94"/>
      <c r="F72" s="94"/>
      <c r="O72" s="97" t="s">
        <v>5222</v>
      </c>
      <c r="P72" s="18">
        <v>1500000</v>
      </c>
      <c r="Q72" s="97">
        <v>1</v>
      </c>
      <c r="R72" s="97">
        <f t="shared" si="12"/>
        <v>597</v>
      </c>
      <c r="S72" s="97">
        <f t="shared" si="13"/>
        <v>895500000</v>
      </c>
      <c r="T72" s="97"/>
    </row>
    <row r="73" spans="1:22">
      <c r="A73" t="s">
        <v>5808</v>
      </c>
      <c r="B73" s="94"/>
      <c r="E73" s="94"/>
      <c r="F73" s="94"/>
      <c r="O73" s="97" t="s">
        <v>5223</v>
      </c>
      <c r="P73" s="18">
        <v>-1500000</v>
      </c>
      <c r="Q73" s="97">
        <v>15</v>
      </c>
      <c r="R73" s="97">
        <f t="shared" si="12"/>
        <v>596</v>
      </c>
      <c r="S73" s="97">
        <f t="shared" si="13"/>
        <v>-894000000</v>
      </c>
      <c r="T73" s="97"/>
    </row>
    <row r="74" spans="1:22">
      <c r="A74" t="s">
        <v>5490</v>
      </c>
      <c r="B74" s="94"/>
      <c r="E74" s="94"/>
      <c r="F74" s="94"/>
      <c r="O74" s="97" t="s">
        <v>5246</v>
      </c>
      <c r="P74" s="18">
        <v>-100000</v>
      </c>
      <c r="Q74" s="97">
        <v>5</v>
      </c>
      <c r="R74" s="97">
        <f t="shared" si="12"/>
        <v>581</v>
      </c>
      <c r="S74" s="97">
        <f t="shared" si="13"/>
        <v>-58100000</v>
      </c>
      <c r="T74" s="97"/>
    </row>
    <row r="75" spans="1:22">
      <c r="A75" s="94" t="s">
        <v>4837</v>
      </c>
      <c r="B75" s="94"/>
      <c r="E75" s="94"/>
      <c r="F75" s="94"/>
      <c r="O75" s="97" t="s">
        <v>5250</v>
      </c>
      <c r="P75" s="18">
        <v>1164690</v>
      </c>
      <c r="Q75" s="97">
        <v>4</v>
      </c>
      <c r="R75" s="97">
        <f t="shared" si="12"/>
        <v>576</v>
      </c>
      <c r="S75" s="97">
        <f t="shared" si="13"/>
        <v>670861440</v>
      </c>
      <c r="T75" s="97"/>
      <c r="U75" t="s">
        <v>25</v>
      </c>
    </row>
    <row r="76" spans="1:22">
      <c r="A76" s="94" t="s">
        <v>4836</v>
      </c>
      <c r="B76" s="94"/>
      <c r="E76" s="94"/>
      <c r="F76" s="94"/>
      <c r="O76" s="97" t="s">
        <v>5259</v>
      </c>
      <c r="P76" s="18">
        <v>1000000</v>
      </c>
      <c r="Q76" s="97">
        <v>4</v>
      </c>
      <c r="R76" s="97">
        <f t="shared" si="12"/>
        <v>572</v>
      </c>
      <c r="S76" s="97">
        <f t="shared" si="13"/>
        <v>572000000</v>
      </c>
      <c r="T76" s="97"/>
    </row>
    <row r="77" spans="1:22">
      <c r="A77" s="94" t="s">
        <v>5802</v>
      </c>
      <c r="B77" s="94"/>
      <c r="C77" s="94" t="s">
        <v>25</v>
      </c>
      <c r="E77" s="94"/>
      <c r="F77" s="94"/>
      <c r="O77" s="97" t="s">
        <v>5264</v>
      </c>
      <c r="P77" s="18">
        <v>-264690</v>
      </c>
      <c r="Q77" s="97">
        <v>7</v>
      </c>
      <c r="R77" s="97">
        <f t="shared" si="12"/>
        <v>568</v>
      </c>
      <c r="S77" s="97">
        <f t="shared" si="13"/>
        <v>-150343920</v>
      </c>
      <c r="T77" s="97"/>
    </row>
    <row r="78" spans="1:22">
      <c r="A78" s="94" t="s">
        <v>5803</v>
      </c>
      <c r="B78" s="94"/>
      <c r="E78" s="94"/>
      <c r="F78" s="94"/>
      <c r="O78" s="97" t="s">
        <v>5280</v>
      </c>
      <c r="P78" s="18">
        <v>2700000</v>
      </c>
      <c r="Q78" s="97">
        <v>0</v>
      </c>
      <c r="R78" s="97">
        <f t="shared" si="12"/>
        <v>561</v>
      </c>
      <c r="S78" s="97">
        <f t="shared" si="13"/>
        <v>1514700000</v>
      </c>
      <c r="T78" s="97"/>
    </row>
    <row r="79" spans="1:22">
      <c r="A79" t="s">
        <v>5819</v>
      </c>
      <c r="B79" s="94"/>
      <c r="E79" s="94"/>
      <c r="F79" s="94"/>
      <c r="N79" t="s">
        <v>25</v>
      </c>
      <c r="O79" s="97" t="s">
        <v>5280</v>
      </c>
      <c r="P79" s="18">
        <v>-1000000</v>
      </c>
      <c r="Q79" s="97">
        <v>1</v>
      </c>
      <c r="R79" s="97">
        <f t="shared" si="12"/>
        <v>561</v>
      </c>
      <c r="S79" s="97">
        <f t="shared" si="13"/>
        <v>-561000000</v>
      </c>
      <c r="T79" s="97" t="s">
        <v>5282</v>
      </c>
    </row>
    <row r="80" spans="1:22">
      <c r="A80" t="s">
        <v>4476</v>
      </c>
      <c r="B80" s="94"/>
      <c r="E80" s="94"/>
      <c r="F80" s="94"/>
      <c r="O80" s="97" t="s">
        <v>5284</v>
      </c>
      <c r="P80" s="18">
        <v>-75616</v>
      </c>
      <c r="Q80" s="97">
        <v>2</v>
      </c>
      <c r="R80" s="97">
        <f t="shared" si="12"/>
        <v>560</v>
      </c>
      <c r="S80" s="97">
        <f t="shared" si="13"/>
        <v>-42344960</v>
      </c>
      <c r="T80" s="97" t="s">
        <v>5285</v>
      </c>
    </row>
    <row r="81" spans="1:23">
      <c r="A81" s="94" t="s">
        <v>4503</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5299</v>
      </c>
      <c r="P82" s="18">
        <v>-2000000</v>
      </c>
      <c r="Q82" s="97">
        <v>6</v>
      </c>
      <c r="R82" s="97">
        <f t="shared" si="12"/>
        <v>556</v>
      </c>
      <c r="S82" s="97">
        <f t="shared" si="13"/>
        <v>-1112000000</v>
      </c>
      <c r="T82" s="97"/>
    </row>
    <row r="83" spans="1:23">
      <c r="B83" s="94"/>
      <c r="E83" s="94"/>
      <c r="F83" s="94"/>
      <c r="O83" s="97" t="s">
        <v>5331</v>
      </c>
      <c r="P83" s="18">
        <v>2500000</v>
      </c>
      <c r="Q83" s="97">
        <v>1</v>
      </c>
      <c r="R83" s="97">
        <f t="shared" si="12"/>
        <v>550</v>
      </c>
      <c r="S83" s="97">
        <f t="shared" si="13"/>
        <v>1375000000</v>
      </c>
      <c r="T83" s="97"/>
    </row>
    <row r="84" spans="1:23">
      <c r="A84" s="94" t="s">
        <v>5801</v>
      </c>
      <c r="B84" s="94"/>
      <c r="E84" s="94"/>
      <c r="F84" s="94"/>
      <c r="M84" t="s">
        <v>25</v>
      </c>
      <c r="O84" s="97" t="s">
        <v>5334</v>
      </c>
      <c r="P84" s="18">
        <v>3000000</v>
      </c>
      <c r="Q84" s="97">
        <v>3</v>
      </c>
      <c r="R84" s="97">
        <f t="shared" si="12"/>
        <v>549</v>
      </c>
      <c r="S84" s="97">
        <f t="shared" si="13"/>
        <v>1647000000</v>
      </c>
      <c r="T84" s="97"/>
    </row>
    <row r="85" spans="1:23">
      <c r="A85" s="94" t="s">
        <v>5267</v>
      </c>
      <c r="B85" s="94"/>
      <c r="E85" s="94"/>
      <c r="F85" s="94"/>
      <c r="O85" s="97" t="s">
        <v>5340</v>
      </c>
      <c r="P85" s="18">
        <v>-300000</v>
      </c>
      <c r="Q85" s="97">
        <v>5</v>
      </c>
      <c r="R85" s="97">
        <f t="shared" si="12"/>
        <v>546</v>
      </c>
      <c r="S85" s="97">
        <f t="shared" si="13"/>
        <v>-163800000</v>
      </c>
      <c r="T85" s="97"/>
    </row>
    <row r="86" spans="1:23">
      <c r="A86" s="94" t="s">
        <v>5276</v>
      </c>
      <c r="B86" s="94"/>
      <c r="E86" s="94"/>
      <c r="F86" s="94"/>
      <c r="O86" s="97" t="s">
        <v>5351</v>
      </c>
      <c r="P86" s="18">
        <v>500000</v>
      </c>
      <c r="Q86" s="97">
        <v>1</v>
      </c>
      <c r="R86" s="97">
        <f t="shared" si="12"/>
        <v>541</v>
      </c>
      <c r="S86" s="97">
        <f t="shared" si="13"/>
        <v>270500000</v>
      </c>
      <c r="T86" s="97"/>
    </row>
    <row r="87" spans="1:23">
      <c r="A87" s="94" t="s">
        <v>5812</v>
      </c>
      <c r="B87" s="94"/>
      <c r="E87" s="94"/>
      <c r="F87" s="94"/>
      <c r="O87" s="97" t="s">
        <v>5353</v>
      </c>
      <c r="P87" s="18">
        <v>1000000</v>
      </c>
      <c r="Q87" s="97">
        <v>5</v>
      </c>
      <c r="R87" s="97">
        <f t="shared" si="12"/>
        <v>540</v>
      </c>
      <c r="S87" s="97">
        <f t="shared" si="13"/>
        <v>540000000</v>
      </c>
      <c r="T87" s="97"/>
    </row>
    <row r="88" spans="1:23">
      <c r="A88" s="94" t="s">
        <v>5281</v>
      </c>
      <c r="B88" s="94"/>
      <c r="E88" s="94"/>
      <c r="F88" s="94"/>
      <c r="O88" s="97" t="s">
        <v>5358</v>
      </c>
      <c r="P88" s="18">
        <v>-2700000</v>
      </c>
      <c r="Q88" s="97">
        <v>1</v>
      </c>
      <c r="R88" s="97">
        <f t="shared" si="12"/>
        <v>535</v>
      </c>
      <c r="S88" s="97">
        <f t="shared" si="13"/>
        <v>-1444500000</v>
      </c>
      <c r="T88" s="97"/>
    </row>
    <row r="89" spans="1:23">
      <c r="A89" s="94" t="s">
        <v>5813</v>
      </c>
      <c r="B89" s="94"/>
      <c r="E89" s="94"/>
      <c r="F89" s="94"/>
      <c r="O89" s="97" t="s">
        <v>5359</v>
      </c>
      <c r="P89" s="18">
        <v>-3600000</v>
      </c>
      <c r="Q89" s="97">
        <v>1</v>
      </c>
      <c r="R89" s="97">
        <f t="shared" si="12"/>
        <v>534</v>
      </c>
      <c r="S89" s="97">
        <f t="shared" si="13"/>
        <v>-1922400000</v>
      </c>
      <c r="T89" s="97"/>
    </row>
    <row r="90" spans="1:23">
      <c r="A90" s="94" t="s">
        <v>5814</v>
      </c>
      <c r="B90" s="94"/>
      <c r="E90" s="94"/>
      <c r="F90" s="94"/>
      <c r="O90" s="97" t="s">
        <v>985</v>
      </c>
      <c r="P90" s="18">
        <v>-400000</v>
      </c>
      <c r="Q90" s="97">
        <v>17</v>
      </c>
      <c r="R90" s="97">
        <f t="shared" si="12"/>
        <v>533</v>
      </c>
      <c r="S90" s="97">
        <f t="shared" si="13"/>
        <v>-213200000</v>
      </c>
      <c r="T90" s="97"/>
    </row>
    <row r="91" spans="1:23">
      <c r="A91" s="94" t="s">
        <v>5815</v>
      </c>
      <c r="B91" s="94"/>
      <c r="E91" s="94"/>
      <c r="F91" s="94"/>
      <c r="M91" t="s">
        <v>25</v>
      </c>
      <c r="O91" s="97" t="s">
        <v>5379</v>
      </c>
      <c r="P91" s="18">
        <v>1000000</v>
      </c>
      <c r="Q91" s="97">
        <v>20</v>
      </c>
      <c r="R91" s="97">
        <f t="shared" si="12"/>
        <v>516</v>
      </c>
      <c r="S91" s="97">
        <f t="shared" si="13"/>
        <v>516000000</v>
      </c>
      <c r="T91" s="97"/>
    </row>
    <row r="92" spans="1:23">
      <c r="A92" s="94" t="s">
        <v>4478</v>
      </c>
      <c r="B92" s="94"/>
      <c r="E92" s="94"/>
      <c r="F92" s="94"/>
      <c r="O92" s="97" t="s">
        <v>5399</v>
      </c>
      <c r="P92" s="18">
        <v>-1000000</v>
      </c>
      <c r="Q92" s="97">
        <v>25</v>
      </c>
      <c r="R92" s="97">
        <f t="shared" si="12"/>
        <v>496</v>
      </c>
      <c r="S92" s="97">
        <f t="shared" si="13"/>
        <v>-496000000</v>
      </c>
      <c r="T92" s="97"/>
    </row>
    <row r="93" spans="1:23">
      <c r="A93" s="94" t="s">
        <v>4554</v>
      </c>
      <c r="B93" s="94" t="s">
        <v>25</v>
      </c>
      <c r="E93" s="94"/>
      <c r="F93" s="94"/>
      <c r="O93" s="97" t="s">
        <v>5428</v>
      </c>
      <c r="P93" s="18">
        <v>300000</v>
      </c>
      <c r="Q93" s="97">
        <v>3</v>
      </c>
      <c r="R93" s="97">
        <f t="shared" si="12"/>
        <v>471</v>
      </c>
      <c r="S93" s="97">
        <f t="shared" si="13"/>
        <v>141300000</v>
      </c>
      <c r="T93" s="97"/>
    </row>
    <row r="94" spans="1:23">
      <c r="A94" s="94" t="s">
        <v>4714</v>
      </c>
      <c r="B94" s="94"/>
      <c r="E94" s="94"/>
      <c r="F94" s="94"/>
      <c r="O94" s="97" t="s">
        <v>5433</v>
      </c>
      <c r="P94" s="18">
        <v>-300000</v>
      </c>
      <c r="Q94" s="97">
        <v>9</v>
      </c>
      <c r="R94" s="97">
        <f t="shared" si="12"/>
        <v>468</v>
      </c>
      <c r="S94" s="97">
        <f t="shared" si="13"/>
        <v>-140400000</v>
      </c>
      <c r="T94" s="97"/>
    </row>
    <row r="95" spans="1:23">
      <c r="A95" s="94" t="s">
        <v>4656</v>
      </c>
      <c r="B95" s="94"/>
      <c r="E95" s="94"/>
      <c r="F95" s="94"/>
      <c r="O95" s="97" t="s">
        <v>5448</v>
      </c>
      <c r="P95" s="18">
        <v>1000000</v>
      </c>
      <c r="Q95" s="97">
        <v>24</v>
      </c>
      <c r="R95" s="97">
        <f t="shared" si="12"/>
        <v>459</v>
      </c>
      <c r="S95" s="97">
        <f t="shared" si="13"/>
        <v>459000000</v>
      </c>
      <c r="T95" s="97"/>
      <c r="W95" t="s">
        <v>25</v>
      </c>
    </row>
    <row r="96" spans="1:23">
      <c r="A96" s="94"/>
      <c r="B96" s="94"/>
      <c r="E96" s="94"/>
      <c r="F96" s="94"/>
      <c r="L96" s="112"/>
      <c r="O96" s="97" t="s">
        <v>5485</v>
      </c>
      <c r="P96" s="18">
        <v>-1380100</v>
      </c>
      <c r="Q96" s="97">
        <v>11</v>
      </c>
      <c r="R96" s="97">
        <f t="shared" si="12"/>
        <v>435</v>
      </c>
      <c r="S96" s="97">
        <f t="shared" si="13"/>
        <v>-600343500</v>
      </c>
      <c r="T96" s="97"/>
    </row>
    <row r="97" spans="1:28">
      <c r="A97" s="94"/>
      <c r="B97" s="94"/>
      <c r="E97" s="94"/>
      <c r="F97" s="94"/>
      <c r="O97" s="97" t="s">
        <v>5499</v>
      </c>
      <c r="P97" s="18">
        <v>1280015</v>
      </c>
      <c r="Q97" s="97">
        <v>0</v>
      </c>
      <c r="R97" s="97">
        <f t="shared" ref="R97:R164" si="18">Q97+R98</f>
        <v>424</v>
      </c>
      <c r="S97" s="97">
        <f t="shared" ref="S97:S144" si="19">P97*R97</f>
        <v>542726360</v>
      </c>
      <c r="T97" s="97"/>
    </row>
    <row r="98" spans="1:28">
      <c r="B98" s="94"/>
      <c r="E98" s="94"/>
      <c r="F98" s="94"/>
      <c r="M98" t="s">
        <v>25</v>
      </c>
      <c r="O98" s="97" t="s">
        <v>5499</v>
      </c>
      <c r="P98" s="18">
        <v>300000</v>
      </c>
      <c r="Q98" s="97">
        <v>7</v>
      </c>
      <c r="R98" s="97">
        <f t="shared" si="18"/>
        <v>424</v>
      </c>
      <c r="S98" s="97">
        <f t="shared" si="19"/>
        <v>127200000</v>
      </c>
      <c r="T98" s="97"/>
    </row>
    <row r="99" spans="1:28">
      <c r="A99" s="94" t="s">
        <v>5806</v>
      </c>
      <c r="E99" s="94"/>
      <c r="F99" s="94"/>
      <c r="O99" s="97" t="s">
        <v>5506</v>
      </c>
      <c r="P99" s="18">
        <v>3000000</v>
      </c>
      <c r="Q99" s="97">
        <v>3</v>
      </c>
      <c r="R99" s="97">
        <f t="shared" si="18"/>
        <v>417</v>
      </c>
      <c r="S99" s="97">
        <f t="shared" si="19"/>
        <v>1251000000</v>
      </c>
      <c r="T99" s="97"/>
      <c r="AB99" t="s">
        <v>25</v>
      </c>
    </row>
    <row r="100" spans="1:28">
      <c r="A100" s="94" t="s">
        <v>5804</v>
      </c>
      <c r="E100" s="94"/>
      <c r="F100" s="94"/>
      <c r="O100" s="97" t="s">
        <v>5525</v>
      </c>
      <c r="P100" s="18">
        <v>300000</v>
      </c>
      <c r="Q100" s="97">
        <v>8</v>
      </c>
      <c r="R100" s="97">
        <f t="shared" si="18"/>
        <v>414</v>
      </c>
      <c r="S100" s="97">
        <f t="shared" si="19"/>
        <v>124200000</v>
      </c>
      <c r="T100" s="97"/>
    </row>
    <row r="101" spans="1:28">
      <c r="A101" s="94" t="s">
        <v>5805</v>
      </c>
      <c r="E101" s="94"/>
      <c r="F101" s="94"/>
      <c r="O101" s="97" t="s">
        <v>5546</v>
      </c>
      <c r="P101" s="18">
        <v>-3500000</v>
      </c>
      <c r="Q101" s="97">
        <v>6</v>
      </c>
      <c r="R101" s="97">
        <f t="shared" si="18"/>
        <v>406</v>
      </c>
      <c r="S101" s="97">
        <f t="shared" si="19"/>
        <v>-1421000000</v>
      </c>
      <c r="T101" s="97"/>
    </row>
    <row r="102" spans="1:28">
      <c r="A102" s="94" t="s">
        <v>5816</v>
      </c>
      <c r="E102" s="94"/>
      <c r="F102" s="94"/>
      <c r="O102" s="97" t="s">
        <v>5551</v>
      </c>
      <c r="P102" s="18">
        <v>-70000</v>
      </c>
      <c r="Q102" s="97">
        <v>1</v>
      </c>
      <c r="R102" s="97">
        <f t="shared" si="18"/>
        <v>400</v>
      </c>
      <c r="S102" s="97">
        <f t="shared" si="19"/>
        <v>-28000000</v>
      </c>
      <c r="T102" s="97"/>
    </row>
    <row r="103" spans="1:28">
      <c r="A103" s="94" t="s">
        <v>5817</v>
      </c>
      <c r="E103" s="94"/>
      <c r="F103" s="94"/>
      <c r="O103" s="97" t="s">
        <v>5555</v>
      </c>
      <c r="P103" s="18">
        <v>70085</v>
      </c>
      <c r="Q103" s="97">
        <v>7</v>
      </c>
      <c r="R103" s="97">
        <f t="shared" si="18"/>
        <v>399</v>
      </c>
      <c r="S103" s="97">
        <f t="shared" si="19"/>
        <v>27963915</v>
      </c>
      <c r="T103" s="97" t="s">
        <v>5556</v>
      </c>
    </row>
    <row r="104" spans="1:28">
      <c r="A104" s="94" t="s">
        <v>5818</v>
      </c>
      <c r="O104" s="97" t="s">
        <v>5562</v>
      </c>
      <c r="P104" s="18">
        <v>-1000000</v>
      </c>
      <c r="Q104" s="97">
        <v>31</v>
      </c>
      <c r="R104" s="97">
        <f t="shared" si="18"/>
        <v>392</v>
      </c>
      <c r="S104" s="97">
        <f t="shared" si="19"/>
        <v>-392000000</v>
      </c>
      <c r="T104" s="97"/>
    </row>
    <row r="105" spans="1:28">
      <c r="A105" s="94"/>
      <c r="O105" s="97" t="s">
        <v>5591</v>
      </c>
      <c r="P105" s="18">
        <v>6000000</v>
      </c>
      <c r="Q105" s="97">
        <v>1</v>
      </c>
      <c r="R105" s="97">
        <f t="shared" si="18"/>
        <v>361</v>
      </c>
      <c r="S105" s="97">
        <f t="shared" si="19"/>
        <v>2166000000</v>
      </c>
      <c r="T105" s="97"/>
      <c r="U105" t="s">
        <v>25</v>
      </c>
    </row>
    <row r="106" spans="1:28">
      <c r="A106" s="94" t="s">
        <v>5809</v>
      </c>
      <c r="O106" s="97" t="s">
        <v>5592</v>
      </c>
      <c r="P106" s="18">
        <v>6000000</v>
      </c>
      <c r="Q106" s="97">
        <v>11</v>
      </c>
      <c r="R106" s="97">
        <f t="shared" si="18"/>
        <v>360</v>
      </c>
      <c r="S106" s="97">
        <f t="shared" si="19"/>
        <v>2160000000</v>
      </c>
      <c r="T106" s="97"/>
    </row>
    <row r="107" spans="1:28">
      <c r="A107" t="s">
        <v>5810</v>
      </c>
      <c r="O107" s="97" t="s">
        <v>5607</v>
      </c>
      <c r="P107" s="18">
        <v>48000000</v>
      </c>
      <c r="Q107" s="97">
        <v>8</v>
      </c>
      <c r="R107" s="97">
        <f t="shared" si="18"/>
        <v>349</v>
      </c>
      <c r="S107" s="97">
        <f t="shared" si="19"/>
        <v>16752000000</v>
      </c>
      <c r="T107" s="97"/>
    </row>
    <row r="108" spans="1:28">
      <c r="A108" s="94" t="s">
        <v>5811</v>
      </c>
      <c r="O108" s="97" t="s">
        <v>5624</v>
      </c>
      <c r="P108" s="18">
        <v>-400000</v>
      </c>
      <c r="Q108" s="97">
        <v>23</v>
      </c>
      <c r="R108" s="97">
        <f t="shared" si="18"/>
        <v>341</v>
      </c>
      <c r="S108" s="97">
        <f t="shared" si="19"/>
        <v>-136400000</v>
      </c>
      <c r="T108" s="97"/>
    </row>
    <row r="109" spans="1:28">
      <c r="A109" s="94"/>
      <c r="O109" s="97" t="s">
        <v>5660</v>
      </c>
      <c r="P109" s="18">
        <v>500000</v>
      </c>
      <c r="Q109" s="97">
        <v>4</v>
      </c>
      <c r="R109" s="97">
        <f t="shared" si="18"/>
        <v>318</v>
      </c>
      <c r="S109" s="97">
        <f t="shared" si="19"/>
        <v>159000000</v>
      </c>
      <c r="T109" s="97"/>
    </row>
    <row r="110" spans="1:28">
      <c r="O110" s="97" t="s">
        <v>5664</v>
      </c>
      <c r="P110" s="18">
        <v>-500000</v>
      </c>
      <c r="Q110" s="97">
        <v>48</v>
      </c>
      <c r="R110" s="97">
        <f t="shared" si="18"/>
        <v>314</v>
      </c>
      <c r="S110" s="97">
        <f t="shared" si="19"/>
        <v>-157000000</v>
      </c>
      <c r="T110" s="97"/>
      <c r="V110" t="s">
        <v>25</v>
      </c>
    </row>
    <row r="111" spans="1:28">
      <c r="A111" s="94"/>
      <c r="O111" s="97" t="s">
        <v>5722</v>
      </c>
      <c r="P111" s="18">
        <v>2000000</v>
      </c>
      <c r="Q111" s="97">
        <v>11</v>
      </c>
      <c r="R111" s="97">
        <f t="shared" si="18"/>
        <v>266</v>
      </c>
      <c r="S111" s="97">
        <f t="shared" si="19"/>
        <v>532000000</v>
      </c>
      <c r="T111" s="97"/>
    </row>
    <row r="112" spans="1:28">
      <c r="A112" s="94"/>
      <c r="O112" s="97" t="s">
        <v>5735</v>
      </c>
      <c r="P112" s="18">
        <v>-2000000</v>
      </c>
      <c r="Q112" s="97">
        <v>1</v>
      </c>
      <c r="R112" s="97">
        <f t="shared" si="18"/>
        <v>255</v>
      </c>
      <c r="S112" s="97">
        <f t="shared" si="19"/>
        <v>-510000000</v>
      </c>
      <c r="T112" s="97"/>
      <c r="V112" t="s">
        <v>25</v>
      </c>
    </row>
    <row r="113" spans="1:25">
      <c r="O113" s="97" t="s">
        <v>5736</v>
      </c>
      <c r="P113" s="18">
        <v>-42203</v>
      </c>
      <c r="Q113" s="97">
        <v>2</v>
      </c>
      <c r="R113" s="97">
        <f t="shared" si="18"/>
        <v>254</v>
      </c>
      <c r="S113" s="97">
        <f t="shared" si="19"/>
        <v>-10719562</v>
      </c>
      <c r="T113" s="97" t="s">
        <v>5741</v>
      </c>
    </row>
    <row r="114" spans="1:25">
      <c r="A114" s="94"/>
      <c r="O114" s="97" t="s">
        <v>5744</v>
      </c>
      <c r="P114" s="18">
        <v>-365000</v>
      </c>
      <c r="Q114" s="97">
        <v>5</v>
      </c>
      <c r="R114" s="97">
        <f t="shared" si="18"/>
        <v>252</v>
      </c>
      <c r="S114" s="97">
        <f t="shared" si="19"/>
        <v>-91980000</v>
      </c>
      <c r="T114" s="97" t="s">
        <v>5745</v>
      </c>
    </row>
    <row r="115" spans="1:25">
      <c r="A115" s="94"/>
      <c r="O115" s="97" t="s">
        <v>5751</v>
      </c>
      <c r="P115" s="18">
        <v>12000000</v>
      </c>
      <c r="Q115" s="97">
        <v>9</v>
      </c>
      <c r="R115" s="97">
        <f t="shared" si="18"/>
        <v>247</v>
      </c>
      <c r="S115" s="97">
        <f t="shared" si="19"/>
        <v>2964000000</v>
      </c>
      <c r="T115" s="97" t="s">
        <v>5752</v>
      </c>
      <c r="Y115" t="s">
        <v>25</v>
      </c>
    </row>
    <row r="116" spans="1:25">
      <c r="M116" t="s">
        <v>25</v>
      </c>
      <c r="O116" s="97" t="s">
        <v>5764</v>
      </c>
      <c r="P116" s="18">
        <v>-4000000</v>
      </c>
      <c r="Q116" s="97">
        <v>1</v>
      </c>
      <c r="R116" s="97">
        <f t="shared" si="18"/>
        <v>238</v>
      </c>
      <c r="S116" s="97">
        <f t="shared" si="19"/>
        <v>-952000000</v>
      </c>
      <c r="T116" s="97"/>
    </row>
    <row r="117" spans="1:25">
      <c r="O117" s="97" t="s">
        <v>5768</v>
      </c>
      <c r="P117" s="18">
        <v>-5000000</v>
      </c>
      <c r="Q117" s="97">
        <v>2</v>
      </c>
      <c r="R117" s="97">
        <f>Q117+R118</f>
        <v>237</v>
      </c>
      <c r="S117" s="97">
        <f t="shared" si="19"/>
        <v>-1185000000</v>
      </c>
      <c r="T117" s="97"/>
    </row>
    <row r="118" spans="1:25">
      <c r="O118" s="97" t="s">
        <v>5766</v>
      </c>
      <c r="P118" s="18">
        <v>-2500000</v>
      </c>
      <c r="Q118" s="97">
        <v>1</v>
      </c>
      <c r="R118" s="97">
        <f t="shared" si="18"/>
        <v>235</v>
      </c>
      <c r="S118" s="97">
        <f t="shared" si="19"/>
        <v>-587500000</v>
      </c>
      <c r="T118" s="97"/>
    </row>
    <row r="119" spans="1:25">
      <c r="O119" s="97" t="s">
        <v>5767</v>
      </c>
      <c r="P119" s="18">
        <v>-500000</v>
      </c>
      <c r="Q119" s="97">
        <v>17</v>
      </c>
      <c r="R119" s="97">
        <f t="shared" si="18"/>
        <v>234</v>
      </c>
      <c r="S119" s="97">
        <f t="shared" si="19"/>
        <v>-117000000</v>
      </c>
      <c r="T119" s="97"/>
    </row>
    <row r="120" spans="1:25">
      <c r="O120" s="97" t="s">
        <v>5769</v>
      </c>
      <c r="P120" s="18">
        <v>-192797</v>
      </c>
      <c r="Q120" s="97">
        <v>15</v>
      </c>
      <c r="R120" s="97">
        <f t="shared" si="18"/>
        <v>217</v>
      </c>
      <c r="S120" s="97">
        <f t="shared" si="19"/>
        <v>-41836949</v>
      </c>
      <c r="T120" s="97"/>
    </row>
    <row r="121" spans="1:25">
      <c r="O121" s="97" t="s">
        <v>5774</v>
      </c>
      <c r="P121" s="18">
        <v>2000000</v>
      </c>
      <c r="Q121" s="97">
        <v>12</v>
      </c>
      <c r="R121" s="97">
        <f t="shared" si="18"/>
        <v>202</v>
      </c>
      <c r="S121" s="97">
        <f t="shared" si="19"/>
        <v>404000000</v>
      </c>
      <c r="T121" s="97"/>
    </row>
    <row r="122" spans="1:25">
      <c r="N122" t="s">
        <v>25</v>
      </c>
      <c r="O122" s="97" t="s">
        <v>5781</v>
      </c>
      <c r="P122" s="18">
        <v>-2000000</v>
      </c>
      <c r="Q122" s="97">
        <v>0</v>
      </c>
      <c r="R122" s="97">
        <f t="shared" si="18"/>
        <v>190</v>
      </c>
      <c r="S122" s="97">
        <f t="shared" si="19"/>
        <v>-380000000</v>
      </c>
      <c r="T122" s="97"/>
    </row>
    <row r="123" spans="1:25">
      <c r="O123" s="97" t="s">
        <v>5781</v>
      </c>
      <c r="P123" s="18">
        <v>-4000000</v>
      </c>
      <c r="Q123" s="97">
        <v>1</v>
      </c>
      <c r="R123" s="97">
        <f t="shared" si="18"/>
        <v>190</v>
      </c>
      <c r="S123" s="97">
        <f t="shared" si="19"/>
        <v>-760000000</v>
      </c>
      <c r="T123" s="97"/>
    </row>
    <row r="124" spans="1:25">
      <c r="O124" s="97" t="s">
        <v>5782</v>
      </c>
      <c r="P124" s="18">
        <v>-3000000</v>
      </c>
      <c r="Q124" s="97">
        <v>3</v>
      </c>
      <c r="R124" s="97">
        <f t="shared" si="18"/>
        <v>189</v>
      </c>
      <c r="S124" s="97">
        <f t="shared" si="19"/>
        <v>-567000000</v>
      </c>
      <c r="T124" s="97"/>
    </row>
    <row r="125" spans="1:25">
      <c r="O125" s="97" t="s">
        <v>5789</v>
      </c>
      <c r="P125" s="18">
        <v>-6000000</v>
      </c>
      <c r="Q125" s="97">
        <v>1</v>
      </c>
      <c r="R125" s="97">
        <f t="shared" si="18"/>
        <v>186</v>
      </c>
      <c r="S125" s="97">
        <f t="shared" si="19"/>
        <v>-1116000000</v>
      </c>
      <c r="T125" s="97"/>
    </row>
    <row r="126" spans="1:25">
      <c r="O126" s="97" t="s">
        <v>5792</v>
      </c>
      <c r="P126" s="18">
        <v>-10000000</v>
      </c>
      <c r="Q126" s="97">
        <v>0</v>
      </c>
      <c r="R126" s="97">
        <f t="shared" si="18"/>
        <v>185</v>
      </c>
      <c r="S126" s="97">
        <f t="shared" si="19"/>
        <v>-1850000000</v>
      </c>
      <c r="T126" s="97"/>
    </row>
    <row r="127" spans="1:25">
      <c r="O127" s="97" t="s">
        <v>5792</v>
      </c>
      <c r="P127" s="18">
        <v>-5500000</v>
      </c>
      <c r="Q127" s="97">
        <v>1</v>
      </c>
      <c r="R127" s="97">
        <f t="shared" si="18"/>
        <v>185</v>
      </c>
      <c r="S127" s="97">
        <f t="shared" si="19"/>
        <v>-1017500000</v>
      </c>
      <c r="T127" s="97"/>
    </row>
    <row r="128" spans="1:25">
      <c r="O128" s="97" t="s">
        <v>5793</v>
      </c>
      <c r="P128" s="18">
        <v>-1500000</v>
      </c>
      <c r="Q128" s="97">
        <v>9</v>
      </c>
      <c r="R128" s="97">
        <f t="shared" si="18"/>
        <v>184</v>
      </c>
      <c r="S128" s="97">
        <f t="shared" si="19"/>
        <v>-276000000</v>
      </c>
      <c r="T128" s="97"/>
    </row>
    <row r="129" spans="1:23">
      <c r="O129" s="97" t="s">
        <v>5820</v>
      </c>
      <c r="P129" s="18">
        <v>-22545000</v>
      </c>
      <c r="Q129" s="97">
        <v>18</v>
      </c>
      <c r="R129" s="97">
        <f t="shared" si="18"/>
        <v>175</v>
      </c>
      <c r="S129" s="97">
        <f t="shared" si="19"/>
        <v>-3945375000</v>
      </c>
      <c r="T129" s="97" t="s">
        <v>5824</v>
      </c>
    </row>
    <row r="130" spans="1:23">
      <c r="O130" s="97" t="s">
        <v>5833</v>
      </c>
      <c r="P130" s="18">
        <v>5000000</v>
      </c>
      <c r="Q130" s="97">
        <v>9</v>
      </c>
      <c r="R130" s="97">
        <f t="shared" si="18"/>
        <v>157</v>
      </c>
      <c r="S130" s="97">
        <f t="shared" si="19"/>
        <v>785000000</v>
      </c>
      <c r="T130" s="97"/>
    </row>
    <row r="131" spans="1:23">
      <c r="O131" s="97" t="s">
        <v>5838</v>
      </c>
      <c r="P131" s="18">
        <v>3000000</v>
      </c>
      <c r="Q131" s="97">
        <v>0</v>
      </c>
      <c r="R131" s="97">
        <f t="shared" si="18"/>
        <v>148</v>
      </c>
      <c r="S131" s="97">
        <f t="shared" si="19"/>
        <v>444000000</v>
      </c>
      <c r="T131" s="97"/>
      <c r="W131" t="s">
        <v>25</v>
      </c>
    </row>
    <row r="132" spans="1:23">
      <c r="O132" s="97" t="s">
        <v>5838</v>
      </c>
      <c r="P132" s="18">
        <v>-3000000</v>
      </c>
      <c r="Q132" s="97">
        <v>1</v>
      </c>
      <c r="R132" s="97">
        <f t="shared" si="18"/>
        <v>148</v>
      </c>
      <c r="S132" s="97">
        <f t="shared" si="19"/>
        <v>-444000000</v>
      </c>
      <c r="T132" s="97"/>
    </row>
    <row r="133" spans="1:23">
      <c r="O133" s="97" t="s">
        <v>5839</v>
      </c>
      <c r="P133" s="18">
        <v>-11455000</v>
      </c>
      <c r="Q133" s="97">
        <v>14</v>
      </c>
      <c r="R133" s="97">
        <f t="shared" si="18"/>
        <v>147</v>
      </c>
      <c r="S133" s="97">
        <f t="shared" si="19"/>
        <v>-1683885000</v>
      </c>
      <c r="T133" s="97"/>
    </row>
    <row r="134" spans="1:23">
      <c r="A134" s="290" t="s">
        <v>180</v>
      </c>
      <c r="B134" s="291" t="s">
        <v>5860</v>
      </c>
      <c r="C134" s="32" t="s">
        <v>5861</v>
      </c>
      <c r="D134" s="32" t="s">
        <v>5862</v>
      </c>
      <c r="E134" s="32" t="s">
        <v>5863</v>
      </c>
      <c r="F134" s="32" t="s">
        <v>5864</v>
      </c>
      <c r="G134" s="32" t="s">
        <v>5315</v>
      </c>
      <c r="H134" s="32" t="s">
        <v>5865</v>
      </c>
      <c r="I134" s="276" t="s">
        <v>5866</v>
      </c>
      <c r="O134" s="97" t="s">
        <v>6414</v>
      </c>
      <c r="P134" s="18">
        <v>2317100</v>
      </c>
      <c r="Q134" s="97">
        <v>3</v>
      </c>
      <c r="R134" s="97">
        <f t="shared" si="18"/>
        <v>133</v>
      </c>
      <c r="S134" s="97">
        <f t="shared" si="19"/>
        <v>308174300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6416</v>
      </c>
      <c r="P135" s="18">
        <v>699000</v>
      </c>
      <c r="Q135" s="97">
        <v>3</v>
      </c>
      <c r="R135" s="97">
        <f t="shared" si="18"/>
        <v>130</v>
      </c>
      <c r="S135" s="97">
        <f t="shared" si="19"/>
        <v>90870000</v>
      </c>
      <c r="T135" s="97"/>
    </row>
    <row r="136" spans="1:23">
      <c r="A136" s="290" t="s">
        <v>4739</v>
      </c>
      <c r="B136" s="18"/>
      <c r="C136" s="18"/>
      <c r="D136" s="18"/>
      <c r="E136" s="18"/>
      <c r="F136" s="32">
        <f>F135+I136</f>
        <v>419590.64327485382</v>
      </c>
      <c r="G136" s="32">
        <v>25</v>
      </c>
      <c r="H136" s="32">
        <v>180</v>
      </c>
      <c r="I136" s="296">
        <f>G136*F135/H136</f>
        <v>51169.59064327486</v>
      </c>
      <c r="O136" s="97" t="s">
        <v>6422</v>
      </c>
      <c r="P136" s="18">
        <v>-1016100</v>
      </c>
      <c r="Q136" s="97">
        <v>5</v>
      </c>
      <c r="R136" s="97">
        <f t="shared" si="18"/>
        <v>127</v>
      </c>
      <c r="S136" s="97">
        <f t="shared" si="19"/>
        <v>-129044700</v>
      </c>
      <c r="T136" s="97"/>
    </row>
    <row r="137" spans="1:23">
      <c r="A137" s="290" t="s">
        <v>5419</v>
      </c>
      <c r="B137" s="18"/>
      <c r="C137" s="18"/>
      <c r="D137" s="18"/>
      <c r="E137" s="18"/>
      <c r="F137" s="32">
        <f>F136+I137</f>
        <v>441232.68698060943</v>
      </c>
      <c r="G137" s="32">
        <v>49</v>
      </c>
      <c r="H137" s="32">
        <v>950</v>
      </c>
      <c r="I137" s="296">
        <f>F136*G137/H137</f>
        <v>21642.043705755616</v>
      </c>
      <c r="O137" s="97" t="s">
        <v>6430</v>
      </c>
      <c r="P137" s="18">
        <v>-680000</v>
      </c>
      <c r="Q137" s="97">
        <v>3</v>
      </c>
      <c r="R137" s="97">
        <f t="shared" si="18"/>
        <v>122</v>
      </c>
      <c r="S137" s="97">
        <f t="shared" si="19"/>
        <v>-82960000</v>
      </c>
      <c r="T137" s="97"/>
    </row>
    <row r="138" spans="1:23">
      <c r="A138" s="290" t="s">
        <v>5838</v>
      </c>
      <c r="B138" s="18"/>
      <c r="C138" s="18"/>
      <c r="D138" s="18"/>
      <c r="E138" s="18"/>
      <c r="F138" s="32">
        <f>F137+I138</f>
        <v>473322.33694283559</v>
      </c>
      <c r="G138" s="32">
        <v>80</v>
      </c>
      <c r="H138" s="32">
        <v>1100</v>
      </c>
      <c r="I138" s="296">
        <f>F137*G138/H138</f>
        <v>32089.64996222614</v>
      </c>
      <c r="O138" s="97" t="s">
        <v>6431</v>
      </c>
      <c r="P138" s="18">
        <v>-216000</v>
      </c>
      <c r="Q138" s="97">
        <v>3</v>
      </c>
      <c r="R138" s="97">
        <f t="shared" si="18"/>
        <v>119</v>
      </c>
      <c r="S138" s="97">
        <f t="shared" si="19"/>
        <v>-25704000</v>
      </c>
      <c r="T138" s="97"/>
    </row>
    <row r="139" spans="1:23">
      <c r="A139" s="9"/>
      <c r="B139" s="18"/>
      <c r="O139" s="97" t="s">
        <v>6433</v>
      </c>
      <c r="P139" s="18">
        <v>-619000</v>
      </c>
      <c r="Q139" s="97">
        <v>3</v>
      </c>
      <c r="R139" s="97">
        <f t="shared" si="18"/>
        <v>116</v>
      </c>
      <c r="S139" s="97">
        <f t="shared" si="19"/>
        <v>-71804000</v>
      </c>
      <c r="T139" s="97"/>
    </row>
    <row r="140" spans="1:23" ht="30">
      <c r="A140" s="290"/>
      <c r="B140" s="292" t="s">
        <v>5867</v>
      </c>
      <c r="C140" s="18"/>
      <c r="D140" s="18" t="s">
        <v>5868</v>
      </c>
      <c r="E140" s="18"/>
      <c r="F140" s="18" t="s">
        <v>5869</v>
      </c>
      <c r="G140" s="32"/>
      <c r="H140" s="32"/>
      <c r="I140" s="206"/>
      <c r="O140" s="144" t="s">
        <v>6444</v>
      </c>
      <c r="P140" s="238">
        <v>-485000</v>
      </c>
      <c r="Q140" s="144">
        <v>11</v>
      </c>
      <c r="R140" s="97">
        <f t="shared" si="18"/>
        <v>113</v>
      </c>
      <c r="S140" s="97">
        <f t="shared" si="19"/>
        <v>-54805000</v>
      </c>
      <c r="T140" s="387" t="s">
        <v>6676</v>
      </c>
      <c r="V140" t="s">
        <v>25</v>
      </c>
    </row>
    <row r="141" spans="1:23">
      <c r="A141" s="290" t="s">
        <v>5859</v>
      </c>
      <c r="B141" s="292">
        <v>260000000</v>
      </c>
      <c r="C141" s="18"/>
      <c r="D141" s="293">
        <f>10440000*D135</f>
        <v>166090909.09090909</v>
      </c>
      <c r="E141" s="18"/>
      <c r="F141" s="295">
        <f>1066*F138</f>
        <v>504561611.18106276</v>
      </c>
      <c r="G141" s="32"/>
      <c r="H141" s="32"/>
      <c r="I141" s="206"/>
      <c r="O141" s="97" t="s">
        <v>6453</v>
      </c>
      <c r="P141" s="18">
        <v>3000000</v>
      </c>
      <c r="Q141" s="97">
        <v>1</v>
      </c>
      <c r="R141" s="97">
        <f t="shared" si="18"/>
        <v>102</v>
      </c>
      <c r="S141" s="97">
        <f t="shared" si="19"/>
        <v>306000000</v>
      </c>
      <c r="T141" s="97"/>
    </row>
    <row r="142" spans="1:23">
      <c r="A142" s="94"/>
      <c r="B142" s="94"/>
      <c r="E142" s="94"/>
      <c r="F142" s="94"/>
      <c r="G142" s="94"/>
      <c r="H142" s="94"/>
      <c r="I142" s="94"/>
      <c r="J142" s="94"/>
      <c r="O142" s="97" t="s">
        <v>6455</v>
      </c>
      <c r="P142" s="18">
        <v>255000</v>
      </c>
      <c r="Q142" s="97">
        <v>1</v>
      </c>
      <c r="R142" s="97">
        <f t="shared" si="18"/>
        <v>101</v>
      </c>
      <c r="S142" s="97">
        <f t="shared" si="19"/>
        <v>25755000</v>
      </c>
      <c r="T142" s="97" t="s">
        <v>6456</v>
      </c>
    </row>
    <row r="143" spans="1:23">
      <c r="A143" s="94"/>
      <c r="B143" s="94"/>
      <c r="E143" s="94"/>
      <c r="F143" s="94"/>
      <c r="G143" s="94"/>
      <c r="H143" s="94"/>
      <c r="I143" s="94" t="s">
        <v>25</v>
      </c>
      <c r="J143" s="94"/>
      <c r="O143" s="97" t="s">
        <v>6457</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6471</v>
      </c>
      <c r="P144" s="18">
        <v>60000000</v>
      </c>
      <c r="Q144" s="97">
        <v>19</v>
      </c>
      <c r="R144" s="97">
        <f t="shared" si="18"/>
        <v>91</v>
      </c>
      <c r="S144" s="97">
        <f t="shared" si="19"/>
        <v>5460000000</v>
      </c>
      <c r="T144" s="97"/>
    </row>
    <row r="145" spans="1:25">
      <c r="A145" s="300" t="s">
        <v>6412</v>
      </c>
      <c r="B145" s="301" t="s">
        <v>6410</v>
      </c>
      <c r="C145" s="32" t="s">
        <v>6429</v>
      </c>
      <c r="D145" s="237" t="s">
        <v>1098</v>
      </c>
      <c r="E145" s="32" t="s">
        <v>6411</v>
      </c>
      <c r="F145" s="206" t="s">
        <v>5861</v>
      </c>
      <c r="G145" s="206" t="s">
        <v>6428</v>
      </c>
      <c r="H145" s="94"/>
      <c r="I145" s="94"/>
      <c r="J145" s="94"/>
      <c r="O145" s="97" t="s">
        <v>6477</v>
      </c>
      <c r="P145" s="18">
        <v>473628</v>
      </c>
      <c r="Q145" s="97">
        <v>2</v>
      </c>
      <c r="R145" s="97">
        <f t="shared" ref="R145:R147" si="20">Q145+R146</f>
        <v>72</v>
      </c>
      <c r="S145" s="97">
        <f t="shared" ref="S145:S147" si="21">P145*R145</f>
        <v>34101216</v>
      </c>
      <c r="T145" s="97" t="s">
        <v>6478</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6479</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6481</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6483</v>
      </c>
      <c r="P148" s="18">
        <v>-475000</v>
      </c>
      <c r="Q148" s="97">
        <v>1</v>
      </c>
      <c r="R148" s="97">
        <f t="shared" ref="R148:R155" si="25">Q148+R149</f>
        <v>66</v>
      </c>
      <c r="S148" s="97">
        <f t="shared" ref="S148:S155" si="26">P148*R148</f>
        <v>-31350000</v>
      </c>
      <c r="T148" s="97" t="s">
        <v>6484</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6485</v>
      </c>
      <c r="P149" s="18">
        <v>-837000</v>
      </c>
      <c r="Q149" s="97">
        <v>1</v>
      </c>
      <c r="R149" s="97">
        <f t="shared" si="25"/>
        <v>65</v>
      </c>
      <c r="S149" s="97">
        <f t="shared" si="26"/>
        <v>-54405000</v>
      </c>
      <c r="T149" s="97" t="s">
        <v>6484</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6486</v>
      </c>
      <c r="P150" s="18">
        <v>-493000</v>
      </c>
      <c r="Q150" s="97">
        <v>1</v>
      </c>
      <c r="R150" s="97">
        <f t="shared" si="25"/>
        <v>64</v>
      </c>
      <c r="S150" s="97">
        <f t="shared" si="26"/>
        <v>-31552000</v>
      </c>
      <c r="T150" s="97" t="s">
        <v>6484</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6487</v>
      </c>
      <c r="P151" s="18">
        <v>54000</v>
      </c>
      <c r="Q151" s="97">
        <v>3</v>
      </c>
      <c r="R151" s="97">
        <f t="shared" si="25"/>
        <v>63</v>
      </c>
      <c r="S151" s="97">
        <f t="shared" si="26"/>
        <v>3402000</v>
      </c>
      <c r="T151" s="97" t="s">
        <v>6488</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6490</v>
      </c>
      <c r="P152" s="18">
        <v>-400000</v>
      </c>
      <c r="Q152" s="97">
        <v>2</v>
      </c>
      <c r="R152" s="97">
        <f t="shared" si="25"/>
        <v>60</v>
      </c>
      <c r="S152" s="97">
        <f t="shared" si="26"/>
        <v>-24000000</v>
      </c>
      <c r="T152" s="97" t="s">
        <v>6493</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6495</v>
      </c>
      <c r="P153" s="18">
        <v>-938000</v>
      </c>
      <c r="Q153" s="97">
        <v>9</v>
      </c>
      <c r="R153" s="97">
        <f t="shared" si="25"/>
        <v>58</v>
      </c>
      <c r="S153" s="97">
        <f t="shared" si="26"/>
        <v>-54404000</v>
      </c>
      <c r="T153" s="97" t="s">
        <v>6484</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6612</v>
      </c>
      <c r="P154" s="18">
        <v>-7911000</v>
      </c>
      <c r="Q154" s="97">
        <v>12</v>
      </c>
      <c r="R154" s="97">
        <f t="shared" si="25"/>
        <v>49</v>
      </c>
      <c r="S154" s="97">
        <f t="shared" si="26"/>
        <v>-387639000</v>
      </c>
      <c r="T154" s="97" t="s">
        <v>6614</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6624</v>
      </c>
      <c r="P155" s="18">
        <v>1000000</v>
      </c>
      <c r="Q155" s="97">
        <v>1</v>
      </c>
      <c r="R155" s="97">
        <f t="shared" si="25"/>
        <v>37</v>
      </c>
      <c r="S155" s="97">
        <f t="shared" si="26"/>
        <v>37000000</v>
      </c>
      <c r="T155" s="97" t="s">
        <v>6631</v>
      </c>
    </row>
    <row r="156" spans="1:25">
      <c r="A156" s="300">
        <v>1400</v>
      </c>
      <c r="B156" s="301">
        <v>4800</v>
      </c>
      <c r="C156" s="32">
        <f t="shared" ref="C156" si="29">(B156-B155)*100/B155</f>
        <v>38.089758342922899</v>
      </c>
      <c r="D156" s="237">
        <v>34000</v>
      </c>
      <c r="E156" s="32">
        <f t="shared" si="28"/>
        <v>141.1764705882353</v>
      </c>
      <c r="F156" s="18">
        <v>15000000</v>
      </c>
      <c r="G156" s="206">
        <f t="shared" si="27"/>
        <v>320</v>
      </c>
      <c r="O156" s="97" t="s">
        <v>6625</v>
      </c>
      <c r="P156" s="18">
        <v>-1000000</v>
      </c>
      <c r="Q156" s="97">
        <v>19</v>
      </c>
      <c r="R156" s="97">
        <f t="shared" ref="R156:R163" si="30">Q156+R157</f>
        <v>36</v>
      </c>
      <c r="S156" s="97">
        <f t="shared" ref="S156:S163" si="31">P156*R156</f>
        <v>-36000000</v>
      </c>
      <c r="T156" s="97" t="s">
        <v>6614</v>
      </c>
    </row>
    <row r="157" spans="1:25">
      <c r="A157" s="94"/>
      <c r="B157" s="94"/>
      <c r="E157" s="94"/>
      <c r="F157" s="94"/>
      <c r="G157" s="94"/>
      <c r="O157" s="97" t="s">
        <v>6650</v>
      </c>
      <c r="P157" s="18">
        <v>400000</v>
      </c>
      <c r="Q157" s="97">
        <v>0</v>
      </c>
      <c r="R157" s="97">
        <f t="shared" si="30"/>
        <v>17</v>
      </c>
      <c r="S157" s="97">
        <f t="shared" si="31"/>
        <v>6800000</v>
      </c>
      <c r="T157" s="97"/>
    </row>
    <row r="158" spans="1:25">
      <c r="A158" s="94"/>
      <c r="B158" s="94"/>
      <c r="E158" s="94"/>
      <c r="F158" s="94"/>
      <c r="G158" s="94"/>
      <c r="O158" s="97" t="s">
        <v>6650</v>
      </c>
      <c r="P158" s="18">
        <v>-400000</v>
      </c>
      <c r="Q158" s="97">
        <v>11</v>
      </c>
      <c r="R158" s="97">
        <f t="shared" si="30"/>
        <v>17</v>
      </c>
      <c r="S158" s="97">
        <f t="shared" si="31"/>
        <v>-6800000</v>
      </c>
      <c r="T158" s="97"/>
      <c r="Y158" t="s">
        <v>25</v>
      </c>
    </row>
    <row r="159" spans="1:25">
      <c r="A159" s="94"/>
      <c r="B159" s="94"/>
      <c r="E159" s="94"/>
      <c r="F159" s="94"/>
      <c r="G159" s="94"/>
      <c r="O159" s="97" t="s">
        <v>6668</v>
      </c>
      <c r="P159" s="18">
        <v>600000</v>
      </c>
      <c r="Q159" s="97">
        <v>5</v>
      </c>
      <c r="R159" s="97">
        <f t="shared" si="30"/>
        <v>6</v>
      </c>
      <c r="S159" s="97">
        <f t="shared" si="31"/>
        <v>3600000</v>
      </c>
      <c r="T159" s="97"/>
    </row>
    <row r="160" spans="1:25">
      <c r="A160" s="94"/>
      <c r="B160" s="94"/>
      <c r="E160" s="94"/>
      <c r="O160" s="97" t="s">
        <v>6675</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4902</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4828</v>
      </c>
      <c r="B179" s="97" t="s">
        <v>4829</v>
      </c>
      <c r="C179" s="97" t="s">
        <v>5519</v>
      </c>
      <c r="D179" s="97" t="s">
        <v>6511</v>
      </c>
      <c r="E179" s="97" t="s">
        <v>6470</v>
      </c>
      <c r="F179" s="97" t="s">
        <v>6512</v>
      </c>
      <c r="G179" s="97" t="s">
        <v>4245</v>
      </c>
      <c r="H179" s="97" t="s">
        <v>4913</v>
      </c>
      <c r="I179" s="120" t="s">
        <v>4829</v>
      </c>
      <c r="K179" s="94"/>
      <c r="M179" s="94"/>
      <c r="N179" s="94"/>
    </row>
    <row r="180" spans="1:17">
      <c r="A180" s="97" t="s">
        <v>5809</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6504</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6507</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6505</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6506</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4520</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4216</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5812</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6508</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5816</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5983</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4509</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6509</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5836</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6510</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4433</v>
      </c>
      <c r="I195" s="94"/>
      <c r="J195" s="94"/>
      <c r="K195" s="94"/>
    </row>
    <row r="196" spans="1:11">
      <c r="A196" s="97"/>
      <c r="B196" s="97"/>
      <c r="C196" s="97"/>
      <c r="D196" s="97">
        <f>SUM(D180:D195)</f>
        <v>383.91537804249998</v>
      </c>
      <c r="E196" s="97"/>
      <c r="F196" s="97">
        <f>SUM(F180:F195)</f>
        <v>268.7684006984</v>
      </c>
      <c r="G196" s="97" t="s">
        <v>4433</v>
      </c>
      <c r="H196" s="97">
        <f>SUM(H180:H194)</f>
        <v>2979.2382971038996</v>
      </c>
      <c r="I196" s="94"/>
      <c r="J196" s="94"/>
      <c r="K196" s="94"/>
    </row>
    <row r="197" spans="1:11">
      <c r="A197" s="97"/>
      <c r="B197" s="97"/>
      <c r="C197" s="97"/>
      <c r="D197" s="97" t="s">
        <v>6</v>
      </c>
      <c r="E197" s="97"/>
      <c r="F197" s="97" t="s">
        <v>6</v>
      </c>
      <c r="G197" s="97" t="s">
        <v>5015</v>
      </c>
      <c r="H197" s="97">
        <v>1360</v>
      </c>
      <c r="I197" s="94"/>
      <c r="J197" s="94"/>
      <c r="K197" s="94"/>
    </row>
    <row r="198" spans="1:11">
      <c r="A198" s="97"/>
      <c r="B198" s="97"/>
      <c r="C198" s="97"/>
      <c r="D198" s="97"/>
      <c r="E198" s="97"/>
      <c r="F198" s="97"/>
      <c r="G198" s="97" t="s">
        <v>5016</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5524</v>
      </c>
    </row>
    <row r="140" spans="4:5">
      <c r="D140" s="18">
        <v>-2000000</v>
      </c>
      <c r="E140" s="235" t="s">
        <v>5528</v>
      </c>
    </row>
    <row r="141" spans="4:5">
      <c r="D141" s="18">
        <v>-2500000</v>
      </c>
      <c r="E141" s="235" t="s">
        <v>5529</v>
      </c>
    </row>
    <row r="142" spans="4:5">
      <c r="D142" s="18">
        <v>-500000</v>
      </c>
      <c r="E142" s="235" t="s">
        <v>5545</v>
      </c>
    </row>
    <row r="143" spans="4:5">
      <c r="D143" s="18">
        <v>-83930</v>
      </c>
      <c r="E143" s="235" t="s">
        <v>5553</v>
      </c>
    </row>
    <row r="144" spans="4:5">
      <c r="D144" s="18">
        <v>-550000</v>
      </c>
      <c r="E144" s="235" t="s">
        <v>5552</v>
      </c>
    </row>
    <row r="145" spans="4:9">
      <c r="D145" s="18">
        <v>-25000</v>
      </c>
      <c r="E145" s="235" t="s">
        <v>5561</v>
      </c>
      <c r="I145" t="s">
        <v>25</v>
      </c>
    </row>
    <row r="146" spans="4:9">
      <c r="D146" s="18">
        <v>-180000</v>
      </c>
      <c r="E146" s="235" t="s">
        <v>5614</v>
      </c>
      <c r="G146" t="s">
        <v>25</v>
      </c>
    </row>
    <row r="147" spans="4:9">
      <c r="D147" s="18">
        <v>-30000</v>
      </c>
      <c r="E147" s="235" t="s">
        <v>5613</v>
      </c>
    </row>
    <row r="148" spans="4:9">
      <c r="D148" s="18">
        <v>-47000</v>
      </c>
      <c r="E148" s="235" t="s">
        <v>5612</v>
      </c>
    </row>
    <row r="149" spans="4:9">
      <c r="D149" s="18">
        <v>-1000000</v>
      </c>
      <c r="E149" s="235" t="s">
        <v>5615</v>
      </c>
    </row>
    <row r="150" spans="4:9">
      <c r="D150" s="18">
        <v>-500000</v>
      </c>
      <c r="E150" s="235" t="s">
        <v>5628</v>
      </c>
    </row>
    <row r="151" spans="4:9">
      <c r="D151" s="18">
        <v>-5000000</v>
      </c>
      <c r="E151" s="235" t="s">
        <v>5633</v>
      </c>
    </row>
    <row r="152" spans="4:9">
      <c r="D152" s="18">
        <v>-200000</v>
      </c>
      <c r="E152" s="235" t="s">
        <v>5643</v>
      </c>
    </row>
    <row r="153" spans="4:9">
      <c r="D153" s="18">
        <v>-268000</v>
      </c>
      <c r="E153" s="235" t="s">
        <v>5676</v>
      </c>
      <c r="I153" t="s">
        <v>25</v>
      </c>
    </row>
    <row r="154" spans="4:9">
      <c r="D154" s="18">
        <v>-1800000</v>
      </c>
      <c r="E154" s="235" t="s">
        <v>5692</v>
      </c>
    </row>
    <row r="155" spans="4:9" ht="30">
      <c r="D155" s="18">
        <v>-3200000</v>
      </c>
      <c r="E155" s="235" t="s">
        <v>5693</v>
      </c>
      <c r="I155" t="s">
        <v>25</v>
      </c>
    </row>
    <row r="156" spans="4:9">
      <c r="D156" s="18">
        <v>-300000</v>
      </c>
      <c r="E156" s="235" t="s">
        <v>5702</v>
      </c>
    </row>
    <row r="157" spans="4:9">
      <c r="D157" s="18">
        <v>-1300000</v>
      </c>
      <c r="E157" s="235" t="s">
        <v>5703</v>
      </c>
    </row>
    <row r="158" spans="4:9">
      <c r="D158" s="18">
        <v>860000</v>
      </c>
      <c r="E158" s="235" t="s">
        <v>5721</v>
      </c>
    </row>
    <row r="159" spans="4:9">
      <c r="D159" s="18">
        <v>-83900</v>
      </c>
      <c r="E159" s="235" t="s">
        <v>5732</v>
      </c>
      <c r="I159" t="s">
        <v>25</v>
      </c>
    </row>
    <row r="160" spans="4:9">
      <c r="D160" s="18">
        <v>-3810000</v>
      </c>
      <c r="E160" s="235" t="s">
        <v>5750</v>
      </c>
      <c r="H160" t="s">
        <v>25</v>
      </c>
    </row>
    <row r="161" spans="4:11">
      <c r="D161" s="18">
        <v>30000000</v>
      </c>
      <c r="E161" s="235" t="s">
        <v>5857</v>
      </c>
      <c r="I161" t="s">
        <v>25</v>
      </c>
    </row>
    <row r="162" spans="4:11">
      <c r="D162" s="18">
        <v>50000000</v>
      </c>
      <c r="E162" s="235" t="s">
        <v>5876</v>
      </c>
    </row>
    <row r="163" spans="4:11">
      <c r="D163" s="18">
        <v>-19100000</v>
      </c>
      <c r="E163" s="235" t="s">
        <v>5875</v>
      </c>
    </row>
    <row r="164" spans="4:11">
      <c r="D164" s="18">
        <v>1470000</v>
      </c>
      <c r="E164" s="235" t="s">
        <v>6653</v>
      </c>
      <c r="I164" t="s">
        <v>25</v>
      </c>
    </row>
    <row r="165" spans="4:11">
      <c r="D165" s="18">
        <v>-2540000</v>
      </c>
      <c r="E165" s="235" t="s">
        <v>6654</v>
      </c>
      <c r="K165" t="s">
        <v>25</v>
      </c>
    </row>
    <row r="166" spans="4:11">
      <c r="D166" s="18">
        <v>-1040000</v>
      </c>
      <c r="E166" s="235" t="s">
        <v>6655</v>
      </c>
    </row>
    <row r="167" spans="4:11">
      <c r="D167" s="18">
        <v>-50252149</v>
      </c>
      <c r="E167" s="235" t="s">
        <v>6671</v>
      </c>
    </row>
    <row r="168" spans="4:11">
      <c r="D168" s="18">
        <v>-1500000</v>
      </c>
      <c r="E168" s="235" t="s">
        <v>7013</v>
      </c>
    </row>
    <row r="169" spans="4:11">
      <c r="D169" s="18">
        <v>-2500000</v>
      </c>
      <c r="E169" s="235" t="s">
        <v>7014</v>
      </c>
      <c r="H169" t="s">
        <v>25</v>
      </c>
    </row>
    <row r="170" spans="4:11">
      <c r="D170" s="18">
        <v>-2600000</v>
      </c>
      <c r="E170" s="235" t="s">
        <v>7023</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25" t="s">
        <v>1071</v>
      </c>
      <c r="R21" s="425"/>
      <c r="S21" s="425"/>
      <c r="T21" s="425"/>
      <c r="U21" s="94"/>
      <c r="V21" s="94"/>
      <c r="W21" s="41" t="s">
        <v>4948</v>
      </c>
      <c r="X21" s="41">
        <v>9035210431</v>
      </c>
      <c r="Y21" s="41">
        <v>50</v>
      </c>
      <c r="Z21" s="41" t="s">
        <v>5210</v>
      </c>
      <c r="AA21" t="s">
        <v>4966</v>
      </c>
    </row>
    <row r="22" spans="5:35">
      <c r="O22" s="97"/>
      <c r="P22" s="97"/>
      <c r="Q22" s="425"/>
      <c r="R22" s="425"/>
      <c r="S22" s="425"/>
      <c r="T22" s="425"/>
      <c r="U22" s="94"/>
      <c r="V22" s="94"/>
      <c r="W22" s="41" t="s">
        <v>5035</v>
      </c>
      <c r="X22" s="41">
        <v>9909620343</v>
      </c>
      <c r="Y22" s="41">
        <v>200</v>
      </c>
      <c r="Z22" s="41" t="s">
        <v>5211</v>
      </c>
      <c r="AA22" t="s">
        <v>5214</v>
      </c>
      <c r="AB22" s="41" t="s">
        <v>5222</v>
      </c>
    </row>
    <row r="23" spans="5:35" ht="15.75">
      <c r="O23" s="176"/>
      <c r="P23" s="97" t="s">
        <v>4067</v>
      </c>
      <c r="Q23" s="426" t="s">
        <v>1072</v>
      </c>
      <c r="R23" s="427" t="s">
        <v>1073</v>
      </c>
      <c r="S23" s="426" t="s">
        <v>1074</v>
      </c>
      <c r="T23" s="428" t="s">
        <v>1075</v>
      </c>
      <c r="W23" s="41" t="s">
        <v>5036</v>
      </c>
      <c r="X23" s="41">
        <v>9378807702</v>
      </c>
      <c r="Y23" s="41">
        <v>0</v>
      </c>
      <c r="Z23" s="41">
        <v>0</v>
      </c>
      <c r="AD23" t="s">
        <v>25</v>
      </c>
    </row>
    <row r="24" spans="5:35">
      <c r="O24" s="97"/>
      <c r="P24" s="97"/>
      <c r="Q24" s="426"/>
      <c r="R24" s="427"/>
      <c r="S24" s="426"/>
      <c r="T24" s="428"/>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5542</v>
      </c>
      <c r="X28" s="41">
        <v>9373349244</v>
      </c>
      <c r="Y28" s="41">
        <v>300</v>
      </c>
      <c r="Z28" s="41" t="s">
        <v>5543</v>
      </c>
      <c r="AA28" s="94" t="s">
        <v>5537</v>
      </c>
      <c r="AB28" s="41" t="s">
        <v>5609</v>
      </c>
    </row>
    <row r="29" spans="5:35">
      <c r="R29" s="94"/>
      <c r="S29" s="94"/>
      <c r="T29" s="94"/>
      <c r="U29" s="94"/>
      <c r="V29" s="94"/>
      <c r="W29" s="41" t="s">
        <v>5570</v>
      </c>
      <c r="X29" s="41">
        <v>9332154549</v>
      </c>
      <c r="Y29" s="41">
        <v>260</v>
      </c>
      <c r="Z29" s="41" t="s">
        <v>5543</v>
      </c>
      <c r="AA29" s="94" t="s">
        <v>5568</v>
      </c>
      <c r="AB29" s="41" t="s">
        <v>5795</v>
      </c>
    </row>
    <row r="30" spans="5:35">
      <c r="R30" s="94"/>
      <c r="S30" s="94"/>
      <c r="T30" s="94"/>
      <c r="U30" s="94"/>
      <c r="V30" s="94"/>
      <c r="W30" s="41" t="s">
        <v>5794</v>
      </c>
      <c r="X30" s="41">
        <v>9944625742</v>
      </c>
      <c r="Y30" s="41">
        <v>120</v>
      </c>
      <c r="Z30" s="41" t="s">
        <v>4483</v>
      </c>
      <c r="AA30" s="94" t="s">
        <v>5782</v>
      </c>
      <c r="AB30" s="94"/>
    </row>
    <row r="31" spans="5:35">
      <c r="R31" s="94"/>
      <c r="S31" s="94"/>
      <c r="T31" s="94"/>
      <c r="U31" s="94"/>
      <c r="V31" s="94"/>
      <c r="W31" s="343" t="s">
        <v>6611</v>
      </c>
      <c r="X31" s="343">
        <v>9199190185</v>
      </c>
      <c r="Y31" s="343">
        <v>195</v>
      </c>
      <c r="Z31" s="343" t="s">
        <v>5210</v>
      </c>
      <c r="AA31" s="94" t="s">
        <v>6441</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5880</v>
      </c>
      <c r="B1" s="206" t="s">
        <v>4419</v>
      </c>
      <c r="C1" s="206" t="s">
        <v>6400</v>
      </c>
      <c r="D1" s="206" t="s">
        <v>5879</v>
      </c>
      <c r="E1" s="206" t="s">
        <v>4829</v>
      </c>
      <c r="F1" s="206" t="s">
        <v>5882</v>
      </c>
      <c r="G1" s="206" t="s">
        <v>5884</v>
      </c>
      <c r="H1" s="206"/>
      <c r="I1" s="206"/>
      <c r="J1" s="206"/>
      <c r="K1" s="206"/>
      <c r="L1" s="206" t="s">
        <v>6401</v>
      </c>
      <c r="M1" s="206">
        <v>10000000000</v>
      </c>
      <c r="N1" s="206"/>
      <c r="O1" s="206"/>
      <c r="P1" s="206"/>
      <c r="Q1" s="206"/>
      <c r="R1" s="206"/>
      <c r="S1" s="206"/>
      <c r="T1" s="206"/>
      <c r="U1" s="206"/>
      <c r="V1" s="206"/>
      <c r="W1" s="206"/>
      <c r="X1" s="206"/>
      <c r="Y1" s="206"/>
      <c r="Z1" s="206"/>
      <c r="AA1" s="206"/>
      <c r="AB1" s="206"/>
      <c r="AC1" s="206"/>
    </row>
    <row r="2" spans="1:29">
      <c r="A2" s="206" t="s">
        <v>5899</v>
      </c>
      <c r="B2" s="206">
        <v>52293239</v>
      </c>
      <c r="C2" s="206">
        <f t="shared" ref="C2:C33" si="0">D2+E2</f>
        <v>2605542578</v>
      </c>
      <c r="D2" s="206" t="s">
        <v>5900</v>
      </c>
      <c r="E2" s="206" t="s">
        <v>5901</v>
      </c>
      <c r="F2" s="206" t="s">
        <v>5902</v>
      </c>
      <c r="G2" s="206" t="s">
        <v>5903</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5886</v>
      </c>
      <c r="B3" s="298">
        <v>39356047</v>
      </c>
      <c r="C3" s="206">
        <f t="shared" si="0"/>
        <v>3355161798</v>
      </c>
      <c r="D3" s="206" t="s">
        <v>5888</v>
      </c>
      <c r="E3" s="206" t="s">
        <v>5889</v>
      </c>
      <c r="F3" s="206" t="s">
        <v>5891</v>
      </c>
      <c r="G3" s="206" t="s">
        <v>5892</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5926</v>
      </c>
      <c r="B4" s="298">
        <v>27272507</v>
      </c>
      <c r="C4" s="206">
        <f t="shared" si="0"/>
        <v>2003857980</v>
      </c>
      <c r="D4" s="206" t="s">
        <v>5900</v>
      </c>
      <c r="E4" s="179" t="s">
        <v>5927</v>
      </c>
      <c r="F4" s="206" t="s">
        <v>5928</v>
      </c>
      <c r="G4" s="206" t="s">
        <v>5929</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5930</v>
      </c>
      <c r="B5" s="298">
        <v>17936330</v>
      </c>
      <c r="C5" s="206">
        <f t="shared" si="0"/>
        <v>4161561525</v>
      </c>
      <c r="D5" s="206" t="s">
        <v>5900</v>
      </c>
      <c r="E5" s="206" t="s">
        <v>5931</v>
      </c>
      <c r="F5" s="206" t="s">
        <v>5932</v>
      </c>
      <c r="G5" s="206" t="s">
        <v>5933</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5910</v>
      </c>
      <c r="B6" s="298">
        <v>15219631</v>
      </c>
      <c r="C6" s="206">
        <f t="shared" si="0"/>
        <v>1037466348</v>
      </c>
      <c r="D6" s="206" t="s">
        <v>5912</v>
      </c>
      <c r="E6" s="206" t="s">
        <v>5913</v>
      </c>
      <c r="F6" s="179" t="s">
        <v>5914</v>
      </c>
      <c r="G6" s="206" t="s">
        <v>5915</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5960</v>
      </c>
      <c r="B7" s="298">
        <v>12077909</v>
      </c>
      <c r="C7" s="206">
        <f t="shared" si="0"/>
        <v>499499998</v>
      </c>
      <c r="D7" s="206" t="s">
        <v>5900</v>
      </c>
      <c r="E7" s="206" t="s">
        <v>5961</v>
      </c>
      <c r="F7" s="206" t="s">
        <v>5962</v>
      </c>
      <c r="G7" s="206" t="s">
        <v>5963</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5993</v>
      </c>
      <c r="B8" s="298">
        <v>11039958</v>
      </c>
      <c r="C8" s="206">
        <f t="shared" si="0"/>
        <v>2802020000</v>
      </c>
      <c r="D8" s="206" t="s">
        <v>5900</v>
      </c>
      <c r="E8" s="206" t="s">
        <v>5994</v>
      </c>
      <c r="F8" s="206" t="s">
        <v>5995</v>
      </c>
      <c r="G8" s="206" t="s">
        <v>5996</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5950</v>
      </c>
      <c r="B9" s="298">
        <v>6743250</v>
      </c>
      <c r="C9" s="206">
        <f t="shared" si="0"/>
        <v>337500000</v>
      </c>
      <c r="D9" s="206" t="s">
        <v>5900</v>
      </c>
      <c r="E9" s="206" t="s">
        <v>5952</v>
      </c>
      <c r="F9" s="206" t="s">
        <v>5953</v>
      </c>
      <c r="G9" s="206" t="s">
        <v>5954</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5984</v>
      </c>
      <c r="B10" s="298">
        <v>6591899</v>
      </c>
      <c r="C10" s="206">
        <f t="shared" si="0"/>
        <v>978026662</v>
      </c>
      <c r="D10" s="206" t="s">
        <v>5900</v>
      </c>
      <c r="E10" s="206" t="s">
        <v>5985</v>
      </c>
      <c r="F10" s="206" t="s">
        <v>5986</v>
      </c>
      <c r="G10" s="206" t="s">
        <v>5987</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5893</v>
      </c>
      <c r="B11" s="298">
        <v>6515494</v>
      </c>
      <c r="C11" s="206">
        <f t="shared" si="0"/>
        <v>137024073</v>
      </c>
      <c r="D11" s="206" t="s">
        <v>5895</v>
      </c>
      <c r="E11" s="206" t="s">
        <v>5896</v>
      </c>
      <c r="F11" s="206" t="s">
        <v>5897</v>
      </c>
      <c r="G11" s="206" t="s">
        <v>5898</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5904</v>
      </c>
      <c r="B12" s="298">
        <v>5962560</v>
      </c>
      <c r="C12" s="206">
        <f t="shared" si="0"/>
        <v>1242200000</v>
      </c>
      <c r="D12" s="206" t="s">
        <v>5906</v>
      </c>
      <c r="E12" s="206" t="s">
        <v>5907</v>
      </c>
      <c r="F12" s="206" t="s">
        <v>5908</v>
      </c>
      <c r="G12" s="206" t="s">
        <v>5909</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6029</v>
      </c>
      <c r="B13" s="298">
        <v>4690527</v>
      </c>
      <c r="C13" s="206">
        <f t="shared" si="0"/>
        <v>623740333</v>
      </c>
      <c r="D13" s="206" t="s">
        <v>5900</v>
      </c>
      <c r="E13" s="206" t="s">
        <v>6030</v>
      </c>
      <c r="F13" s="206" t="s">
        <v>6031</v>
      </c>
      <c r="G13" s="206" t="s">
        <v>6032</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6025</v>
      </c>
      <c r="B14" s="298">
        <v>4423541</v>
      </c>
      <c r="C14" s="206">
        <f t="shared" si="0"/>
        <v>118276522</v>
      </c>
      <c r="D14" s="206" t="s">
        <v>5900</v>
      </c>
      <c r="E14" s="206" t="s">
        <v>6026</v>
      </c>
      <c r="F14" s="206" t="s">
        <v>6027</v>
      </c>
      <c r="G14" s="206" t="s">
        <v>6028</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6222</v>
      </c>
      <c r="B15" s="298">
        <v>4228226</v>
      </c>
      <c r="C15" s="206">
        <f t="shared" si="0"/>
        <v>106322321</v>
      </c>
      <c r="D15" s="206" t="s">
        <v>5900</v>
      </c>
      <c r="E15" s="206" t="s">
        <v>6223</v>
      </c>
      <c r="F15" s="206" t="s">
        <v>5900</v>
      </c>
      <c r="G15" s="206" t="s">
        <v>6224</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6038</v>
      </c>
      <c r="B16" s="298">
        <v>3555770</v>
      </c>
      <c r="C16" s="206">
        <f t="shared" si="0"/>
        <v>183381668</v>
      </c>
      <c r="D16" s="206" t="s">
        <v>5900</v>
      </c>
      <c r="E16" s="206" t="s">
        <v>6039</v>
      </c>
      <c r="F16" s="206" t="s">
        <v>6040</v>
      </c>
      <c r="G16" s="206" t="s">
        <v>6041</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6011</v>
      </c>
      <c r="B17" s="298">
        <v>3392316</v>
      </c>
      <c r="C17" s="206">
        <f t="shared" si="0"/>
        <v>1015663732</v>
      </c>
      <c r="D17" s="206" t="s">
        <v>5900</v>
      </c>
      <c r="E17" s="206" t="s">
        <v>6012</v>
      </c>
      <c r="F17" s="206" t="s">
        <v>6013</v>
      </c>
      <c r="G17" s="206" t="s">
        <v>6014</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5934</v>
      </c>
      <c r="B18" s="298">
        <v>3321096</v>
      </c>
      <c r="C18" s="206">
        <f t="shared" si="0"/>
        <v>254880755</v>
      </c>
      <c r="D18" s="206" t="s">
        <v>5900</v>
      </c>
      <c r="E18" s="206" t="s">
        <v>5935</v>
      </c>
      <c r="F18" s="206" t="s">
        <v>5936</v>
      </c>
      <c r="G18" s="206" t="s">
        <v>5937</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5980</v>
      </c>
      <c r="B19" s="298">
        <v>2708729</v>
      </c>
      <c r="C19" s="206">
        <f t="shared" si="0"/>
        <v>158220192</v>
      </c>
      <c r="D19" s="206" t="s">
        <v>5900</v>
      </c>
      <c r="E19" s="206" t="s">
        <v>5981</v>
      </c>
      <c r="F19" s="206" t="s">
        <v>5982</v>
      </c>
      <c r="G19" s="206" t="s">
        <v>5983</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5922</v>
      </c>
      <c r="B20" s="298">
        <v>2623529</v>
      </c>
      <c r="C20" s="206">
        <f t="shared" si="0"/>
        <v>101805550</v>
      </c>
      <c r="D20" s="206" t="s">
        <v>5900</v>
      </c>
      <c r="E20" s="206" t="s">
        <v>5923</v>
      </c>
      <c r="F20" s="206" t="s">
        <v>5924</v>
      </c>
      <c r="G20" s="206" t="s">
        <v>5925</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5916</v>
      </c>
      <c r="B21" s="298">
        <v>2224069</v>
      </c>
      <c r="C21" s="206">
        <f t="shared" si="0"/>
        <v>30270982</v>
      </c>
      <c r="D21" s="206" t="s">
        <v>5918</v>
      </c>
      <c r="E21" s="206" t="s">
        <v>5919</v>
      </c>
      <c r="F21" s="206" t="s">
        <v>5920</v>
      </c>
      <c r="G21" s="206" t="s">
        <v>5921</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6042</v>
      </c>
      <c r="B22" s="299" t="s">
        <v>6043</v>
      </c>
      <c r="C22" s="206">
        <f t="shared" si="0"/>
        <v>114588426</v>
      </c>
      <c r="D22" s="206" t="s">
        <v>5900</v>
      </c>
      <c r="E22" s="206" t="s">
        <v>6044</v>
      </c>
      <c r="F22" s="206" t="s">
        <v>6045</v>
      </c>
      <c r="G22" s="206" t="s">
        <v>6046</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5997</v>
      </c>
      <c r="B23" s="299" t="s">
        <v>5998</v>
      </c>
      <c r="C23" s="206">
        <f t="shared" si="0"/>
        <v>735760160</v>
      </c>
      <c r="D23" s="206" t="s">
        <v>6000</v>
      </c>
      <c r="E23" s="206" t="s">
        <v>6001</v>
      </c>
      <c r="F23" s="206" t="s">
        <v>6002</v>
      </c>
      <c r="G23" s="206" t="s">
        <v>6003</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6159</v>
      </c>
      <c r="B24" s="299" t="s">
        <v>6160</v>
      </c>
      <c r="C24" s="206">
        <f t="shared" si="0"/>
        <v>4044500</v>
      </c>
      <c r="D24" s="206" t="s">
        <v>5900</v>
      </c>
      <c r="E24" s="206" t="s">
        <v>6161</v>
      </c>
      <c r="F24" s="206" t="s">
        <v>6145</v>
      </c>
      <c r="G24" s="206" t="s">
        <v>6162</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6071</v>
      </c>
      <c r="B25" s="299" t="s">
        <v>6072</v>
      </c>
      <c r="C25" s="206">
        <f t="shared" si="0"/>
        <v>53400000</v>
      </c>
      <c r="D25" s="206" t="s">
        <v>5900</v>
      </c>
      <c r="E25" s="206" t="s">
        <v>6073</v>
      </c>
      <c r="F25" s="206" t="s">
        <v>6074</v>
      </c>
      <c r="G25" s="206" t="s">
        <v>6075</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5945</v>
      </c>
      <c r="B26" s="299" t="s">
        <v>5946</v>
      </c>
      <c r="C26" s="206">
        <f t="shared" si="0"/>
        <v>36391574</v>
      </c>
      <c r="D26" s="206" t="s">
        <v>5900</v>
      </c>
      <c r="E26" s="206" t="s">
        <v>5947</v>
      </c>
      <c r="F26" s="206" t="s">
        <v>5948</v>
      </c>
      <c r="G26" s="206" t="s">
        <v>5949</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5988</v>
      </c>
      <c r="B27" s="299" t="s">
        <v>5989</v>
      </c>
      <c r="C27" s="206">
        <f t="shared" si="0"/>
        <v>29296590</v>
      </c>
      <c r="D27" s="206" t="s">
        <v>5900</v>
      </c>
      <c r="E27" s="206" t="s">
        <v>5990</v>
      </c>
      <c r="F27" s="206" t="s">
        <v>5991</v>
      </c>
      <c r="G27" s="206" t="s">
        <v>5992</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6087</v>
      </c>
      <c r="B28" s="299" t="s">
        <v>6088</v>
      </c>
      <c r="C28" s="206">
        <f t="shared" si="0"/>
        <v>32151333</v>
      </c>
      <c r="D28" s="206" t="s">
        <v>5900</v>
      </c>
      <c r="E28" s="206" t="s">
        <v>6089</v>
      </c>
      <c r="F28" s="206" t="s">
        <v>6090</v>
      </c>
      <c r="G28" s="206" t="s">
        <v>6091</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5938</v>
      </c>
      <c r="B29" s="299" t="s">
        <v>5939</v>
      </c>
      <c r="C29" s="206">
        <f t="shared" si="0"/>
        <v>23043086</v>
      </c>
      <c r="D29" s="206" t="s">
        <v>5941</v>
      </c>
      <c r="E29" s="206" t="s">
        <v>5942</v>
      </c>
      <c r="F29" s="206" t="s">
        <v>5943</v>
      </c>
      <c r="G29" s="206" t="s">
        <v>5944</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6051</v>
      </c>
      <c r="B30" s="299" t="s">
        <v>6052</v>
      </c>
      <c r="C30" s="206">
        <f t="shared" si="0"/>
        <v>126674402</v>
      </c>
      <c r="D30" s="206" t="s">
        <v>5900</v>
      </c>
      <c r="E30" s="206" t="s">
        <v>6053</v>
      </c>
      <c r="F30" s="206" t="s">
        <v>6054</v>
      </c>
      <c r="G30" s="206" t="s">
        <v>6055</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6020</v>
      </c>
      <c r="B31" s="299" t="s">
        <v>6021</v>
      </c>
      <c r="C31" s="206">
        <f t="shared" si="0"/>
        <v>182160000</v>
      </c>
      <c r="D31" s="206" t="s">
        <v>5900</v>
      </c>
      <c r="E31" s="206" t="s">
        <v>6022</v>
      </c>
      <c r="F31" s="206" t="s">
        <v>6023</v>
      </c>
      <c r="G31" s="206" t="s">
        <v>6024</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6066</v>
      </c>
      <c r="B32" s="299" t="s">
        <v>6067</v>
      </c>
      <c r="C32" s="206">
        <f t="shared" si="0"/>
        <v>67919940</v>
      </c>
      <c r="D32" s="206" t="s">
        <v>5900</v>
      </c>
      <c r="E32" s="206" t="s">
        <v>6068</v>
      </c>
      <c r="F32" s="206" t="s">
        <v>6069</v>
      </c>
      <c r="G32" s="206" t="s">
        <v>6070</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6092</v>
      </c>
      <c r="B33" s="299" t="s">
        <v>6093</v>
      </c>
      <c r="C33" s="206">
        <f t="shared" si="0"/>
        <v>29288000</v>
      </c>
      <c r="D33" s="206" t="s">
        <v>5900</v>
      </c>
      <c r="E33" s="206" t="s">
        <v>6094</v>
      </c>
      <c r="F33" s="206" t="s">
        <v>6095</v>
      </c>
      <c r="G33" s="206" t="s">
        <v>6096</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6102</v>
      </c>
      <c r="B34" s="299" t="s">
        <v>6103</v>
      </c>
      <c r="C34" s="206">
        <f t="shared" ref="C34:C65" si="4">D34+E34</f>
        <v>259990000</v>
      </c>
      <c r="D34" s="206" t="s">
        <v>5900</v>
      </c>
      <c r="E34" s="206" t="s">
        <v>6104</v>
      </c>
      <c r="F34" s="206" t="s">
        <v>6105</v>
      </c>
      <c r="G34" s="206" t="s">
        <v>6106</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6056</v>
      </c>
      <c r="B35" s="299" t="s">
        <v>6057</v>
      </c>
      <c r="C35" s="206">
        <f t="shared" si="4"/>
        <v>6208016</v>
      </c>
      <c r="D35" s="206" t="s">
        <v>5900</v>
      </c>
      <c r="E35" s="206" t="s">
        <v>6058</v>
      </c>
      <c r="F35" s="206" t="s">
        <v>6059</v>
      </c>
      <c r="G35" s="206" t="s">
        <v>6060</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5968</v>
      </c>
      <c r="B36" s="299" t="s">
        <v>5969</v>
      </c>
      <c r="C36" s="206">
        <f t="shared" si="4"/>
        <v>39242697</v>
      </c>
      <c r="D36" s="206" t="s">
        <v>5970</v>
      </c>
      <c r="E36" s="206" t="s">
        <v>5971</v>
      </c>
      <c r="F36" s="206" t="s">
        <v>5972</v>
      </c>
      <c r="G36" s="206" t="s">
        <v>5973</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6097</v>
      </c>
      <c r="B37" s="299" t="s">
        <v>6098</v>
      </c>
      <c r="C37" s="206">
        <f t="shared" si="4"/>
        <v>24338461</v>
      </c>
      <c r="D37" s="206" t="s">
        <v>5900</v>
      </c>
      <c r="E37" s="206" t="s">
        <v>6099</v>
      </c>
      <c r="F37" s="206" t="s">
        <v>6100</v>
      </c>
      <c r="G37" s="206" t="s">
        <v>6101</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5974</v>
      </c>
      <c r="B38" s="299" t="s">
        <v>5975</v>
      </c>
      <c r="C38" s="206">
        <f t="shared" si="4"/>
        <v>35697979</v>
      </c>
      <c r="D38" s="206" t="s">
        <v>5900</v>
      </c>
      <c r="E38" s="206" t="s">
        <v>5977</v>
      </c>
      <c r="F38" s="206" t="s">
        <v>5978</v>
      </c>
      <c r="G38" s="206" t="s">
        <v>5979</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6004</v>
      </c>
      <c r="B39" s="299" t="s">
        <v>6005</v>
      </c>
      <c r="C39" s="206">
        <f t="shared" si="4"/>
        <v>30949707</v>
      </c>
      <c r="D39" s="206" t="s">
        <v>6007</v>
      </c>
      <c r="E39" s="206" t="s">
        <v>6008</v>
      </c>
      <c r="F39" s="206" t="s">
        <v>6009</v>
      </c>
      <c r="G39" s="206" t="s">
        <v>6010</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5964</v>
      </c>
      <c r="B40" s="299" t="s">
        <v>5965</v>
      </c>
      <c r="C40" s="206">
        <f t="shared" si="4"/>
        <v>11270740</v>
      </c>
      <c r="D40" s="206" t="s">
        <v>5900</v>
      </c>
      <c r="E40" s="206" t="s">
        <v>5966</v>
      </c>
      <c r="F40" s="206" t="s">
        <v>5967</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6113</v>
      </c>
      <c r="B41" s="299" t="s">
        <v>6114</v>
      </c>
      <c r="C41" s="206">
        <f t="shared" si="4"/>
        <v>15600000</v>
      </c>
      <c r="D41" s="206" t="s">
        <v>5900</v>
      </c>
      <c r="E41" s="206" t="s">
        <v>6115</v>
      </c>
      <c r="F41" s="206" t="s">
        <v>6116</v>
      </c>
      <c r="G41" s="206" t="s">
        <v>6117</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5955</v>
      </c>
      <c r="B42" s="299" t="s">
        <v>5956</v>
      </c>
      <c r="C42" s="206">
        <f t="shared" si="4"/>
        <v>14702520</v>
      </c>
      <c r="D42" s="206" t="s">
        <v>5900</v>
      </c>
      <c r="E42" s="206" t="s">
        <v>5957</v>
      </c>
      <c r="F42" s="206" t="s">
        <v>5958</v>
      </c>
      <c r="G42" s="206" t="s">
        <v>5959</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6033</v>
      </c>
      <c r="B43" s="299" t="s">
        <v>6034</v>
      </c>
      <c r="C43" s="206">
        <f t="shared" si="4"/>
        <v>13930853</v>
      </c>
      <c r="D43" s="206" t="s">
        <v>5900</v>
      </c>
      <c r="E43" s="206" t="s">
        <v>6035</v>
      </c>
      <c r="F43" s="206" t="s">
        <v>6036</v>
      </c>
      <c r="G43" s="206" t="s">
        <v>6037</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6015</v>
      </c>
      <c r="B44" s="299" t="s">
        <v>6016</v>
      </c>
      <c r="C44" s="206">
        <f t="shared" si="4"/>
        <v>68500000</v>
      </c>
      <c r="D44" s="206" t="s">
        <v>5900</v>
      </c>
      <c r="E44" s="206" t="s">
        <v>6017</v>
      </c>
      <c r="F44" s="206" t="s">
        <v>6018</v>
      </c>
      <c r="G44" s="206" t="s">
        <v>6019</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6118</v>
      </c>
      <c r="B45" s="299" t="s">
        <v>6119</v>
      </c>
      <c r="C45" s="206">
        <f t="shared" si="4"/>
        <v>3000000</v>
      </c>
      <c r="D45" s="206" t="s">
        <v>5900</v>
      </c>
      <c r="E45" s="206" t="s">
        <v>5948</v>
      </c>
      <c r="F45" s="206" t="s">
        <v>6120</v>
      </c>
      <c r="G45" s="206" t="s">
        <v>6121</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6137</v>
      </c>
      <c r="B46" s="299" t="s">
        <v>6138</v>
      </c>
      <c r="C46" s="206">
        <f t="shared" si="4"/>
        <v>12400000</v>
      </c>
      <c r="D46" s="206" t="s">
        <v>5900</v>
      </c>
      <c r="E46" s="206" t="s">
        <v>6139</v>
      </c>
      <c r="F46" s="206" t="s">
        <v>6140</v>
      </c>
      <c r="G46" s="206" t="s">
        <v>6141</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6047</v>
      </c>
      <c r="B47" s="299" t="s">
        <v>6048</v>
      </c>
      <c r="C47" s="206">
        <f t="shared" si="4"/>
        <v>25000000</v>
      </c>
      <c r="D47" s="206" t="s">
        <v>5900</v>
      </c>
      <c r="E47" s="206" t="s">
        <v>5967</v>
      </c>
      <c r="F47" s="206" t="s">
        <v>6049</v>
      </c>
      <c r="G47" s="206" t="s">
        <v>6050</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6122</v>
      </c>
      <c r="B48" s="299" t="s">
        <v>6123</v>
      </c>
      <c r="C48" s="206">
        <f t="shared" si="4"/>
        <v>29000000</v>
      </c>
      <c r="D48" s="206" t="s">
        <v>5900</v>
      </c>
      <c r="E48" s="206" t="s">
        <v>6124</v>
      </c>
      <c r="F48" s="206" t="s">
        <v>6125</v>
      </c>
      <c r="G48" s="206" t="s">
        <v>6126</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6150</v>
      </c>
      <c r="B49" s="299" t="s">
        <v>6151</v>
      </c>
      <c r="C49" s="206">
        <f t="shared" si="4"/>
        <v>12691397</v>
      </c>
      <c r="D49" s="206" t="s">
        <v>5900</v>
      </c>
      <c r="E49" s="206" t="s">
        <v>6152</v>
      </c>
      <c r="F49" s="206" t="s">
        <v>6153</v>
      </c>
      <c r="G49" s="206" t="s">
        <v>6154</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6142</v>
      </c>
      <c r="B50" s="299" t="s">
        <v>6143</v>
      </c>
      <c r="C50" s="206">
        <f t="shared" si="4"/>
        <v>4639508</v>
      </c>
      <c r="D50" s="206" t="s">
        <v>5900</v>
      </c>
      <c r="E50" s="206" t="s">
        <v>6144</v>
      </c>
      <c r="F50" s="206" t="s">
        <v>6145</v>
      </c>
      <c r="G50" s="206" t="s">
        <v>6146</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6082</v>
      </c>
      <c r="B51" s="299" t="s">
        <v>6083</v>
      </c>
      <c r="C51" s="206">
        <f t="shared" si="4"/>
        <v>9242699</v>
      </c>
      <c r="D51" s="206" t="s">
        <v>5900</v>
      </c>
      <c r="E51" s="206" t="s">
        <v>6084</v>
      </c>
      <c r="F51" s="206" t="s">
        <v>6085</v>
      </c>
      <c r="G51" s="206" t="s">
        <v>6086</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6076</v>
      </c>
      <c r="B52" s="299" t="s">
        <v>6077</v>
      </c>
      <c r="C52" s="206">
        <f t="shared" si="4"/>
        <v>12000000</v>
      </c>
      <c r="D52" s="206" t="s">
        <v>5900</v>
      </c>
      <c r="E52" s="206" t="s">
        <v>6079</v>
      </c>
      <c r="F52" s="206" t="s">
        <v>6080</v>
      </c>
      <c r="G52" s="206" t="s">
        <v>6081</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6132</v>
      </c>
      <c r="B53" s="299" t="s">
        <v>6133</v>
      </c>
      <c r="C53" s="206">
        <f t="shared" si="4"/>
        <v>18333333</v>
      </c>
      <c r="D53" s="206" t="s">
        <v>5900</v>
      </c>
      <c r="E53" s="206" t="s">
        <v>6134</v>
      </c>
      <c r="F53" s="206" t="s">
        <v>6135</v>
      </c>
      <c r="G53" s="206" t="s">
        <v>6136</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6107</v>
      </c>
      <c r="B54" s="299" t="s">
        <v>6108</v>
      </c>
      <c r="C54" s="206">
        <f t="shared" si="4"/>
        <v>10686057</v>
      </c>
      <c r="D54" s="206" t="s">
        <v>6109</v>
      </c>
      <c r="E54" s="206" t="s">
        <v>6110</v>
      </c>
      <c r="F54" s="206" t="s">
        <v>6111</v>
      </c>
      <c r="G54" s="206" t="s">
        <v>6112</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6061</v>
      </c>
      <c r="B55" s="299" t="s">
        <v>6062</v>
      </c>
      <c r="C55" s="206">
        <f t="shared" si="4"/>
        <v>6210524</v>
      </c>
      <c r="D55" s="206" t="s">
        <v>5900</v>
      </c>
      <c r="E55" s="206" t="s">
        <v>6063</v>
      </c>
      <c r="F55" s="206" t="s">
        <v>6064</v>
      </c>
      <c r="G55" s="206" t="s">
        <v>6065</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6186</v>
      </c>
      <c r="B56" s="299" t="s">
        <v>6187</v>
      </c>
      <c r="C56" s="206">
        <f t="shared" si="4"/>
        <v>2660000</v>
      </c>
      <c r="D56" s="206" t="s">
        <v>5900</v>
      </c>
      <c r="E56" s="206" t="s">
        <v>6188</v>
      </c>
      <c r="F56" s="206" t="s">
        <v>6189</v>
      </c>
      <c r="G56" s="206" t="s">
        <v>6190</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6163</v>
      </c>
      <c r="B57" s="299" t="s">
        <v>6164</v>
      </c>
      <c r="C57" s="206">
        <f t="shared" si="4"/>
        <v>4333333</v>
      </c>
      <c r="D57" s="206" t="s">
        <v>5900</v>
      </c>
      <c r="E57" s="206" t="s">
        <v>6165</v>
      </c>
      <c r="F57" s="206" t="s">
        <v>6166</v>
      </c>
      <c r="G57" s="206" t="s">
        <v>6167</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6168</v>
      </c>
      <c r="B58" s="299" t="s">
        <v>6169</v>
      </c>
      <c r="C58" s="206">
        <f t="shared" si="4"/>
        <v>469533</v>
      </c>
      <c r="D58" s="206" t="s">
        <v>5900</v>
      </c>
      <c r="E58" s="206" t="s">
        <v>6170</v>
      </c>
      <c r="F58" s="206" t="s">
        <v>6171</v>
      </c>
      <c r="G58" s="206" t="s">
        <v>6172</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6215</v>
      </c>
      <c r="B59" s="299" t="s">
        <v>6214</v>
      </c>
      <c r="C59" s="206">
        <f t="shared" si="4"/>
        <v>5076558</v>
      </c>
      <c r="D59" s="206" t="s">
        <v>6216</v>
      </c>
      <c r="E59" s="206" t="s">
        <v>5900</v>
      </c>
      <c r="F59" s="206" t="s">
        <v>6153</v>
      </c>
      <c r="G59" s="206" t="s">
        <v>6217</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5893</v>
      </c>
      <c r="B60" s="299" t="s">
        <v>6155</v>
      </c>
      <c r="C60" s="206">
        <f t="shared" si="4"/>
        <v>1144000</v>
      </c>
      <c r="D60" s="206" t="s">
        <v>5900</v>
      </c>
      <c r="E60" s="206" t="s">
        <v>6156</v>
      </c>
      <c r="F60" s="206" t="s">
        <v>6157</v>
      </c>
      <c r="G60" s="206" t="s">
        <v>6158</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6127</v>
      </c>
      <c r="B61" s="299" t="s">
        <v>6128</v>
      </c>
      <c r="C61" s="206">
        <f t="shared" si="4"/>
        <v>2000000</v>
      </c>
      <c r="D61" s="206" t="s">
        <v>5900</v>
      </c>
      <c r="E61" s="206" t="s">
        <v>6129</v>
      </c>
      <c r="F61" s="206" t="s">
        <v>6130</v>
      </c>
      <c r="G61" s="206" t="s">
        <v>6131</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6177</v>
      </c>
      <c r="B62" s="299" t="s">
        <v>6178</v>
      </c>
      <c r="C62" s="206">
        <f t="shared" si="4"/>
        <v>1469425</v>
      </c>
      <c r="D62" s="206" t="s">
        <v>5900</v>
      </c>
      <c r="E62" s="206" t="s">
        <v>6179</v>
      </c>
      <c r="F62" s="206" t="s">
        <v>6180</v>
      </c>
      <c r="G62" s="206" t="s">
        <v>6181</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6173</v>
      </c>
      <c r="B63" s="299" t="s">
        <v>6174</v>
      </c>
      <c r="C63" s="206">
        <f t="shared" si="4"/>
        <v>1888175</v>
      </c>
      <c r="D63" s="206" t="s">
        <v>5900</v>
      </c>
      <c r="E63" s="206" t="s">
        <v>6175</v>
      </c>
      <c r="F63" s="206" t="s">
        <v>5967</v>
      </c>
      <c r="G63" s="206" t="s">
        <v>6176</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5890</v>
      </c>
      <c r="B64" s="299" t="s">
        <v>6147</v>
      </c>
      <c r="C64" s="206">
        <f t="shared" si="4"/>
        <v>15200000</v>
      </c>
      <c r="D64" s="206" t="s">
        <v>5900</v>
      </c>
      <c r="E64" s="206" t="s">
        <v>6148</v>
      </c>
      <c r="F64" s="206" t="s">
        <v>5986</v>
      </c>
      <c r="G64" s="206" t="s">
        <v>6149</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6191</v>
      </c>
      <c r="B65" s="299" t="s">
        <v>6192</v>
      </c>
      <c r="C65" s="206">
        <f t="shared" si="4"/>
        <v>364567</v>
      </c>
      <c r="D65" s="206" t="s">
        <v>5900</v>
      </c>
      <c r="E65" s="206" t="s">
        <v>6193</v>
      </c>
      <c r="F65" s="206" t="s">
        <v>6090</v>
      </c>
      <c r="G65" s="206" t="s">
        <v>6194</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6182</v>
      </c>
      <c r="B66" s="299" t="s">
        <v>6183</v>
      </c>
      <c r="C66" s="206">
        <f t="shared" ref="C66:C70" si="5">D66+E66</f>
        <v>474991</v>
      </c>
      <c r="D66" s="206" t="s">
        <v>5900</v>
      </c>
      <c r="E66" s="206" t="s">
        <v>6184</v>
      </c>
      <c r="F66" s="206" t="s">
        <v>6031</v>
      </c>
      <c r="G66" s="206" t="s">
        <v>6185</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6201</v>
      </c>
      <c r="B67" s="299" t="s">
        <v>6202</v>
      </c>
      <c r="C67" s="206">
        <f t="shared" si="5"/>
        <v>35981</v>
      </c>
      <c r="D67" s="206" t="s">
        <v>5900</v>
      </c>
      <c r="E67" s="206" t="s">
        <v>6203</v>
      </c>
      <c r="F67" s="206" t="s">
        <v>6204</v>
      </c>
      <c r="G67" s="206" t="s">
        <v>6205</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6195</v>
      </c>
      <c r="B68" s="299" t="s">
        <v>6196</v>
      </c>
      <c r="C68" s="206">
        <f t="shared" si="5"/>
        <v>3000</v>
      </c>
      <c r="D68" s="206" t="s">
        <v>6198</v>
      </c>
      <c r="E68" s="206" t="s">
        <v>6199</v>
      </c>
      <c r="F68" s="206" t="s">
        <v>5986</v>
      </c>
      <c r="G68" s="206" t="s">
        <v>6200</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6206</v>
      </c>
      <c r="B69" s="299" t="s">
        <v>6207</v>
      </c>
      <c r="C69" s="206">
        <f t="shared" si="5"/>
        <v>2666</v>
      </c>
      <c r="D69" s="206" t="s">
        <v>5900</v>
      </c>
      <c r="E69" s="206" t="s">
        <v>6209</v>
      </c>
      <c r="F69" s="206" t="s">
        <v>6031</v>
      </c>
      <c r="G69" s="206" t="s">
        <v>6210</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6211</v>
      </c>
      <c r="B70" s="299" t="s">
        <v>5900</v>
      </c>
      <c r="C70" s="206">
        <f t="shared" si="5"/>
        <v>0</v>
      </c>
      <c r="D70" s="206" t="s">
        <v>6212</v>
      </c>
      <c r="E70" s="206" t="s">
        <v>6000</v>
      </c>
      <c r="F70" s="206" t="s">
        <v>6002</v>
      </c>
      <c r="G70" s="206" t="s">
        <v>6213</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6218</v>
      </c>
      <c r="B71" s="299" t="s">
        <v>5900</v>
      </c>
      <c r="C71" s="206"/>
      <c r="D71" s="206" t="s">
        <v>5900</v>
      </c>
      <c r="E71" s="206" t="s">
        <v>6219</v>
      </c>
      <c r="F71" s="206" t="s">
        <v>6220</v>
      </c>
      <c r="G71" s="206" t="s">
        <v>6221</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5885</v>
      </c>
      <c r="I82" s="206" t="s">
        <v>191</v>
      </c>
      <c r="J82" s="206" t="s">
        <v>6402</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6225</v>
      </c>
      <c r="C1" s="206"/>
      <c r="D1" s="206"/>
      <c r="E1" s="206"/>
      <c r="F1" s="206"/>
      <c r="G1" s="206"/>
      <c r="H1" s="206"/>
      <c r="I1" s="206"/>
      <c r="J1" s="206"/>
      <c r="K1" s="206"/>
      <c r="L1" s="206"/>
      <c r="M1" s="206"/>
      <c r="N1" s="206"/>
      <c r="O1" s="206"/>
      <c r="P1" s="206"/>
      <c r="Q1" s="206"/>
      <c r="R1" s="206"/>
      <c r="S1" s="206"/>
      <c r="T1" s="206"/>
      <c r="U1" s="206" t="s">
        <v>6226</v>
      </c>
      <c r="V1" s="206"/>
      <c r="W1" s="206"/>
      <c r="X1" s="206"/>
      <c r="Y1" s="206" t="s">
        <v>5882</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5883</v>
      </c>
      <c r="D2" s="206"/>
      <c r="E2" s="206"/>
      <c r="F2" s="206" t="s">
        <v>5881</v>
      </c>
      <c r="G2" s="206"/>
      <c r="H2" s="206"/>
      <c r="I2" s="206" t="s">
        <v>5883</v>
      </c>
      <c r="J2" s="206"/>
      <c r="K2" s="206"/>
      <c r="L2" s="206" t="s">
        <v>4829</v>
      </c>
      <c r="M2" s="206"/>
      <c r="N2" s="206"/>
      <c r="O2" s="206"/>
      <c r="P2" s="206"/>
      <c r="Q2" s="206" t="s">
        <v>5883</v>
      </c>
      <c r="R2" s="206"/>
      <c r="S2" s="206"/>
      <c r="T2" s="206" t="s">
        <v>4829</v>
      </c>
      <c r="U2" s="206"/>
      <c r="V2" s="206"/>
      <c r="W2" s="206"/>
      <c r="X2" s="206"/>
      <c r="Y2" s="206"/>
      <c r="Z2" s="206"/>
      <c r="AA2" s="206"/>
      <c r="AB2" s="206" t="s">
        <v>5884</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6227</v>
      </c>
      <c r="B4" s="206"/>
      <c r="C4" s="206" t="s">
        <v>6228</v>
      </c>
      <c r="D4" s="206"/>
      <c r="E4" s="206"/>
      <c r="F4" s="206" t="s">
        <v>6229</v>
      </c>
      <c r="G4" s="206"/>
      <c r="H4" s="206"/>
      <c r="I4" s="206" t="s">
        <v>6230</v>
      </c>
      <c r="J4" s="206"/>
      <c r="K4" s="206"/>
      <c r="L4" s="206"/>
      <c r="M4" s="206"/>
      <c r="N4" s="206" t="s">
        <v>6231</v>
      </c>
      <c r="O4" s="206"/>
      <c r="P4" s="206"/>
      <c r="Q4" s="206" t="s">
        <v>6232</v>
      </c>
      <c r="R4" s="206"/>
      <c r="S4" s="206"/>
      <c r="T4" s="206"/>
      <c r="U4" s="206" t="s">
        <v>6233</v>
      </c>
      <c r="V4" s="206"/>
      <c r="W4" s="206"/>
      <c r="X4" s="206"/>
      <c r="Y4" s="206" t="s">
        <v>5890</v>
      </c>
      <c r="Z4" s="206"/>
      <c r="AA4" s="206" t="s">
        <v>6234</v>
      </c>
      <c r="AB4" s="206"/>
      <c r="AC4" s="206"/>
      <c r="AD4" s="206" t="s">
        <v>6235</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6236</v>
      </c>
      <c r="B6" s="206"/>
      <c r="C6" s="206" t="s">
        <v>6237</v>
      </c>
      <c r="D6" s="206"/>
      <c r="E6" s="206"/>
      <c r="F6" s="206" t="s">
        <v>6238</v>
      </c>
      <c r="G6" s="206"/>
      <c r="H6" s="206"/>
      <c r="I6" s="206" t="s">
        <v>5900</v>
      </c>
      <c r="J6" s="206"/>
      <c r="K6" s="206"/>
      <c r="L6" s="206"/>
      <c r="M6" s="206"/>
      <c r="N6" s="206" t="s">
        <v>5900</v>
      </c>
      <c r="O6" s="206"/>
      <c r="P6" s="206"/>
      <c r="Q6" s="206" t="s">
        <v>6237</v>
      </c>
      <c r="R6" s="206"/>
      <c r="S6" s="206"/>
      <c r="T6" s="206"/>
      <c r="U6" s="206" t="s">
        <v>6239</v>
      </c>
      <c r="V6" s="206"/>
      <c r="W6" s="206"/>
      <c r="X6" s="206"/>
      <c r="Y6" s="206" t="s">
        <v>5890</v>
      </c>
      <c r="Z6" s="206"/>
      <c r="AA6" s="206" t="s">
        <v>6240</v>
      </c>
      <c r="AB6" s="206"/>
      <c r="AC6" s="206"/>
      <c r="AD6" s="206" t="s">
        <v>6241</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6242</v>
      </c>
      <c r="B7" s="206"/>
      <c r="C7" s="206" t="s">
        <v>6243</v>
      </c>
      <c r="D7" s="206"/>
      <c r="E7" s="206"/>
      <c r="F7" s="206" t="s">
        <v>6244</v>
      </c>
      <c r="G7" s="206"/>
      <c r="H7" s="206"/>
      <c r="I7" s="206" t="s">
        <v>5900</v>
      </c>
      <c r="J7" s="206"/>
      <c r="K7" s="206"/>
      <c r="L7" s="206"/>
      <c r="M7" s="206"/>
      <c r="N7" s="206" t="s">
        <v>5900</v>
      </c>
      <c r="O7" s="206"/>
      <c r="P7" s="206"/>
      <c r="Q7" s="206" t="s">
        <v>6243</v>
      </c>
      <c r="R7" s="206"/>
      <c r="S7" s="206"/>
      <c r="T7" s="206"/>
      <c r="U7" s="206" t="s">
        <v>6245</v>
      </c>
      <c r="V7" s="206"/>
      <c r="W7" s="206"/>
      <c r="X7" s="206"/>
      <c r="Y7" s="206" t="s">
        <v>5890</v>
      </c>
      <c r="Z7" s="206"/>
      <c r="AA7" s="206" t="s">
        <v>6246</v>
      </c>
      <c r="AB7" s="206"/>
      <c r="AC7" s="206"/>
      <c r="AD7" s="206" t="s">
        <v>6247</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6248</v>
      </c>
      <c r="B8" s="206"/>
      <c r="C8" s="206" t="s">
        <v>6249</v>
      </c>
      <c r="D8" s="206"/>
      <c r="E8" s="206"/>
      <c r="F8" s="206" t="s">
        <v>6250</v>
      </c>
      <c r="G8" s="206"/>
      <c r="H8" s="206"/>
      <c r="I8" s="206" t="s">
        <v>5900</v>
      </c>
      <c r="J8" s="206"/>
      <c r="K8" s="206"/>
      <c r="L8" s="206"/>
      <c r="M8" s="206"/>
      <c r="N8" s="206" t="s">
        <v>5900</v>
      </c>
      <c r="O8" s="206"/>
      <c r="P8" s="206"/>
      <c r="Q8" s="206" t="s">
        <v>6249</v>
      </c>
      <c r="R8" s="206"/>
      <c r="S8" s="206"/>
      <c r="T8" s="206"/>
      <c r="U8" s="206" t="s">
        <v>6251</v>
      </c>
      <c r="V8" s="206"/>
      <c r="W8" s="206"/>
      <c r="X8" s="206"/>
      <c r="Y8" s="206" t="s">
        <v>6252</v>
      </c>
      <c r="Z8" s="206"/>
      <c r="AA8" s="206" t="s">
        <v>5948</v>
      </c>
      <c r="AB8" s="206"/>
      <c r="AC8" s="206"/>
      <c r="AD8" s="206" t="s">
        <v>6253</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6254</v>
      </c>
      <c r="B9" s="206"/>
      <c r="C9" s="206" t="s">
        <v>6255</v>
      </c>
      <c r="D9" s="206"/>
      <c r="E9" s="206"/>
      <c r="F9" s="206" t="s">
        <v>6256</v>
      </c>
      <c r="G9" s="206"/>
      <c r="H9" s="206"/>
      <c r="I9" s="206" t="s">
        <v>5900</v>
      </c>
      <c r="J9" s="206"/>
      <c r="K9" s="206"/>
      <c r="L9" s="206"/>
      <c r="M9" s="206"/>
      <c r="N9" s="206" t="s">
        <v>5900</v>
      </c>
      <c r="O9" s="206"/>
      <c r="P9" s="206"/>
      <c r="Q9" s="206" t="s">
        <v>6255</v>
      </c>
      <c r="R9" s="206"/>
      <c r="S9" s="206"/>
      <c r="T9" s="206"/>
      <c r="U9" s="206" t="s">
        <v>6257</v>
      </c>
      <c r="V9" s="206"/>
      <c r="W9" s="206"/>
      <c r="X9" s="206"/>
      <c r="Y9" s="206" t="s">
        <v>6252</v>
      </c>
      <c r="Z9" s="206"/>
      <c r="AA9" s="206" t="s">
        <v>6220</v>
      </c>
      <c r="AB9" s="206"/>
      <c r="AC9" s="206"/>
      <c r="AD9" s="206" t="s">
        <v>6258</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6259</v>
      </c>
      <c r="B10" s="206"/>
      <c r="C10" s="206" t="s">
        <v>6260</v>
      </c>
      <c r="D10" s="206"/>
      <c r="E10" s="206"/>
      <c r="F10" s="206" t="s">
        <v>6261</v>
      </c>
      <c r="G10" s="206"/>
      <c r="H10" s="206"/>
      <c r="I10" s="206" t="s">
        <v>5900</v>
      </c>
      <c r="J10" s="206"/>
      <c r="K10" s="206"/>
      <c r="L10" s="206"/>
      <c r="M10" s="206"/>
      <c r="N10" s="206" t="s">
        <v>5900</v>
      </c>
      <c r="O10" s="206"/>
      <c r="P10" s="206"/>
      <c r="Q10" s="206" t="s">
        <v>6260</v>
      </c>
      <c r="R10" s="206"/>
      <c r="S10" s="206"/>
      <c r="T10" s="206"/>
      <c r="U10" s="206" t="s">
        <v>6262</v>
      </c>
      <c r="V10" s="206"/>
      <c r="W10" s="206"/>
      <c r="X10" s="206"/>
      <c r="Y10" s="206" t="s">
        <v>6252</v>
      </c>
      <c r="Z10" s="206"/>
      <c r="AA10" s="206" t="s">
        <v>6263</v>
      </c>
      <c r="AB10" s="206"/>
      <c r="AC10" s="206"/>
      <c r="AD10" s="206" t="s">
        <v>6264</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6265</v>
      </c>
      <c r="B11" s="206"/>
      <c r="C11" s="206" t="s">
        <v>6266</v>
      </c>
      <c r="D11" s="206"/>
      <c r="E11" s="206"/>
      <c r="F11" s="206" t="s">
        <v>6267</v>
      </c>
      <c r="G11" s="206"/>
      <c r="H11" s="206"/>
      <c r="I11" s="206" t="s">
        <v>5900</v>
      </c>
      <c r="J11" s="206"/>
      <c r="K11" s="206"/>
      <c r="L11" s="206"/>
      <c r="M11" s="206"/>
      <c r="N11" s="206" t="s">
        <v>5900</v>
      </c>
      <c r="O11" s="206"/>
      <c r="P11" s="206"/>
      <c r="Q11" s="206" t="s">
        <v>6266</v>
      </c>
      <c r="R11" s="206"/>
      <c r="S11" s="206"/>
      <c r="T11" s="206"/>
      <c r="U11" s="206" t="s">
        <v>6268</v>
      </c>
      <c r="V11" s="206"/>
      <c r="W11" s="206"/>
      <c r="X11" s="206"/>
      <c r="Y11" s="206" t="s">
        <v>6252</v>
      </c>
      <c r="Z11" s="206"/>
      <c r="AA11" s="206" t="s">
        <v>6166</v>
      </c>
      <c r="AB11" s="206"/>
      <c r="AC11" s="206"/>
      <c r="AD11" s="206" t="s">
        <v>6269</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6270</v>
      </c>
      <c r="B12" s="206"/>
      <c r="C12" s="206" t="s">
        <v>6271</v>
      </c>
      <c r="D12" s="206"/>
      <c r="E12" s="206"/>
      <c r="F12" s="206" t="s">
        <v>6272</v>
      </c>
      <c r="G12" s="206"/>
      <c r="H12" s="206"/>
      <c r="I12" s="206" t="s">
        <v>5900</v>
      </c>
      <c r="J12" s="206"/>
      <c r="K12" s="206"/>
      <c r="L12" s="206"/>
      <c r="M12" s="206"/>
      <c r="N12" s="206" t="s">
        <v>5900</v>
      </c>
      <c r="O12" s="206"/>
      <c r="P12" s="206"/>
      <c r="Q12" s="206" t="s">
        <v>6271</v>
      </c>
      <c r="R12" s="206"/>
      <c r="S12" s="206"/>
      <c r="T12" s="206"/>
      <c r="U12" s="206" t="s">
        <v>6273</v>
      </c>
      <c r="V12" s="206"/>
      <c r="W12" s="206"/>
      <c r="X12" s="206"/>
      <c r="Y12" s="206" t="s">
        <v>5890</v>
      </c>
      <c r="Z12" s="206"/>
      <c r="AA12" s="206" t="s">
        <v>6220</v>
      </c>
      <c r="AB12" s="206"/>
      <c r="AC12" s="206"/>
      <c r="AD12" s="206" t="s">
        <v>6274</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6275</v>
      </c>
      <c r="B13" s="206"/>
      <c r="C13" s="206" t="s">
        <v>6276</v>
      </c>
      <c r="D13" s="206"/>
      <c r="E13" s="206"/>
      <c r="F13" s="206" t="s">
        <v>6277</v>
      </c>
      <c r="G13" s="206"/>
      <c r="H13" s="206"/>
      <c r="I13" s="206" t="s">
        <v>5900</v>
      </c>
      <c r="J13" s="206"/>
      <c r="K13" s="206"/>
      <c r="L13" s="206"/>
      <c r="M13" s="206"/>
      <c r="N13" s="206" t="s">
        <v>5900</v>
      </c>
      <c r="O13" s="206"/>
      <c r="P13" s="206"/>
      <c r="Q13" s="206" t="s">
        <v>6276</v>
      </c>
      <c r="R13" s="206"/>
      <c r="S13" s="206"/>
      <c r="T13" s="206"/>
      <c r="U13" s="206" t="s">
        <v>6278</v>
      </c>
      <c r="V13" s="206"/>
      <c r="W13" s="206"/>
      <c r="X13" s="206"/>
      <c r="Y13" s="206" t="s">
        <v>5890</v>
      </c>
      <c r="Z13" s="206"/>
      <c r="AA13" s="206" t="s">
        <v>6279</v>
      </c>
      <c r="AB13" s="206"/>
      <c r="AC13" s="206"/>
      <c r="AD13" s="206" t="s">
        <v>6280</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5890</v>
      </c>
      <c r="B14" s="206"/>
      <c r="C14" s="206" t="s">
        <v>6281</v>
      </c>
      <c r="D14" s="206"/>
      <c r="E14" s="206"/>
      <c r="F14" s="206" t="s">
        <v>6272</v>
      </c>
      <c r="G14" s="206"/>
      <c r="H14" s="206"/>
      <c r="I14" s="206" t="s">
        <v>5900</v>
      </c>
      <c r="J14" s="206"/>
      <c r="K14" s="206"/>
      <c r="L14" s="206"/>
      <c r="M14" s="206"/>
      <c r="N14" s="206" t="s">
        <v>5900</v>
      </c>
      <c r="O14" s="206"/>
      <c r="P14" s="206"/>
      <c r="Q14" s="206" t="s">
        <v>6281</v>
      </c>
      <c r="R14" s="206"/>
      <c r="S14" s="206"/>
      <c r="T14" s="206"/>
      <c r="U14" s="206" t="s">
        <v>6282</v>
      </c>
      <c r="V14" s="206"/>
      <c r="W14" s="206"/>
      <c r="X14" s="206"/>
      <c r="Y14" s="206" t="s">
        <v>5890</v>
      </c>
      <c r="Z14" s="206"/>
      <c r="AA14" s="206" t="s">
        <v>6283</v>
      </c>
      <c r="AB14" s="206"/>
      <c r="AC14" s="206"/>
      <c r="AD14" s="206" t="s">
        <v>6284</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6285</v>
      </c>
      <c r="B15" s="206"/>
      <c r="C15" s="206" t="s">
        <v>6286</v>
      </c>
      <c r="D15" s="206"/>
      <c r="E15" s="206"/>
      <c r="F15" s="206" t="s">
        <v>6287</v>
      </c>
      <c r="G15" s="206"/>
      <c r="H15" s="206"/>
      <c r="I15" s="206" t="s">
        <v>5900</v>
      </c>
      <c r="J15" s="206"/>
      <c r="K15" s="206"/>
      <c r="L15" s="206"/>
      <c r="M15" s="206"/>
      <c r="N15" s="206" t="s">
        <v>5900</v>
      </c>
      <c r="O15" s="206"/>
      <c r="P15" s="206"/>
      <c r="Q15" s="206" t="s">
        <v>6286</v>
      </c>
      <c r="R15" s="206"/>
      <c r="S15" s="206"/>
      <c r="T15" s="206"/>
      <c r="U15" s="206" t="s">
        <v>6288</v>
      </c>
      <c r="V15" s="206"/>
      <c r="W15" s="206"/>
      <c r="X15" s="206"/>
      <c r="Y15" s="206" t="s">
        <v>6252</v>
      </c>
      <c r="Z15" s="206"/>
      <c r="AA15" s="206" t="s">
        <v>6166</v>
      </c>
      <c r="AB15" s="206"/>
      <c r="AC15" s="206"/>
      <c r="AD15" s="206" t="s">
        <v>6289</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6290</v>
      </c>
      <c r="B16" s="206"/>
      <c r="C16" s="206" t="s">
        <v>6291</v>
      </c>
      <c r="D16" s="206"/>
      <c r="E16" s="206"/>
      <c r="F16" s="206" t="s">
        <v>6292</v>
      </c>
      <c r="G16" s="206"/>
      <c r="H16" s="206"/>
      <c r="I16" s="206" t="s">
        <v>5900</v>
      </c>
      <c r="J16" s="206"/>
      <c r="K16" s="206"/>
      <c r="L16" s="206"/>
      <c r="M16" s="206"/>
      <c r="N16" s="206" t="s">
        <v>5900</v>
      </c>
      <c r="O16" s="206"/>
      <c r="P16" s="206"/>
      <c r="Q16" s="206" t="s">
        <v>6291</v>
      </c>
      <c r="R16" s="206"/>
      <c r="S16" s="206"/>
      <c r="T16" s="206"/>
      <c r="U16" s="206" t="s">
        <v>6291</v>
      </c>
      <c r="V16" s="206"/>
      <c r="W16" s="206"/>
      <c r="X16" s="206"/>
      <c r="Y16" s="206" t="s">
        <v>6290</v>
      </c>
      <c r="Z16" s="206"/>
      <c r="AA16" s="206" t="s">
        <v>6145</v>
      </c>
      <c r="AB16" s="206"/>
      <c r="AC16" s="206"/>
      <c r="AD16" s="206" t="s">
        <v>6293</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6290</v>
      </c>
      <c r="B17" s="206"/>
      <c r="C17" s="206" t="s">
        <v>6294</v>
      </c>
      <c r="D17" s="206"/>
      <c r="E17" s="206"/>
      <c r="F17" s="206" t="s">
        <v>6295</v>
      </c>
      <c r="G17" s="206"/>
      <c r="H17" s="206"/>
      <c r="I17" s="206" t="s">
        <v>5900</v>
      </c>
      <c r="J17" s="206"/>
      <c r="K17" s="206"/>
      <c r="L17" s="206"/>
      <c r="M17" s="206"/>
      <c r="N17" s="206" t="s">
        <v>5900</v>
      </c>
      <c r="O17" s="206"/>
      <c r="P17" s="206"/>
      <c r="Q17" s="206" t="s">
        <v>6294</v>
      </c>
      <c r="R17" s="206"/>
      <c r="S17" s="206"/>
      <c r="T17" s="206"/>
      <c r="U17" s="206" t="s">
        <v>6294</v>
      </c>
      <c r="V17" s="206"/>
      <c r="W17" s="206"/>
      <c r="X17" s="206"/>
      <c r="Y17" s="206" t="s">
        <v>6290</v>
      </c>
      <c r="Z17" s="206"/>
      <c r="AA17" s="206" t="s">
        <v>6296</v>
      </c>
      <c r="AB17" s="206"/>
      <c r="AC17" s="206"/>
      <c r="AD17" s="206" t="s">
        <v>6297</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6298</v>
      </c>
      <c r="B18" s="206"/>
      <c r="C18" s="206" t="s">
        <v>6299</v>
      </c>
      <c r="D18" s="206"/>
      <c r="E18" s="206"/>
      <c r="F18" s="206" t="s">
        <v>6078</v>
      </c>
      <c r="G18" s="206"/>
      <c r="H18" s="206"/>
      <c r="I18" s="206" t="s">
        <v>5900</v>
      </c>
      <c r="J18" s="206"/>
      <c r="K18" s="206"/>
      <c r="L18" s="206"/>
      <c r="M18" s="206"/>
      <c r="N18" s="206" t="s">
        <v>5900</v>
      </c>
      <c r="O18" s="206"/>
      <c r="P18" s="206"/>
      <c r="Q18" s="206" t="s">
        <v>6299</v>
      </c>
      <c r="R18" s="206"/>
      <c r="S18" s="206"/>
      <c r="T18" s="206"/>
      <c r="U18" s="206" t="s">
        <v>6300</v>
      </c>
      <c r="V18" s="206"/>
      <c r="W18" s="206"/>
      <c r="X18" s="206"/>
      <c r="Y18" s="206" t="s">
        <v>6252</v>
      </c>
      <c r="Z18" s="206"/>
      <c r="AA18" s="206" t="s">
        <v>6166</v>
      </c>
      <c r="AB18" s="206"/>
      <c r="AC18" s="206"/>
      <c r="AD18" s="206" t="s">
        <v>6301</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6302</v>
      </c>
      <c r="B19" s="206"/>
      <c r="C19" s="206" t="s">
        <v>6303</v>
      </c>
      <c r="D19" s="206"/>
      <c r="E19" s="206"/>
      <c r="F19" s="206" t="s">
        <v>5976</v>
      </c>
      <c r="G19" s="206"/>
      <c r="H19" s="206"/>
      <c r="I19" s="206" t="s">
        <v>5900</v>
      </c>
      <c r="J19" s="206"/>
      <c r="K19" s="206"/>
      <c r="L19" s="206"/>
      <c r="M19" s="206"/>
      <c r="N19" s="206" t="s">
        <v>5900</v>
      </c>
      <c r="O19" s="206"/>
      <c r="P19" s="206"/>
      <c r="Q19" s="206" t="s">
        <v>6303</v>
      </c>
      <c r="R19" s="206"/>
      <c r="S19" s="206"/>
      <c r="T19" s="206"/>
      <c r="U19" s="206" t="s">
        <v>6283</v>
      </c>
      <c r="V19" s="206"/>
      <c r="W19" s="206"/>
      <c r="X19" s="206"/>
      <c r="Y19" s="206" t="s">
        <v>5890</v>
      </c>
      <c r="Z19" s="206"/>
      <c r="AA19" s="206" t="s">
        <v>6304</v>
      </c>
      <c r="AB19" s="206"/>
      <c r="AC19" s="206"/>
      <c r="AD19" s="206" t="s">
        <v>6305</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6306</v>
      </c>
      <c r="B20" s="206"/>
      <c r="C20" s="206" t="s">
        <v>6307</v>
      </c>
      <c r="D20" s="206"/>
      <c r="E20" s="206"/>
      <c r="F20" s="206" t="s">
        <v>5951</v>
      </c>
      <c r="G20" s="206"/>
      <c r="H20" s="206"/>
      <c r="I20" s="206" t="s">
        <v>5900</v>
      </c>
      <c r="J20" s="206"/>
      <c r="K20" s="206"/>
      <c r="L20" s="206"/>
      <c r="M20" s="206"/>
      <c r="N20" s="206" t="s">
        <v>5900</v>
      </c>
      <c r="O20" s="206"/>
      <c r="P20" s="206"/>
      <c r="Q20" s="206" t="s">
        <v>6307</v>
      </c>
      <c r="R20" s="206"/>
      <c r="S20" s="206"/>
      <c r="T20" s="206"/>
      <c r="U20" s="206" t="s">
        <v>6308</v>
      </c>
      <c r="V20" s="206"/>
      <c r="W20" s="206"/>
      <c r="X20" s="206"/>
      <c r="Y20" s="206" t="s">
        <v>6290</v>
      </c>
      <c r="Z20" s="206"/>
      <c r="AA20" s="206" t="s">
        <v>6090</v>
      </c>
      <c r="AB20" s="206"/>
      <c r="AC20" s="206"/>
      <c r="AD20" s="206" t="s">
        <v>6309</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6252</v>
      </c>
      <c r="B21" s="206"/>
      <c r="C21" s="206" t="s">
        <v>5890</v>
      </c>
      <c r="D21" s="206"/>
      <c r="E21" s="206"/>
      <c r="F21" s="206" t="s">
        <v>6272</v>
      </c>
      <c r="G21" s="206"/>
      <c r="H21" s="206"/>
      <c r="I21" s="206" t="s">
        <v>5900</v>
      </c>
      <c r="J21" s="206"/>
      <c r="K21" s="206"/>
      <c r="L21" s="206"/>
      <c r="M21" s="206"/>
      <c r="N21" s="206" t="s">
        <v>5900</v>
      </c>
      <c r="O21" s="206"/>
      <c r="P21" s="206"/>
      <c r="Q21" s="206" t="s">
        <v>5890</v>
      </c>
      <c r="R21" s="206"/>
      <c r="S21" s="206"/>
      <c r="T21" s="206"/>
      <c r="U21" s="206" t="s">
        <v>6281</v>
      </c>
      <c r="V21" s="206"/>
      <c r="W21" s="206"/>
      <c r="X21" s="206"/>
      <c r="Y21" s="206" t="s">
        <v>6252</v>
      </c>
      <c r="Z21" s="206"/>
      <c r="AA21" s="206" t="s">
        <v>5890</v>
      </c>
      <c r="AB21" s="206"/>
      <c r="AC21" s="206"/>
      <c r="AD21" s="206" t="s">
        <v>6310</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6311</v>
      </c>
      <c r="B22" s="206"/>
      <c r="C22" s="206" t="s">
        <v>6312</v>
      </c>
      <c r="D22" s="206"/>
      <c r="E22" s="206"/>
      <c r="F22" s="206" t="s">
        <v>6197</v>
      </c>
      <c r="G22" s="206"/>
      <c r="H22" s="206"/>
      <c r="I22" s="206" t="s">
        <v>5900</v>
      </c>
      <c r="J22" s="206"/>
      <c r="K22" s="206"/>
      <c r="L22" s="206"/>
      <c r="M22" s="206"/>
      <c r="N22" s="206" t="s">
        <v>5900</v>
      </c>
      <c r="O22" s="206"/>
      <c r="P22" s="206"/>
      <c r="Q22" s="206" t="s">
        <v>6312</v>
      </c>
      <c r="R22" s="206"/>
      <c r="S22" s="206"/>
      <c r="T22" s="206"/>
      <c r="U22" s="206" t="s">
        <v>6313</v>
      </c>
      <c r="V22" s="206"/>
      <c r="W22" s="206"/>
      <c r="X22" s="206"/>
      <c r="Y22" s="206" t="s">
        <v>6252</v>
      </c>
      <c r="Z22" s="206"/>
      <c r="AA22" s="206" t="s">
        <v>6314</v>
      </c>
      <c r="AB22" s="206"/>
      <c r="AC22" s="206"/>
      <c r="AD22" s="206" t="s">
        <v>6315</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5890</v>
      </c>
      <c r="B23" s="206"/>
      <c r="C23" s="206" t="s">
        <v>6316</v>
      </c>
      <c r="D23" s="206"/>
      <c r="E23" s="206"/>
      <c r="F23" s="206" t="s">
        <v>6197</v>
      </c>
      <c r="G23" s="206"/>
      <c r="H23" s="206"/>
      <c r="I23" s="206" t="s">
        <v>5900</v>
      </c>
      <c r="J23" s="206"/>
      <c r="K23" s="206"/>
      <c r="L23" s="206"/>
      <c r="M23" s="206"/>
      <c r="N23" s="206" t="s">
        <v>5900</v>
      </c>
      <c r="O23" s="206"/>
      <c r="P23" s="206"/>
      <c r="Q23" s="206" t="s">
        <v>6316</v>
      </c>
      <c r="R23" s="206"/>
      <c r="S23" s="206"/>
      <c r="T23" s="206"/>
      <c r="U23" s="206" t="s">
        <v>6252</v>
      </c>
      <c r="V23" s="206"/>
      <c r="W23" s="206"/>
      <c r="X23" s="206"/>
      <c r="Y23" s="206" t="s">
        <v>5890</v>
      </c>
      <c r="Z23" s="206"/>
      <c r="AA23" s="206" t="s">
        <v>6317</v>
      </c>
      <c r="AB23" s="206"/>
      <c r="AC23" s="206"/>
      <c r="AD23" s="206" t="s">
        <v>6318</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5900</v>
      </c>
      <c r="B24" s="206"/>
      <c r="C24" s="206" t="s">
        <v>6319</v>
      </c>
      <c r="D24" s="206"/>
      <c r="E24" s="206"/>
      <c r="F24" s="206" t="s">
        <v>6197</v>
      </c>
      <c r="G24" s="206"/>
      <c r="H24" s="206"/>
      <c r="I24" s="206" t="s">
        <v>5900</v>
      </c>
      <c r="J24" s="206"/>
      <c r="K24" s="206"/>
      <c r="L24" s="206"/>
      <c r="M24" s="206"/>
      <c r="N24" s="206" t="s">
        <v>5900</v>
      </c>
      <c r="O24" s="206"/>
      <c r="P24" s="206"/>
      <c r="Q24" s="206" t="s">
        <v>6319</v>
      </c>
      <c r="R24" s="206"/>
      <c r="S24" s="206"/>
      <c r="T24" s="206"/>
      <c r="U24" s="206" t="s">
        <v>5900</v>
      </c>
      <c r="V24" s="206"/>
      <c r="W24" s="206"/>
      <c r="X24" s="206"/>
      <c r="Y24" s="206" t="s">
        <v>5900</v>
      </c>
      <c r="Z24" s="206"/>
      <c r="AA24" s="206" t="s">
        <v>5900</v>
      </c>
      <c r="AB24" s="206"/>
      <c r="AC24" s="206"/>
      <c r="AD24" s="206" t="s">
        <v>6320</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6321</v>
      </c>
      <c r="D25" s="206"/>
      <c r="E25" s="206"/>
      <c r="F25" s="206"/>
      <c r="G25" s="206"/>
      <c r="H25" s="206" t="s">
        <v>6230</v>
      </c>
      <c r="I25" s="206"/>
      <c r="J25" s="206"/>
      <c r="K25" s="206"/>
      <c r="L25" s="206" t="s">
        <v>6322</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6323</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6324</v>
      </c>
      <c r="B28" s="206"/>
      <c r="C28" s="206"/>
      <c r="D28" s="206"/>
      <c r="E28" s="206"/>
      <c r="F28" s="206" t="s">
        <v>6325</v>
      </c>
      <c r="G28" s="206"/>
      <c r="H28" s="206"/>
      <c r="I28" s="206"/>
      <c r="J28" s="206"/>
      <c r="K28" s="206"/>
      <c r="L28" s="206"/>
      <c r="M28" s="206"/>
      <c r="N28" s="206"/>
      <c r="O28" s="206"/>
      <c r="P28" s="206"/>
      <c r="Q28" s="206" t="s">
        <v>6225</v>
      </c>
      <c r="R28" s="206"/>
      <c r="S28" s="206"/>
      <c r="T28" s="206"/>
      <c r="U28" s="206" t="s">
        <v>5884</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5900</v>
      </c>
      <c r="B29" s="206"/>
      <c r="C29" s="206"/>
      <c r="D29" s="206"/>
      <c r="E29" s="206"/>
      <c r="F29" s="206" t="s">
        <v>6326</v>
      </c>
      <c r="G29" s="206"/>
      <c r="H29" s="206"/>
      <c r="I29" s="206"/>
      <c r="J29" s="206"/>
      <c r="K29" s="206"/>
      <c r="L29" s="206"/>
      <c r="M29" s="206"/>
      <c r="N29" s="206"/>
      <c r="O29" s="206"/>
      <c r="P29" s="206"/>
      <c r="Q29" s="206" t="s">
        <v>6200</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6327</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5900</v>
      </c>
      <c r="B31" s="206"/>
      <c r="C31" s="206"/>
      <c r="D31" s="206"/>
      <c r="E31" s="206"/>
      <c r="F31" s="206" t="s">
        <v>5911</v>
      </c>
      <c r="G31" s="206"/>
      <c r="H31" s="206"/>
      <c r="I31" s="206"/>
      <c r="J31" s="206"/>
      <c r="K31" s="206"/>
      <c r="L31" s="206"/>
      <c r="M31" s="206"/>
      <c r="N31" s="206"/>
      <c r="O31" s="206"/>
      <c r="P31" s="206"/>
      <c r="Q31" s="206" t="s">
        <v>5915</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6328</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5900</v>
      </c>
      <c r="B33" s="206"/>
      <c r="C33" s="206"/>
      <c r="D33" s="206"/>
      <c r="E33" s="206"/>
      <c r="F33" s="206" t="s">
        <v>5887</v>
      </c>
      <c r="G33" s="206"/>
      <c r="H33" s="206"/>
      <c r="I33" s="206"/>
      <c r="J33" s="206"/>
      <c r="K33" s="206"/>
      <c r="L33" s="206"/>
      <c r="M33" s="206"/>
      <c r="N33" s="206"/>
      <c r="O33" s="206"/>
      <c r="P33" s="206"/>
      <c r="Q33" s="206" t="s">
        <v>5892</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6329</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5900</v>
      </c>
      <c r="B35" s="206"/>
      <c r="C35" s="206"/>
      <c r="D35" s="206"/>
      <c r="E35" s="206"/>
      <c r="F35" s="206" t="s">
        <v>6006</v>
      </c>
      <c r="G35" s="206"/>
      <c r="H35" s="206"/>
      <c r="I35" s="206"/>
      <c r="J35" s="206"/>
      <c r="K35" s="206"/>
      <c r="L35" s="206"/>
      <c r="M35" s="206"/>
      <c r="N35" s="206"/>
      <c r="O35" s="206"/>
      <c r="P35" s="206"/>
      <c r="Q35" s="206" t="s">
        <v>6010</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6330</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5900</v>
      </c>
      <c r="B37" s="206"/>
      <c r="C37" s="206"/>
      <c r="D37" s="206"/>
      <c r="E37" s="206"/>
      <c r="F37" s="206" t="s">
        <v>5900</v>
      </c>
      <c r="G37" s="206"/>
      <c r="H37" s="206"/>
      <c r="I37" s="206"/>
      <c r="J37" s="206"/>
      <c r="K37" s="206"/>
      <c r="L37" s="206"/>
      <c r="M37" s="206"/>
      <c r="N37" s="206"/>
      <c r="O37" s="206"/>
      <c r="P37" s="206"/>
      <c r="Q37" s="206" t="s">
        <v>6112</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5900</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5900</v>
      </c>
      <c r="B39" s="206"/>
      <c r="C39" s="206"/>
      <c r="D39" s="206"/>
      <c r="E39" s="206"/>
      <c r="F39" s="206" t="s">
        <v>5940</v>
      </c>
      <c r="G39" s="206"/>
      <c r="H39" s="206"/>
      <c r="I39" s="206"/>
      <c r="J39" s="206"/>
      <c r="K39" s="206"/>
      <c r="L39" s="206"/>
      <c r="M39" s="206"/>
      <c r="N39" s="206"/>
      <c r="O39" s="206"/>
      <c r="P39" s="206"/>
      <c r="Q39" s="206" t="s">
        <v>5944</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6331</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5900</v>
      </c>
      <c r="B41" s="206"/>
      <c r="C41" s="206"/>
      <c r="D41" s="206"/>
      <c r="E41" s="206"/>
      <c r="F41" s="206" t="s">
        <v>5999</v>
      </c>
      <c r="G41" s="206"/>
      <c r="H41" s="206"/>
      <c r="I41" s="206"/>
      <c r="J41" s="206"/>
      <c r="K41" s="206"/>
      <c r="L41" s="206"/>
      <c r="M41" s="206"/>
      <c r="N41" s="206"/>
      <c r="O41" s="206"/>
      <c r="P41" s="206"/>
      <c r="Q41" s="206" t="s">
        <v>6003</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6332</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5900</v>
      </c>
      <c r="B43" s="206"/>
      <c r="C43" s="206"/>
      <c r="D43" s="206"/>
      <c r="E43" s="206"/>
      <c r="F43" s="206" t="s">
        <v>5917</v>
      </c>
      <c r="G43" s="206"/>
      <c r="H43" s="206"/>
      <c r="I43" s="206"/>
      <c r="J43" s="206"/>
      <c r="K43" s="206"/>
      <c r="L43" s="206"/>
      <c r="M43" s="206"/>
      <c r="N43" s="206"/>
      <c r="O43" s="206"/>
      <c r="P43" s="206"/>
      <c r="Q43" s="206" t="s">
        <v>5921</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6333</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5900</v>
      </c>
      <c r="B45" s="206"/>
      <c r="C45" s="206"/>
      <c r="D45" s="206"/>
      <c r="E45" s="206"/>
      <c r="F45" s="206" t="s">
        <v>5894</v>
      </c>
      <c r="G45" s="206"/>
      <c r="H45" s="206"/>
      <c r="I45" s="206"/>
      <c r="J45" s="206"/>
      <c r="K45" s="206"/>
      <c r="L45" s="206"/>
      <c r="M45" s="206"/>
      <c r="N45" s="206"/>
      <c r="O45" s="206"/>
      <c r="P45" s="206"/>
      <c r="Q45" s="206" t="s">
        <v>5898</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6334</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5900</v>
      </c>
      <c r="B47" s="206"/>
      <c r="C47" s="206"/>
      <c r="D47" s="206"/>
      <c r="E47" s="206"/>
      <c r="F47" s="206" t="s">
        <v>6335</v>
      </c>
      <c r="G47" s="206"/>
      <c r="H47" s="206"/>
      <c r="I47" s="206"/>
      <c r="J47" s="206"/>
      <c r="K47" s="206"/>
      <c r="L47" s="206"/>
      <c r="M47" s="206"/>
      <c r="N47" s="206"/>
      <c r="O47" s="206"/>
      <c r="P47" s="206"/>
      <c r="Q47" s="206" t="s">
        <v>5973</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6336</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5900</v>
      </c>
      <c r="B49" s="206"/>
      <c r="C49" s="206"/>
      <c r="D49" s="206"/>
      <c r="E49" s="206"/>
      <c r="F49" s="206" t="s">
        <v>5905</v>
      </c>
      <c r="G49" s="206"/>
      <c r="H49" s="206"/>
      <c r="I49" s="206"/>
      <c r="J49" s="206"/>
      <c r="K49" s="206"/>
      <c r="L49" s="206"/>
      <c r="M49" s="206"/>
      <c r="N49" s="206"/>
      <c r="O49" s="206"/>
      <c r="P49" s="206"/>
      <c r="Q49" s="206" t="s">
        <v>5909</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6337</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5900</v>
      </c>
      <c r="B51" s="206"/>
      <c r="C51" s="206"/>
      <c r="D51" s="206"/>
      <c r="E51" s="206"/>
      <c r="F51" s="206" t="s">
        <v>5900</v>
      </c>
      <c r="G51" s="206"/>
      <c r="H51" s="206"/>
      <c r="I51" s="206"/>
      <c r="J51" s="206"/>
      <c r="K51" s="206"/>
      <c r="L51" s="206"/>
      <c r="M51" s="206"/>
      <c r="N51" s="206"/>
      <c r="O51" s="206"/>
      <c r="P51" s="206"/>
      <c r="Q51" s="206" t="s">
        <v>6154</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5900</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6230</v>
      </c>
      <c r="B53" s="206"/>
      <c r="C53" s="206"/>
      <c r="D53" s="206"/>
      <c r="E53" s="206"/>
      <c r="F53" s="206" t="s">
        <v>5900</v>
      </c>
      <c r="G53" s="206"/>
      <c r="H53" s="206"/>
      <c r="I53" s="206"/>
      <c r="J53" s="206"/>
      <c r="K53" s="206"/>
      <c r="L53" s="206"/>
      <c r="M53" s="206"/>
      <c r="N53" s="206"/>
      <c r="O53" s="206"/>
      <c r="P53" s="206"/>
      <c r="Q53" s="206" t="s">
        <v>6235</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6338</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6230</v>
      </c>
      <c r="B55" s="206"/>
      <c r="C55" s="206"/>
      <c r="D55" s="206"/>
      <c r="E55" s="206"/>
      <c r="F55" s="206" t="s">
        <v>6339</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6340</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6341</v>
      </c>
      <c r="B59" s="206"/>
      <c r="C59" s="206" t="s">
        <v>6342</v>
      </c>
      <c r="D59" s="206"/>
      <c r="E59" s="206"/>
      <c r="F59" s="206" t="s">
        <v>6343</v>
      </c>
      <c r="G59" s="206"/>
      <c r="H59" s="206"/>
      <c r="I59" s="206"/>
      <c r="J59" s="206"/>
      <c r="K59" s="206"/>
      <c r="L59" s="206" t="s">
        <v>6344</v>
      </c>
      <c r="M59" s="206"/>
      <c r="N59" s="206"/>
      <c r="O59" s="206"/>
      <c r="P59" s="206"/>
      <c r="Q59" s="206"/>
      <c r="R59" s="206" t="s">
        <v>6225</v>
      </c>
      <c r="S59" s="206"/>
      <c r="T59" s="206"/>
      <c r="U59" s="206" t="s">
        <v>5884</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6345</v>
      </c>
      <c r="B60" s="206"/>
      <c r="C60" s="206"/>
      <c r="D60" s="206" t="s">
        <v>6346</v>
      </c>
      <c r="E60" s="206"/>
      <c r="F60" s="206"/>
      <c r="G60" s="206"/>
      <c r="H60" s="206"/>
      <c r="I60" s="206" t="s">
        <v>6347</v>
      </c>
      <c r="J60" s="206"/>
      <c r="K60" s="206"/>
      <c r="L60" s="206"/>
      <c r="M60" s="206"/>
      <c r="N60" s="206"/>
      <c r="O60" s="206"/>
      <c r="P60" s="206"/>
      <c r="Q60" s="206" t="s">
        <v>6348</v>
      </c>
      <c r="R60" s="206"/>
      <c r="S60" s="206"/>
      <c r="T60" s="206"/>
      <c r="U60" s="206" t="s">
        <v>6200</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6349</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6350</v>
      </c>
      <c r="B62" s="206"/>
      <c r="C62" s="206"/>
      <c r="D62" s="206" t="s">
        <v>6351</v>
      </c>
      <c r="E62" s="206"/>
      <c r="F62" s="206"/>
      <c r="G62" s="206"/>
      <c r="H62" s="206"/>
      <c r="I62" s="206" t="s">
        <v>6352</v>
      </c>
      <c r="J62" s="206"/>
      <c r="K62" s="206"/>
      <c r="L62" s="206"/>
      <c r="M62" s="206"/>
      <c r="N62" s="206"/>
      <c r="O62" s="206"/>
      <c r="P62" s="206"/>
      <c r="Q62" s="206" t="s">
        <v>6353</v>
      </c>
      <c r="R62" s="206"/>
      <c r="S62" s="206"/>
      <c r="T62" s="206"/>
      <c r="U62" s="206" t="s">
        <v>5973</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6354</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5900</v>
      </c>
      <c r="B64" s="206"/>
      <c r="C64" s="206"/>
      <c r="D64" s="206" t="s">
        <v>5900</v>
      </c>
      <c r="E64" s="206"/>
      <c r="F64" s="206"/>
      <c r="G64" s="206"/>
      <c r="H64" s="206"/>
      <c r="I64" s="206" t="s">
        <v>5900</v>
      </c>
      <c r="J64" s="206"/>
      <c r="K64" s="206"/>
      <c r="L64" s="206"/>
      <c r="M64" s="206"/>
      <c r="N64" s="206"/>
      <c r="O64" s="206"/>
      <c r="P64" s="206"/>
      <c r="Q64" s="206" t="s">
        <v>5900</v>
      </c>
      <c r="R64" s="206"/>
      <c r="S64" s="206"/>
      <c r="T64" s="206"/>
      <c r="U64" s="206" t="s">
        <v>6003</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5900</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6355</v>
      </c>
      <c r="B66" s="206"/>
      <c r="C66" s="206"/>
      <c r="D66" s="206" t="s">
        <v>6356</v>
      </c>
      <c r="E66" s="206"/>
      <c r="F66" s="206"/>
      <c r="G66" s="206"/>
      <c r="H66" s="206"/>
      <c r="I66" s="206"/>
      <c r="J66" s="206"/>
      <c r="K66" s="206" t="s">
        <v>6357</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6358</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6359</v>
      </c>
      <c r="E70" s="206"/>
      <c r="F70" s="206"/>
      <c r="G70" s="206"/>
      <c r="H70" s="206"/>
      <c r="I70" s="206" t="s">
        <v>6360</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5881</v>
      </c>
      <c r="M71" s="206"/>
      <c r="N71" s="206"/>
      <c r="O71" s="206"/>
      <c r="P71" s="206" t="s">
        <v>6361</v>
      </c>
      <c r="Q71" s="206" t="s">
        <v>6362</v>
      </c>
      <c r="R71" s="206"/>
      <c r="S71" s="206" t="s">
        <v>6363</v>
      </c>
      <c r="T71" s="206"/>
      <c r="U71" s="206" t="s">
        <v>6364</v>
      </c>
      <c r="V71" s="206"/>
      <c r="W71" s="206"/>
      <c r="X71" s="206" t="s">
        <v>6365</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5884</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6366</v>
      </c>
      <c r="B74" s="206" t="s">
        <v>6367</v>
      </c>
      <c r="C74" s="206" t="s">
        <v>6368</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5900</v>
      </c>
      <c r="C77" s="206" t="s">
        <v>6369</v>
      </c>
      <c r="D77" s="206"/>
      <c r="E77" s="206"/>
      <c r="F77" s="206" t="s">
        <v>6370</v>
      </c>
      <c r="G77" s="206"/>
      <c r="H77" s="206"/>
      <c r="I77" s="206"/>
      <c r="J77" s="206" t="s">
        <v>6371</v>
      </c>
      <c r="K77" s="206"/>
      <c r="L77" s="206"/>
      <c r="M77" s="206"/>
      <c r="N77" s="206"/>
      <c r="O77" s="206" t="s">
        <v>6208</v>
      </c>
      <c r="P77" s="206"/>
      <c r="Q77" s="206" t="s">
        <v>5890</v>
      </c>
      <c r="R77" s="206"/>
      <c r="S77" s="206" t="s">
        <v>6069</v>
      </c>
      <c r="T77" s="206"/>
      <c r="U77" s="206" t="s">
        <v>6068</v>
      </c>
      <c r="V77" s="206"/>
      <c r="W77" s="206"/>
      <c r="X77" s="206" t="s">
        <v>6372</v>
      </c>
      <c r="Y77" s="206"/>
      <c r="Z77" s="206" t="s">
        <v>6373</v>
      </c>
      <c r="AA77" s="206"/>
      <c r="AB77" s="206"/>
      <c r="AC77" s="206" t="s">
        <v>6070</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5900</v>
      </c>
      <c r="C81" s="206" t="s">
        <v>6374</v>
      </c>
      <c r="D81" s="206"/>
      <c r="E81" s="206"/>
      <c r="F81" s="206" t="s">
        <v>6375</v>
      </c>
      <c r="G81" s="206"/>
      <c r="H81" s="206"/>
      <c r="I81" s="206"/>
      <c r="J81" s="206" t="s">
        <v>6376</v>
      </c>
      <c r="K81" s="206"/>
      <c r="L81" s="206"/>
      <c r="M81" s="206"/>
      <c r="N81" s="206"/>
      <c r="O81" s="206" t="s">
        <v>6377</v>
      </c>
      <c r="P81" s="206"/>
      <c r="Q81" s="206" t="s">
        <v>5890</v>
      </c>
      <c r="R81" s="206"/>
      <c r="S81" s="206" t="s">
        <v>6023</v>
      </c>
      <c r="T81" s="206"/>
      <c r="U81" s="206" t="s">
        <v>6022</v>
      </c>
      <c r="V81" s="206"/>
      <c r="W81" s="206"/>
      <c r="X81" s="206" t="s">
        <v>6378</v>
      </c>
      <c r="Y81" s="206"/>
      <c r="Z81" s="206" t="s">
        <v>6373</v>
      </c>
      <c r="AA81" s="206"/>
      <c r="AB81" s="206"/>
      <c r="AC81" s="206" t="s">
        <v>6024</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5900</v>
      </c>
      <c r="C84" s="206" t="s">
        <v>6379</v>
      </c>
      <c r="D84" s="206"/>
      <c r="E84" s="206"/>
      <c r="F84" s="206" t="s">
        <v>6380</v>
      </c>
      <c r="G84" s="206"/>
      <c r="H84" s="206"/>
      <c r="I84" s="206"/>
      <c r="J84" s="206" t="s">
        <v>6381</v>
      </c>
      <c r="K84" s="206"/>
      <c r="L84" s="206"/>
      <c r="M84" s="206"/>
      <c r="N84" s="206"/>
      <c r="O84" s="206" t="s">
        <v>6208</v>
      </c>
      <c r="P84" s="206"/>
      <c r="Q84" s="206" t="s">
        <v>5890</v>
      </c>
      <c r="R84" s="206"/>
      <c r="S84" s="206" t="s">
        <v>5891</v>
      </c>
      <c r="T84" s="206"/>
      <c r="U84" s="206" t="s">
        <v>6382</v>
      </c>
      <c r="V84" s="206"/>
      <c r="W84" s="206"/>
      <c r="X84" s="206" t="s">
        <v>6383</v>
      </c>
      <c r="Y84" s="206"/>
      <c r="Z84" s="206" t="s">
        <v>6373</v>
      </c>
      <c r="AA84" s="206"/>
      <c r="AB84" s="206"/>
      <c r="AC84" s="206" t="s">
        <v>5892</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5900</v>
      </c>
      <c r="C87" s="206" t="s">
        <v>6384</v>
      </c>
      <c r="D87" s="206"/>
      <c r="E87" s="206"/>
      <c r="F87" s="206" t="s">
        <v>6385</v>
      </c>
      <c r="G87" s="206"/>
      <c r="H87" s="206"/>
      <c r="I87" s="206"/>
      <c r="J87" s="206" t="s">
        <v>6386</v>
      </c>
      <c r="K87" s="206"/>
      <c r="L87" s="206"/>
      <c r="M87" s="206"/>
      <c r="N87" s="206"/>
      <c r="O87" s="206" t="s">
        <v>6387</v>
      </c>
      <c r="P87" s="206"/>
      <c r="Q87" s="206" t="s">
        <v>5890</v>
      </c>
      <c r="R87" s="206"/>
      <c r="S87" s="206" t="s">
        <v>6240</v>
      </c>
      <c r="T87" s="206"/>
      <c r="U87" s="206" t="s">
        <v>6239</v>
      </c>
      <c r="V87" s="206"/>
      <c r="W87" s="206"/>
      <c r="X87" s="206" t="s">
        <v>6372</v>
      </c>
      <c r="Y87" s="206"/>
      <c r="Z87" s="206" t="s">
        <v>6373</v>
      </c>
      <c r="AA87" s="206"/>
      <c r="AB87" s="206"/>
      <c r="AC87" s="206" t="s">
        <v>6241</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5900</v>
      </c>
      <c r="C90" s="206" t="s">
        <v>6388</v>
      </c>
      <c r="D90" s="206"/>
      <c r="E90" s="206"/>
      <c r="F90" s="206" t="s">
        <v>6389</v>
      </c>
      <c r="G90" s="206"/>
      <c r="H90" s="206"/>
      <c r="I90" s="206"/>
      <c r="J90" s="206" t="s">
        <v>6390</v>
      </c>
      <c r="K90" s="206"/>
      <c r="L90" s="206"/>
      <c r="M90" s="206"/>
      <c r="N90" s="206"/>
      <c r="O90" s="206" t="s">
        <v>6391</v>
      </c>
      <c r="P90" s="206"/>
      <c r="Q90" s="206" t="s">
        <v>5900</v>
      </c>
      <c r="R90" s="206"/>
      <c r="S90" s="206" t="s">
        <v>6392</v>
      </c>
      <c r="T90" s="206"/>
      <c r="U90" s="206" t="s">
        <v>6393</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6394</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6395</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6396</v>
      </c>
      <c r="R98" s="206"/>
      <c r="S98" s="206"/>
      <c r="T98" s="206"/>
      <c r="U98" s="206" t="s">
        <v>6397</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6368</v>
      </c>
      <c r="S101" s="206"/>
      <c r="T101" s="206"/>
      <c r="U101" s="206" t="s">
        <v>6398</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6368</v>
      </c>
      <c r="R106" s="206"/>
      <c r="S106" s="206"/>
      <c r="T106" s="206"/>
      <c r="U106" s="206" t="s">
        <v>6399</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1521</v>
      </c>
      <c r="H4" s="115">
        <f>C4*G4</f>
        <v>448695000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480395061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1521</v>
      </c>
      <c r="H19" s="115">
        <f>C19*G19</f>
        <v>19675656</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321483084</v>
      </c>
    </row>
    <row r="26" spans="1:8">
      <c r="D26" t="s">
        <v>5391</v>
      </c>
      <c r="E26" s="112">
        <f>'خرید خانه'!H10+'خرید خانه'!H23-'خرید خانه'!D10-'خرید خانه'!D23</f>
        <v>500178145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5765</v>
      </c>
      <c r="O19" t="s">
        <v>6476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6432</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2021-09-26T09:58:04Z</dcterms:modified>
</cp:coreProperties>
</file>