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4" i="18" l="1"/>
  <c r="H10" i="60"/>
  <c r="H12" i="60"/>
  <c r="O34" i="18" l="1"/>
  <c r="B159" i="60" l="1"/>
  <c r="C158" i="60"/>
  <c r="C157" i="60"/>
  <c r="C156" i="60"/>
  <c r="C159" i="60"/>
  <c r="T22" i="63" l="1"/>
  <c r="P34" i="63"/>
  <c r="N19" i="60" l="1"/>
  <c r="N18" i="60"/>
  <c r="N17" i="60"/>
  <c r="N16" i="60"/>
  <c r="F38" i="60"/>
  <c r="I29" i="63" l="1"/>
  <c r="H14" i="60"/>
  <c r="U22" i="63"/>
  <c r="R16" i="63" l="1"/>
  <c r="H25" i="60" l="1"/>
  <c r="F12" i="60"/>
  <c r="J19" i="60" l="1"/>
  <c r="J18" i="60"/>
  <c r="J17" i="60"/>
  <c r="J16" i="60"/>
  <c r="D19" i="60"/>
  <c r="D38" i="60"/>
  <c r="F19" i="60"/>
  <c r="F33" i="60"/>
  <c r="F34" i="60"/>
  <c r="F35" i="60"/>
  <c r="F36" i="60"/>
  <c r="F37" i="60"/>
  <c r="D33" i="60"/>
  <c r="D34" i="60"/>
  <c r="D35" i="60"/>
  <c r="D36" i="60"/>
  <c r="D37" i="60"/>
  <c r="D32" i="60"/>
  <c r="F32" i="60"/>
  <c r="F40" i="60" s="1"/>
  <c r="D40" i="60" l="1"/>
  <c r="R17" i="63"/>
  <c r="R7" i="60" l="1"/>
  <c r="R9" i="60"/>
  <c r="R10" i="60"/>
  <c r="R11" i="60"/>
  <c r="R12" i="60"/>
  <c r="R13" i="60"/>
  <c r="R14" i="60"/>
  <c r="L41" i="18"/>
  <c r="R148" i="60" l="1"/>
  <c r="D17" i="60"/>
  <c r="D18" i="60"/>
  <c r="D16" i="60"/>
  <c r="F17" i="60"/>
  <c r="F18" i="60"/>
  <c r="F16" i="60"/>
  <c r="R147" i="60" l="1"/>
  <c r="W493" i="18"/>
  <c r="W492" i="18"/>
  <c r="R146" i="60" l="1"/>
  <c r="S147" i="60"/>
  <c r="R145" i="60" l="1"/>
  <c r="S146" i="60"/>
  <c r="I34" i="63"/>
  <c r="J34" i="63" s="1"/>
  <c r="R144" i="60" l="1"/>
  <c r="S145" i="60"/>
  <c r="I32" i="63"/>
  <c r="H29" i="63"/>
  <c r="J29" i="63" s="1"/>
  <c r="G29" i="63"/>
  <c r="R143" i="60" l="1"/>
  <c r="S144" i="60"/>
  <c r="K29"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4" i="63"/>
  <c r="R140" i="60" l="1"/>
  <c r="S141" i="60"/>
  <c r="D59" i="63"/>
  <c r="B63" i="63" s="1"/>
  <c r="J32" i="63"/>
  <c r="I33" i="63"/>
  <c r="J33" i="63" s="1"/>
  <c r="K33"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J28" i="63" l="1"/>
  <c r="K28" i="63" s="1"/>
  <c r="R134" i="60"/>
  <c r="S135" i="60"/>
  <c r="W486" i="18"/>
  <c r="R133" i="60" l="1"/>
  <c r="S134" i="60"/>
  <c r="I27" i="63"/>
  <c r="I26" i="63"/>
  <c r="H27" i="63"/>
  <c r="N28" i="63" s="1"/>
  <c r="H26" i="63"/>
  <c r="I40" i="63"/>
  <c r="I41" i="63"/>
  <c r="I42" i="63"/>
  <c r="I43" i="63"/>
  <c r="I39"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0" i="63"/>
  <c r="J30" i="63" s="1"/>
  <c r="K30" i="63" s="1"/>
  <c r="G30"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9" i="63"/>
  <c r="H39" i="63"/>
  <c r="J39" i="63" s="1"/>
  <c r="K39"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1" i="18"/>
  <c r="R83" i="60" l="1"/>
  <c r="S84" i="60"/>
  <c r="K42" i="63"/>
  <c r="Q11" i="63"/>
  <c r="N43" i="63"/>
  <c r="N41" i="63"/>
  <c r="N42" i="63"/>
  <c r="N40"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47" i="18"/>
  <c r="V148" i="18"/>
  <c r="X149" i="18" l="1"/>
  <c r="S151" i="18"/>
  <c r="V150" i="18"/>
  <c r="W148" i="18"/>
  <c r="X148" i="18"/>
  <c r="W147" i="18"/>
  <c r="X147" i="18"/>
  <c r="W150" i="18" l="1"/>
  <c r="X150" i="18"/>
</calcChain>
</file>

<file path=xl/sharedStrings.xml><?xml version="1.0" encoding="utf-8"?>
<sst xmlns="http://schemas.openxmlformats.org/spreadsheetml/2006/main" count="15696" uniqueCount="6574">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</sst>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topLeftCell="G112" zoomScale="85" zoomScaleNormal="85" workbookViewId="0">
      <selection activeCell="M141" sqref="M141"/>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bestFit="1"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6519</v>
      </c>
      <c r="D1" s="187" t="s">
        <v>5876</v>
      </c>
      <c r="E1" s="207" t="s">
        <v>5538</v>
      </c>
      <c r="F1" s="207" t="s">
        <v>6543</v>
      </c>
      <c r="G1" s="207" t="s">
        <v>6544</v>
      </c>
      <c r="H1" s="207" t="s">
        <v>6545</v>
      </c>
      <c r="I1" s="207" t="s">
        <v>5877</v>
      </c>
      <c r="J1" s="207" t="s">
        <v>5874</v>
      </c>
      <c r="K1" s="207" t="s">
        <v>4844</v>
      </c>
      <c r="L1" s="207" t="s">
        <v>4843</v>
      </c>
      <c r="M1" s="207" t="s">
        <v>4248</v>
      </c>
      <c r="N1" s="54" t="s">
        <v>4924</v>
      </c>
      <c r="Q1" t="s">
        <v>4837</v>
      </c>
      <c r="R1" t="s">
        <v>4840</v>
      </c>
      <c r="S1" t="s">
        <v>4841</v>
      </c>
    </row>
    <row r="2" spans="1:27">
      <c r="A2" s="323" t="s">
        <v>4836</v>
      </c>
      <c r="B2" s="323">
        <v>1114343604</v>
      </c>
      <c r="C2" s="187">
        <v>950</v>
      </c>
      <c r="D2" s="187">
        <f>B2*C2/$Q$2</f>
        <v>14.703144775</v>
      </c>
      <c r="E2" s="323">
        <v>2080</v>
      </c>
      <c r="F2" s="323">
        <f>B2*E2/$Q$2</f>
        <v>32.19214856</v>
      </c>
      <c r="G2" s="323"/>
      <c r="H2" s="323"/>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408</v>
      </c>
      <c r="F4" s="323">
        <f>B4*E4/$Q$2</f>
        <v>4.5333333333333337E-2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3" t="s">
        <v>4836</v>
      </c>
      <c r="B6" s="323">
        <v>1124128522</v>
      </c>
      <c r="C6" s="187">
        <f>C2</f>
        <v>950</v>
      </c>
      <c r="D6" s="187">
        <f t="shared" ref="D6:D14" si="0">B6*C6*$R$3/$Q$2</f>
        <v>10.040811849057048</v>
      </c>
      <c r="E6" s="323">
        <f>E2</f>
        <v>2080</v>
      </c>
      <c r="F6" s="323">
        <f t="shared" ref="F6:F14" si="1">B6*E6*$R$3/$Q$2</f>
        <v>21.984093311619645</v>
      </c>
      <c r="G6" s="323"/>
      <c r="H6" s="323"/>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57.733020389135802</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408</v>
      </c>
      <c r="F8" s="323">
        <f t="shared" si="1"/>
        <v>16.782356917633823</v>
      </c>
      <c r="G8" s="323"/>
      <c r="H8" s="323"/>
      <c r="I8" s="219">
        <f>I4</f>
        <v>380</v>
      </c>
      <c r="J8" s="219">
        <f t="shared" si="2"/>
        <v>15.630626540933465</v>
      </c>
      <c r="K8" s="189"/>
      <c r="L8" s="189">
        <f t="shared" si="3"/>
        <v>0</v>
      </c>
      <c r="M8" s="189">
        <f>M4</f>
        <v>2135</v>
      </c>
      <c r="N8" s="189">
        <f t="shared" si="4"/>
        <v>87.819441223402492</v>
      </c>
      <c r="O8" s="94">
        <f t="shared" si="5"/>
        <v>44.07260014637037</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v>122</v>
      </c>
      <c r="H10" s="323">
        <f>B10*G10*$R$3/$Q$2</f>
        <v>3.0892589406331288</v>
      </c>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6515</v>
      </c>
      <c r="B16" s="323">
        <v>4113600000</v>
      </c>
      <c r="C16" s="187">
        <v>100</v>
      </c>
      <c r="D16" s="187">
        <f>B16*C16/$Q$2</f>
        <v>5.7133333333333329</v>
      </c>
      <c r="E16" s="323">
        <v>165</v>
      </c>
      <c r="F16" s="323">
        <f>B16*E16/$Q$2</f>
        <v>9.4269999999999996</v>
      </c>
      <c r="G16" s="323"/>
      <c r="H16" s="323"/>
      <c r="I16" s="187">
        <v>230</v>
      </c>
      <c r="J16" s="187">
        <f>B16*I16/$Q$2</f>
        <v>13.140666666666666</v>
      </c>
      <c r="K16" s="187"/>
      <c r="L16" s="187"/>
      <c r="M16" s="187">
        <v>1330</v>
      </c>
      <c r="N16" s="187">
        <f>B16*M16/$Q$2</f>
        <v>75.987333333333339</v>
      </c>
      <c r="R16" s="94"/>
      <c r="S16" s="94"/>
      <c r="T16" s="94"/>
      <c r="U16" s="94" t="s">
        <v>25</v>
      </c>
      <c r="V16" s="94"/>
      <c r="W16" s="94"/>
      <c r="X16" s="94"/>
      <c r="Y16" s="94"/>
    </row>
    <row r="17" spans="1:35" ht="30">
      <c r="A17" s="222" t="s">
        <v>6517</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6516</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6540</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282.37486264943135</v>
      </c>
      <c r="G25" s="207"/>
      <c r="H25" s="207">
        <f>SUM(H2:H20)</f>
        <v>6.0966596261665202</v>
      </c>
      <c r="I25" s="207"/>
      <c r="J25" s="207">
        <f>SUM(J2:J22)</f>
        <v>394.42322266142531</v>
      </c>
      <c r="K25" s="207"/>
      <c r="L25" s="207"/>
      <c r="M25" s="207"/>
      <c r="N25" s="207">
        <f>SUM(N2:N23)</f>
        <v>2700.7972298296818</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0.43172437646254935</v>
      </c>
    </row>
    <row r="30" spans="1:35">
      <c r="A30" s="94"/>
      <c r="B30" s="94"/>
      <c r="E30" s="94"/>
      <c r="F30" s="94"/>
      <c r="G30" s="94"/>
      <c r="H30" s="94"/>
      <c r="I30" s="94"/>
      <c r="J30" s="94"/>
      <c r="K30" s="94"/>
      <c r="L30" s="94"/>
      <c r="O30" t="s">
        <v>4914</v>
      </c>
    </row>
    <row r="31" spans="1:35" ht="18.75">
      <c r="A31" s="328" t="s">
        <v>6539</v>
      </c>
      <c r="B31" s="328" t="s">
        <v>4835</v>
      </c>
      <c r="C31" s="328" t="s">
        <v>6533</v>
      </c>
      <c r="D31" s="328" t="s">
        <v>5539</v>
      </c>
      <c r="E31" s="328" t="s">
        <v>6532</v>
      </c>
      <c r="F31" s="328" t="s">
        <v>6542</v>
      </c>
      <c r="H31" s="94"/>
      <c r="I31" s="94"/>
      <c r="J31" s="94"/>
      <c r="K31" s="94"/>
      <c r="L31" s="94"/>
      <c r="O31" s="97" t="s">
        <v>180</v>
      </c>
      <c r="P31" s="97" t="s">
        <v>267</v>
      </c>
      <c r="Q31" s="97" t="s">
        <v>4912</v>
      </c>
      <c r="R31" s="97"/>
      <c r="S31" s="97"/>
      <c r="T31" s="97"/>
      <c r="U31" s="94"/>
      <c r="V31" s="94"/>
      <c r="W31" s="207" t="s">
        <v>6501</v>
      </c>
      <c r="X31" s="207" t="s">
        <v>25</v>
      </c>
      <c r="Y31" s="207"/>
      <c r="Z31" s="207"/>
      <c r="AA31" s="97"/>
      <c r="AB31" s="207" t="s">
        <v>6502</v>
      </c>
      <c r="AC31" s="207"/>
      <c r="AD31" s="207"/>
      <c r="AE31" s="207"/>
      <c r="AF31" s="207"/>
      <c r="AH31" t="s">
        <v>25</v>
      </c>
    </row>
    <row r="32" spans="1:35" ht="18.75">
      <c r="A32" s="326" t="s">
        <v>6531</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6534</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6482</v>
      </c>
      <c r="X33" s="18">
        <v>55000000</v>
      </c>
      <c r="Y33" s="207">
        <v>1</v>
      </c>
      <c r="Z33" s="207">
        <f>Y33+Z34</f>
        <v>12</v>
      </c>
      <c r="AA33" s="18">
        <f>X33*Z33</f>
        <v>660000000</v>
      </c>
      <c r="AB33" s="207" t="s">
        <v>6500</v>
      </c>
      <c r="AC33" s="18">
        <v>197440000</v>
      </c>
      <c r="AD33" s="207">
        <v>11</v>
      </c>
      <c r="AE33" s="18">
        <f>AC33*AD33</f>
        <v>2171840000</v>
      </c>
      <c r="AF33" s="207"/>
    </row>
    <row r="34" spans="1:33" ht="18.75">
      <c r="A34" s="329" t="s">
        <v>6535</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6503</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6536</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6504</v>
      </c>
      <c r="X35" s="18">
        <v>50000000</v>
      </c>
      <c r="Y35" s="207">
        <v>2</v>
      </c>
      <c r="Z35" s="207">
        <f t="shared" si="13"/>
        <v>10</v>
      </c>
      <c r="AA35" s="18">
        <f t="shared" si="14"/>
        <v>500000000</v>
      </c>
      <c r="AB35" s="207"/>
      <c r="AC35" s="18"/>
      <c r="AD35" s="207"/>
      <c r="AE35" s="207"/>
      <c r="AF35" s="207"/>
    </row>
    <row r="36" spans="1:33" ht="18.75">
      <c r="A36" s="331" t="s">
        <v>6537</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6489</v>
      </c>
      <c r="X36" s="18">
        <v>680000</v>
      </c>
      <c r="Y36" s="207">
        <v>1</v>
      </c>
      <c r="Z36" s="207">
        <f t="shared" si="13"/>
        <v>8</v>
      </c>
      <c r="AA36" s="18">
        <f t="shared" si="14"/>
        <v>5440000</v>
      </c>
      <c r="AB36" s="207"/>
      <c r="AC36" s="18"/>
      <c r="AD36" s="207"/>
      <c r="AE36" s="207"/>
      <c r="AF36" s="207"/>
    </row>
    <row r="37" spans="1:33" ht="18.75">
      <c r="A37" s="332" t="s">
        <v>6538</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6505</v>
      </c>
      <c r="X37" s="18">
        <v>41483</v>
      </c>
      <c r="Y37" s="207">
        <v>1</v>
      </c>
      <c r="Z37" s="207">
        <f t="shared" si="13"/>
        <v>7</v>
      </c>
      <c r="AA37" s="18">
        <f t="shared" si="14"/>
        <v>290381</v>
      </c>
      <c r="AB37" s="207"/>
      <c r="AC37" s="18"/>
      <c r="AD37" s="207"/>
      <c r="AE37" s="207"/>
      <c r="AF37" s="207"/>
    </row>
    <row r="38" spans="1:33" ht="18.75">
      <c r="A38" s="333" t="s">
        <v>6541</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6506</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6470</v>
      </c>
      <c r="P134" s="18">
        <v>2317100</v>
      </c>
      <c r="Q134" s="97">
        <v>3</v>
      </c>
      <c r="R134" s="97">
        <f t="shared" si="17"/>
        <v>43</v>
      </c>
      <c r="S134" s="97">
        <f t="shared" si="18"/>
        <v>99635300</v>
      </c>
      <c r="T134" s="97"/>
    </row>
    <row r="135" spans="1:23">
      <c r="O135" s="97" t="s">
        <v>6475</v>
      </c>
      <c r="P135" s="18">
        <v>699000</v>
      </c>
      <c r="Q135" s="97">
        <v>3</v>
      </c>
      <c r="R135" s="97">
        <f t="shared" si="17"/>
        <v>40</v>
      </c>
      <c r="S135" s="97">
        <f t="shared" si="18"/>
        <v>27960000</v>
      </c>
      <c r="T135" s="97"/>
    </row>
    <row r="136" spans="1:23">
      <c r="O136" s="97" t="s">
        <v>6481</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6489</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6490</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6493</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6508</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6518</v>
      </c>
      <c r="P141" s="18">
        <v>3000000</v>
      </c>
      <c r="Q141" s="97">
        <v>1</v>
      </c>
      <c r="R141" s="97">
        <f t="shared" si="17"/>
        <v>12</v>
      </c>
      <c r="S141" s="97">
        <f t="shared" si="18"/>
        <v>36000000</v>
      </c>
      <c r="T141" s="97"/>
    </row>
    <row r="142" spans="1:23">
      <c r="A142" s="9"/>
      <c r="B142" s="18"/>
      <c r="O142" s="97" t="s">
        <v>6520</v>
      </c>
      <c r="P142" s="18">
        <v>255000</v>
      </c>
      <c r="Q142" s="97">
        <v>1</v>
      </c>
      <c r="R142" s="97">
        <f t="shared" si="17"/>
        <v>11</v>
      </c>
      <c r="S142" s="97">
        <f t="shared" si="18"/>
        <v>2805000</v>
      </c>
      <c r="T142" s="97" t="s">
        <v>6521</v>
      </c>
    </row>
    <row r="143" spans="1:23">
      <c r="A143" s="305"/>
      <c r="B143" s="307" t="s">
        <v>5914</v>
      </c>
      <c r="C143" s="18"/>
      <c r="D143" s="18" t="s">
        <v>5915</v>
      </c>
      <c r="E143" s="18"/>
      <c r="F143" s="18" t="s">
        <v>5916</v>
      </c>
      <c r="G143" s="32"/>
      <c r="H143" s="32"/>
      <c r="I143" s="207"/>
      <c r="O143" s="97" t="s">
        <v>6522</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6550</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6465</v>
      </c>
      <c r="B148" s="316" t="s">
        <v>6463</v>
      </c>
      <c r="C148" s="32" t="s">
        <v>6488</v>
      </c>
      <c r="D148" s="239" t="s">
        <v>1100</v>
      </c>
      <c r="E148" s="32" t="s">
        <v>6464</v>
      </c>
      <c r="F148" s="207" t="s">
        <v>5908</v>
      </c>
      <c r="G148" s="207" t="s">
        <v>6487</v>
      </c>
      <c r="H148" s="94"/>
      <c r="I148" s="94"/>
      <c r="J148" s="94"/>
      <c r="M148" t="s">
        <v>25</v>
      </c>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P152" s="94"/>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abSelected="1" topLeftCell="H81"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5038039880.7622385</v>
      </c>
      <c r="M21" s="166" t="s">
        <v>4275</v>
      </c>
      <c r="N21" s="111">
        <f>O21*P21</f>
        <v>2804149612</v>
      </c>
      <c r="O21" s="97">
        <v>2606087</v>
      </c>
      <c r="P21" s="183">
        <f>P50</f>
        <v>1076</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484128</v>
      </c>
      <c r="O22" s="97">
        <v>369</v>
      </c>
      <c r="P22" s="183">
        <f>P53</f>
        <v>1312</v>
      </c>
      <c r="Q22" s="167">
        <v>1614398</v>
      </c>
      <c r="R22" s="166" t="s">
        <v>4397</v>
      </c>
      <c r="S22" s="166">
        <f>S21-3</f>
        <v>939</v>
      </c>
      <c r="T22" s="19" t="s">
        <v>5619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61718740</v>
      </c>
      <c r="O23" s="97">
        <v>31732</v>
      </c>
      <c r="P23" s="183">
        <f>P51</f>
        <v>1945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4902954242.7622385</v>
      </c>
      <c r="G24" s="93">
        <f t="shared" si="0"/>
        <v>-4622647897.3802996</v>
      </c>
      <c r="H24" s="11"/>
      <c r="I24" s="94"/>
      <c r="J24" s="94"/>
      <c r="K24" s="207"/>
      <c r="L24" s="115"/>
      <c r="M24" s="207" t="s">
        <v>4357</v>
      </c>
      <c r="N24" s="111">
        <f>O24*P24</f>
        <v>36579500</v>
      </c>
      <c r="O24" s="97">
        <v>2455</v>
      </c>
      <c r="P24" s="183">
        <f>P48</f>
        <v>14900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14900</v>
      </c>
      <c r="Q30" s="167">
        <v>7046042.5001907032</v>
      </c>
      <c r="R30" s="207" t="s">
        <v>4874</v>
      </c>
      <c r="S30" s="194">
        <f>S29-5</f>
        <v>769</v>
      </c>
      <c r="T30" s="207" t="s">
        <v>5584</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332899336</v>
      </c>
      <c r="O31" s="67">
        <v>309386</v>
      </c>
      <c r="P31" s="97">
        <f>P50</f>
        <v>1076</v>
      </c>
      <c r="Q31" s="167">
        <v>5368238</v>
      </c>
      <c r="R31" s="207" t="s">
        <v>5591</v>
      </c>
      <c r="S31" s="194">
        <f>S30-465</f>
        <v>304</v>
      </c>
      <c r="T31" s="207" t="s">
        <v>5592</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301</v>
      </c>
      <c r="T32" s="207" t="s">
        <v>5594</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300</v>
      </c>
      <c r="T33" s="207" t="s">
        <v>5596</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6552</v>
      </c>
      <c r="L34" s="115">
        <v>-35500000</v>
      </c>
      <c r="M34" s="166" t="s">
        <v>4131</v>
      </c>
      <c r="N34" s="111">
        <f>-W165</f>
        <v>-5038039880.7622385</v>
      </c>
      <c r="O34">
        <f>O23-1896</f>
        <v>29836</v>
      </c>
      <c r="P34" t="s">
        <v>25</v>
      </c>
      <c r="Q34" s="167">
        <v>47880291</v>
      </c>
      <c r="R34" s="207" t="s">
        <v>5602</v>
      </c>
      <c r="S34" s="194">
        <f>S33-8</f>
        <v>292</v>
      </c>
      <c r="T34" s="207" t="s">
        <v>5606</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291</v>
      </c>
      <c r="T35" s="207" t="s">
        <v>5609</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290</v>
      </c>
      <c r="T36" s="207" t="s">
        <v>5608</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287</v>
      </c>
      <c r="T37" s="207" t="s">
        <v>5614</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285</v>
      </c>
      <c r="T38" s="207" t="s">
        <v>5613</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284</v>
      </c>
      <c r="T39" s="207" t="s">
        <v>5620</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6553</v>
      </c>
      <c r="N40" s="111">
        <v>-34200000</v>
      </c>
      <c r="O40" s="279"/>
      <c r="P40" s="94" t="s">
        <v>25</v>
      </c>
      <c r="Q40" s="167">
        <v>563902380</v>
      </c>
      <c r="R40" s="207" t="s">
        <v>5622</v>
      </c>
      <c r="S40" s="194">
        <f>S39-5</f>
        <v>279</v>
      </c>
      <c r="T40" s="207" t="s">
        <v>5624</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6469</v>
      </c>
      <c r="L41" s="115">
        <f>-13649*P50</f>
        <v>-14686324</v>
      </c>
      <c r="M41" s="166"/>
      <c r="N41" s="111"/>
      <c r="O41" s="112"/>
      <c r="P41" s="94"/>
      <c r="Q41" s="167">
        <v>814638349</v>
      </c>
      <c r="R41" s="207" t="s">
        <v>5629</v>
      </c>
      <c r="S41" s="194">
        <f>S40-8</f>
        <v>271</v>
      </c>
      <c r="T41" s="207" t="s">
        <v>5630</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793</v>
      </c>
      <c r="O42" s="112"/>
      <c r="P42" t="s">
        <v>25</v>
      </c>
      <c r="Q42" s="167">
        <v>2537951</v>
      </c>
      <c r="R42" s="207" t="s">
        <v>5644</v>
      </c>
      <c r="S42" s="194">
        <f>S41-5</f>
        <v>266</v>
      </c>
      <c r="T42" s="207" t="s">
        <v>5645</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264</v>
      </c>
      <c r="T43" s="207" t="s">
        <v>5651</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6507</v>
      </c>
      <c r="N44" s="115">
        <f>O44*P44</f>
        <v>39145956</v>
      </c>
      <c r="O44" s="67">
        <v>36381</v>
      </c>
      <c r="P44" s="67">
        <f>P50</f>
        <v>1076</v>
      </c>
      <c r="Q44" s="167"/>
      <c r="R44" s="207" t="s">
        <v>5654</v>
      </c>
      <c r="S44" s="194">
        <f>S43-1</f>
        <v>263</v>
      </c>
      <c r="T44" s="207" t="s">
        <v>5790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0</v>
      </c>
      <c r="O45" s="67">
        <v>0</v>
      </c>
      <c r="P45" s="67">
        <v>410</v>
      </c>
      <c r="Q45" s="167">
        <v>67414766</v>
      </c>
      <c r="R45" s="207" t="s">
        <v>5654</v>
      </c>
      <c r="S45" s="194">
        <f>S44</f>
        <v>263</v>
      </c>
      <c r="T45" s="207" t="s">
        <v>5661</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6491</v>
      </c>
      <c r="N46" s="115">
        <f>O46*P46</f>
        <v>0</v>
      </c>
      <c r="O46" s="67">
        <v>0</v>
      </c>
      <c r="P46" s="67">
        <v>265</v>
      </c>
      <c r="Q46" s="167">
        <v>23400057</v>
      </c>
      <c r="R46" s="207" t="s">
        <v>5658</v>
      </c>
      <c r="S46" s="194">
        <f>S45-1</f>
        <v>262</v>
      </c>
      <c r="T46" s="207" t="s">
        <v>5662</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258</v>
      </c>
      <c r="T47" s="207" t="s">
        <v>5665</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21520000</v>
      </c>
      <c r="M48" s="19" t="s">
        <v>4357</v>
      </c>
      <c r="N48" s="115">
        <f t="shared" si="26"/>
        <v>6809300</v>
      </c>
      <c r="O48" s="67">
        <v>457</v>
      </c>
      <c r="P48" s="67">
        <v>14900</v>
      </c>
      <c r="Q48" s="167"/>
      <c r="R48" s="207" t="s">
        <v>5666</v>
      </c>
      <c r="S48" s="194">
        <f>S47-1</f>
        <v>257</v>
      </c>
      <c r="T48" s="207" t="s">
        <v>5667</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6554</v>
      </c>
      <c r="L49" s="115">
        <v>-60000000</v>
      </c>
      <c r="M49" s="19" t="s">
        <v>4361</v>
      </c>
      <c r="N49" s="115">
        <f t="shared" si="26"/>
        <v>0</v>
      </c>
      <c r="O49" s="67">
        <v>0</v>
      </c>
      <c r="P49" s="67">
        <v>21500</v>
      </c>
      <c r="Q49" s="167"/>
      <c r="R49" s="207" t="s">
        <v>5669</v>
      </c>
      <c r="S49" s="194">
        <f>S48-2</f>
        <v>255</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4902494872</v>
      </c>
      <c r="O50" s="97">
        <v>4556222</v>
      </c>
      <c r="P50" s="97">
        <v>1076</v>
      </c>
      <c r="Q50" s="167"/>
      <c r="R50" s="207" t="s">
        <v>5685</v>
      </c>
      <c r="S50" s="194">
        <f>S49-19</f>
        <v>236</v>
      </c>
      <c r="T50" s="207" t="s">
        <v>5686</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6528</v>
      </c>
      <c r="L51" s="115">
        <v>3500000</v>
      </c>
      <c r="M51" s="19" t="s">
        <v>5917</v>
      </c>
      <c r="N51" s="111">
        <f>O51*P51</f>
        <v>36941385</v>
      </c>
      <c r="O51" s="97">
        <v>18993</v>
      </c>
      <c r="P51" s="97">
        <v>1945</v>
      </c>
      <c r="Q51" s="167"/>
      <c r="R51" s="207" t="s">
        <v>5687</v>
      </c>
      <c r="S51" s="194">
        <f>S50-1</f>
        <v>235</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234</v>
      </c>
      <c r="T52" s="207" t="s">
        <v>5690</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148422624</v>
      </c>
      <c r="O53" s="97">
        <v>113127</v>
      </c>
      <c r="P53" s="97">
        <v>1312</v>
      </c>
      <c r="Q53" s="167"/>
      <c r="R53" s="207" t="s">
        <v>5691</v>
      </c>
      <c r="S53" s="194">
        <f>S52-3</f>
        <v>231</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1024000</v>
      </c>
      <c r="Q54" s="167"/>
      <c r="R54" s="207" t="s">
        <v>5694</v>
      </c>
      <c r="S54" s="194">
        <f>S53-2</f>
        <v>229</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222</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202</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180</v>
      </c>
      <c r="T57" s="207" t="s">
        <v>5763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179</v>
      </c>
      <c r="T58" s="207" t="s">
        <v>5769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175</v>
      </c>
      <c r="T59" s="207" t="s">
        <v>5773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171</v>
      </c>
      <c r="T60" s="207" t="s">
        <v>5783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168</v>
      </c>
      <c r="T61" s="207" t="s">
        <v>5782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-93329343.551625729</v>
      </c>
      <c r="P62" t="s">
        <v>25</v>
      </c>
      <c r="Q62" s="167"/>
      <c r="R62" s="207" t="s">
        <v>5785</v>
      </c>
      <c r="S62" s="194">
        <f>S61-2</f>
        <v>166</v>
      </c>
      <c r="T62" s="207" t="s">
        <v>5921</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102</v>
      </c>
      <c r="T63" s="207" t="s">
        <v>5829</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73</v>
      </c>
      <c r="T64" s="207" t="s">
        <v>5885</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3246928024.6861358</v>
      </c>
      <c r="P65" t="s">
        <v>25</v>
      </c>
      <c r="Q65" s="167"/>
      <c r="R65" s="207" t="s">
        <v>5901</v>
      </c>
      <c r="S65" s="194">
        <f>S64-3</f>
        <v>70</v>
      </c>
      <c r="T65" s="207" t="s">
        <v>5903</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4902954242.7622385</v>
      </c>
      <c r="M66" s="166"/>
      <c r="N66" s="111">
        <f>N16+N17+N35</f>
        <v>641053</v>
      </c>
      <c r="P66" t="s">
        <v>25</v>
      </c>
      <c r="Q66" s="167"/>
      <c r="R66" s="207" t="s">
        <v>5918</v>
      </c>
      <c r="S66" s="194">
        <f>S65-3</f>
        <v>67</v>
      </c>
      <c r="T66" s="207" t="s">
        <v>5920</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62</v>
      </c>
      <c r="T67" s="207" t="s">
        <v>6454</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5002954242.7622385</v>
      </c>
      <c r="O68" s="94"/>
      <c r="P68" s="120" t="s">
        <v>25</v>
      </c>
      <c r="Q68" s="167"/>
      <c r="R68" s="207" t="s">
        <v>6456</v>
      </c>
      <c r="S68" s="194">
        <f>S67-1</f>
        <v>61</v>
      </c>
      <c r="T68" s="207" t="s">
        <v>6472</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6456</v>
      </c>
      <c r="S69" s="194">
        <f>S68</f>
        <v>61</v>
      </c>
      <c r="T69" s="207" t="s">
        <v>6458</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6461</v>
      </c>
      <c r="S70" s="194">
        <f>S69-1</f>
        <v>60</v>
      </c>
      <c r="T70" s="207" t="s">
        <v>6467</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6456</v>
      </c>
      <c r="P71" s="113"/>
      <c r="Q71" s="167"/>
      <c r="R71" s="207" t="s">
        <v>6470</v>
      </c>
      <c r="S71" s="194">
        <f>S70-1</f>
        <v>59</v>
      </c>
      <c r="T71" s="207" t="s">
        <v>6473</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6459</v>
      </c>
      <c r="Q72" s="167"/>
      <c r="R72" s="207" t="s">
        <v>6470</v>
      </c>
      <c r="S72" s="194">
        <f>S71</f>
        <v>59</v>
      </c>
      <c r="T72" s="207" t="s">
        <v>6474</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6460</v>
      </c>
      <c r="Q73" s="167"/>
      <c r="R73" s="207" t="s">
        <v>6475</v>
      </c>
      <c r="S73" s="194">
        <f>S72-3</f>
        <v>56</v>
      </c>
      <c r="T73" s="207" t="s">
        <v>6476</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6466</v>
      </c>
      <c r="Q74" s="167"/>
      <c r="R74" s="207" t="s">
        <v>6477</v>
      </c>
      <c r="S74" s="194">
        <f>S73-1</f>
        <v>55</v>
      </c>
      <c r="T74" s="207" t="s">
        <v>6478</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6479</v>
      </c>
      <c r="S75" s="194">
        <f>S74-1</f>
        <v>54</v>
      </c>
      <c r="T75" s="207" t="s">
        <v>6480</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6482</v>
      </c>
      <c r="S76" s="194">
        <f>S75-2</f>
        <v>52</v>
      </c>
      <c r="T76" s="207" t="s">
        <v>6483</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6482</v>
      </c>
      <c r="S77" s="194">
        <f>S76</f>
        <v>52</v>
      </c>
      <c r="T77" s="207" t="s">
        <v>6567</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t="s">
        <v>6568</v>
      </c>
      <c r="S78" s="194">
        <f>S77-49</f>
        <v>3</v>
      </c>
      <c r="T78" s="207" t="s">
        <v>6569</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1098335162.6758094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761</v>
      </c>
      <c r="T95" s="187" t="s">
        <v>5618</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263</v>
      </c>
      <c r="T96" s="187" t="s">
        <v>5655</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180</v>
      </c>
      <c r="T97" s="187" t="s">
        <v>5764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175</v>
      </c>
      <c r="T98" s="187" t="s">
        <v>5774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171</v>
      </c>
      <c r="T99" s="187" t="s">
        <v>5780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168</v>
      </c>
      <c r="T100" s="187" t="s">
        <v>5784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167</v>
      </c>
      <c r="T101" s="187" t="s">
        <v>5788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166</v>
      </c>
      <c r="T102" s="187" t="s">
        <v>5789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101</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6461</v>
      </c>
      <c r="S104" s="194">
        <f>S103-41</f>
        <v>60</v>
      </c>
      <c r="T104" s="187" t="s">
        <v>6468</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9516.7286245353152</v>
      </c>
      <c r="G107" s="196">
        <f>P50</f>
        <v>1076</v>
      </c>
      <c r="H107" s="196" t="s">
        <v>4704</v>
      </c>
      <c r="I107" s="196" t="s">
        <v>5297</v>
      </c>
      <c r="J107" s="208" t="s">
        <v>4219</v>
      </c>
      <c r="K107" s="196">
        <v>210</v>
      </c>
      <c r="L107" s="209">
        <f t="shared" ref="L107:L112" si="40">K107*$L$115</f>
        <v>2150400000</v>
      </c>
      <c r="M107" s="209">
        <f>N21+N31+N50+N44</f>
        <v>8078689776</v>
      </c>
      <c r="N107" s="181">
        <f t="shared" ref="N107:N112" si="41">L107-M107</f>
        <v>-5928289776</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337920000</v>
      </c>
      <c r="M108" s="1">
        <f>N49+N28+N22</f>
        <v>33092168</v>
      </c>
      <c r="N108" s="111">
        <f t="shared" si="41"/>
        <v>304827832</v>
      </c>
      <c r="P108" s="94"/>
      <c r="Q108" s="111">
        <f>SUM(N28:N31)-SUM(Q87:Q107)</f>
        <v>351938758.7462979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14900</v>
      </c>
      <c r="H109" s="196" t="s">
        <v>4977</v>
      </c>
      <c r="I109" s="196" t="s">
        <v>5299</v>
      </c>
      <c r="J109" s="208" t="s">
        <v>4357</v>
      </c>
      <c r="K109" s="196">
        <v>0</v>
      </c>
      <c r="L109" s="209">
        <f t="shared" si="40"/>
        <v>0</v>
      </c>
      <c r="M109" s="209">
        <f>N48+N24</f>
        <v>43388800</v>
      </c>
      <c r="N109" s="181">
        <f t="shared" si="41"/>
        <v>-43388800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2402</v>
      </c>
      <c r="N110" s="186">
        <f t="shared" si="41"/>
        <v>-2402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10240000</v>
      </c>
      <c r="M111" s="209">
        <v>0</v>
      </c>
      <c r="N111" s="181">
        <f t="shared" si="41"/>
        <v>10240000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550</v>
      </c>
      <c r="L112" s="240">
        <f t="shared" si="40"/>
        <v>5632000000</v>
      </c>
      <c r="M112" s="240">
        <v>0</v>
      </c>
      <c r="N112" s="84">
        <f t="shared" si="41"/>
        <v>5632000000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794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10240000</v>
      </c>
      <c r="M115" s="1">
        <f>K115*L115</f>
        <v>0</v>
      </c>
      <c r="N115" s="111">
        <f>SUM(N107:N113)-M115</f>
        <v>-4613146</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5585</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306</v>
      </c>
      <c r="T117" s="207" t="s">
        <v>5597</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301</v>
      </c>
      <c r="T118" s="207" t="s">
        <v>5646</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265</v>
      </c>
      <c r="T119" s="207" t="s">
        <v>5649</v>
      </c>
      <c r="U119" s="207">
        <v>1715</v>
      </c>
      <c r="V119" s="97">
        <f t="shared" si="42"/>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264</v>
      </c>
      <c r="T120" s="207" t="s">
        <v>5652</v>
      </c>
      <c r="U120" s="207">
        <v>1631</v>
      </c>
      <c r="V120" s="97">
        <f t="shared" si="42"/>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263</v>
      </c>
      <c r="T121" s="207" t="s">
        <v>5673</v>
      </c>
      <c r="U121" s="207">
        <v>1567.4</v>
      </c>
      <c r="V121" s="97">
        <f t="shared" si="42"/>
        <v>1907.4527978082197</v>
      </c>
      <c r="W121" s="32">
        <f t="shared" si="49"/>
        <v>1945.601853764384</v>
      </c>
      <c r="X121" s="32">
        <f t="shared" si="50"/>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250</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249</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248</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1076</v>
      </c>
      <c r="H125" s="97" t="s">
        <v>4219</v>
      </c>
      <c r="I125" s="97">
        <v>51250</v>
      </c>
      <c r="J125" s="1">
        <f>I125*G125</f>
        <v>55145000</v>
      </c>
      <c r="K125" s="292" t="s">
        <v>4374</v>
      </c>
      <c r="L125" s="167">
        <v>1100000</v>
      </c>
      <c r="M125" s="167">
        <v>3191000</v>
      </c>
      <c r="N125" s="166">
        <f t="shared" si="51"/>
        <v>190.09090909090909</v>
      </c>
      <c r="Q125" s="167"/>
      <c r="R125" s="207" t="s">
        <v>5735</v>
      </c>
      <c r="S125" s="207">
        <f>S124-53</f>
        <v>195</v>
      </c>
      <c r="T125" s="207" t="s">
        <v>5736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14900</v>
      </c>
      <c r="H126" s="97" t="s">
        <v>4357</v>
      </c>
      <c r="I126" s="97">
        <v>6709</v>
      </c>
      <c r="J126" s="1">
        <f>I126*G126</f>
        <v>99964100</v>
      </c>
      <c r="K126" s="292" t="s">
        <v>4482</v>
      </c>
      <c r="L126" s="167">
        <v>1100000</v>
      </c>
      <c r="M126" s="167">
        <v>5623000</v>
      </c>
      <c r="N126" s="166">
        <f t="shared" si="51"/>
        <v>411.18181818181819</v>
      </c>
      <c r="Q126" s="167"/>
      <c r="R126" s="207" t="s">
        <v>5737</v>
      </c>
      <c r="S126" s="207">
        <f>S125-1</f>
        <v>194</v>
      </c>
      <c r="T126" s="207" t="s">
        <v>5738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193</v>
      </c>
      <c r="T127" s="207" t="s">
        <v>5740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192</v>
      </c>
      <c r="T128" s="207" t="s">
        <v>5747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25109100</v>
      </c>
      <c r="J129" s="1">
        <v>0</v>
      </c>
      <c r="K129" s="245" t="s">
        <v>1070</v>
      </c>
      <c r="L129" s="167">
        <v>1100000</v>
      </c>
      <c r="M129" s="167">
        <v>3400000</v>
      </c>
      <c r="N129" s="166">
        <f t="shared" si="51"/>
        <v>209.09090909090909</v>
      </c>
      <c r="Q129" s="167"/>
      <c r="R129" s="207" t="s">
        <v>5751</v>
      </c>
      <c r="S129" s="207">
        <f>S128-4</f>
        <v>188</v>
      </c>
      <c r="T129" s="207" t="s">
        <v>5752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187</v>
      </c>
      <c r="T130" s="207" t="s">
        <v>5754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185</v>
      </c>
      <c r="T131" s="207" t="s">
        <v>5756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181</v>
      </c>
      <c r="T132" s="207" t="s">
        <v>5761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180</v>
      </c>
      <c r="T133" s="207" t="s">
        <v>6548</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124</v>
      </c>
      <c r="T134" s="207" t="s">
        <v>5808</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116</v>
      </c>
      <c r="T135" s="207" t="s">
        <v>5826</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103</v>
      </c>
      <c r="T136" s="207" t="s">
        <v>6525</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6490</v>
      </c>
      <c r="I137" s="210" t="s">
        <v>5704</v>
      </c>
      <c r="J137" s="1">
        <v>150000000</v>
      </c>
      <c r="Q137" s="167"/>
      <c r="R137" s="207" t="s">
        <v>5880</v>
      </c>
      <c r="S137" s="207">
        <f>S136-27</f>
        <v>76</v>
      </c>
      <c r="T137" s="207" t="s">
        <v>5881</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1">
        <f>P50</f>
        <v>1076</v>
      </c>
      <c r="H138" s="207" t="s">
        <v>4219</v>
      </c>
      <c r="I138" s="207">
        <v>20000</v>
      </c>
      <c r="J138" s="1">
        <f>G138*I138</f>
        <v>21520000</v>
      </c>
      <c r="Q138" s="167"/>
      <c r="R138" s="207" t="s">
        <v>5918</v>
      </c>
      <c r="S138" s="207">
        <f>S137-9</f>
        <v>67</v>
      </c>
      <c r="T138" s="207" t="s">
        <v>5919</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6456</v>
      </c>
      <c r="S139" s="207">
        <f>S138-6</f>
        <v>61</v>
      </c>
      <c r="T139" s="207" t="s">
        <v>6457</v>
      </c>
      <c r="U139" s="207">
        <v>1973</v>
      </c>
      <c r="V139" s="97">
        <f t="shared" si="42"/>
        <v>2095.3151890410959</v>
      </c>
      <c r="W139" s="32">
        <f t="shared" ref="W139:W155" si="59">V139*(1+$W$19/100)</f>
        <v>2137.2214928219178</v>
      </c>
      <c r="X139" s="32">
        <f t="shared" ref="X139:X155"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6461</v>
      </c>
      <c r="S140" s="207">
        <f>S139-1</f>
        <v>60</v>
      </c>
      <c r="T140" s="207" t="s">
        <v>6509</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-128480000</v>
      </c>
      <c r="J141" s="1">
        <f>SUM(J138:J139)</f>
        <v>21520000</v>
      </c>
      <c r="K141" t="s">
        <v>25</v>
      </c>
      <c r="Q141" s="167"/>
      <c r="R141" s="207" t="s">
        <v>6470</v>
      </c>
      <c r="S141" s="207">
        <f>S140-1</f>
        <v>59</v>
      </c>
      <c r="T141" s="207" t="s">
        <v>6471</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6526</v>
      </c>
      <c r="S142" s="207">
        <f>S141-34</f>
        <v>25</v>
      </c>
      <c r="T142" s="207" t="s">
        <v>6527</v>
      </c>
      <c r="U142" s="207">
        <v>1711</v>
      </c>
      <c r="V142" s="97">
        <f t="shared" ref="V142:V150"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J143" s="94"/>
      <c r="P143" t="s">
        <v>25</v>
      </c>
      <c r="Q143" s="167"/>
      <c r="R143" s="207" t="s">
        <v>6529</v>
      </c>
      <c r="S143" s="207">
        <f>S142-1</f>
        <v>24</v>
      </c>
      <c r="T143" s="207" t="s">
        <v>6530</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6546</v>
      </c>
      <c r="S144" s="207">
        <f>S143-4</f>
        <v>20</v>
      </c>
      <c r="T144" s="207" t="s">
        <v>6560</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6547</v>
      </c>
      <c r="S145" s="207">
        <f>S144-1</f>
        <v>19</v>
      </c>
      <c r="T145" s="207" t="s">
        <v>6549</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7491695</v>
      </c>
      <c r="H146" s="32" t="s">
        <v>5456</v>
      </c>
      <c r="I146" s="32">
        <f>O22+O28+O49+I139+O44</f>
        <v>63610</v>
      </c>
      <c r="J146" s="112"/>
      <c r="K146" s="94"/>
      <c r="L146" s="94"/>
      <c r="M146" s="94"/>
      <c r="Q146" s="167"/>
      <c r="R146" s="207" t="s">
        <v>6555</v>
      </c>
      <c r="S146" s="207">
        <f>S145-7</f>
        <v>12</v>
      </c>
      <c r="T146" s="207" t="s">
        <v>6556</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107459.96654275093</v>
      </c>
      <c r="H147" s="280" t="s">
        <v>5457</v>
      </c>
      <c r="I147" s="32">
        <f>(J138+N30+N50+N48+N31+N24+N21)/P49</f>
        <v>376951.2846511628</v>
      </c>
      <c r="J147" s="112"/>
      <c r="K147" s="94"/>
      <c r="L147" s="94" t="s">
        <v>25</v>
      </c>
      <c r="M147" s="94"/>
      <c r="P147" s="112"/>
      <c r="Q147" s="167"/>
      <c r="R147" s="207" t="s">
        <v>6558</v>
      </c>
      <c r="S147" s="207">
        <f>S146-1</f>
        <v>11</v>
      </c>
      <c r="T147" s="207" t="s">
        <v>6559</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f>G146+G147</f>
        <v>7599154.9665427506</v>
      </c>
      <c r="H148" s="32" t="s">
        <v>5458</v>
      </c>
      <c r="I148" s="32">
        <f>I146+I147</f>
        <v>440561.2846511628</v>
      </c>
      <c r="J148" s="112"/>
      <c r="K148" s="94"/>
      <c r="L148" s="94"/>
      <c r="N148" s="94"/>
      <c r="O148" s="94"/>
      <c r="Q148" s="167"/>
      <c r="R148" s="207" t="s">
        <v>6562</v>
      </c>
      <c r="S148" s="207">
        <f>S147-1</f>
        <v>10</v>
      </c>
      <c r="T148" s="207" t="s">
        <v>6563</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f>(W166+W167)/P50</f>
        <v>342183.01513309666</v>
      </c>
      <c r="H149" s="32" t="s">
        <v>5434</v>
      </c>
      <c r="I149" s="32">
        <f>(W166+W167)/P49</f>
        <v>17125.066245730792</v>
      </c>
      <c r="J149" s="112"/>
      <c r="K149" s="94"/>
      <c r="L149" s="94"/>
      <c r="M149" s="94"/>
      <c r="N149" s="94"/>
      <c r="O149" s="94"/>
      <c r="Q149" s="167"/>
      <c r="R149" s="207" t="s">
        <v>6565</v>
      </c>
      <c r="S149" s="207">
        <f>S148-4</f>
        <v>6</v>
      </c>
      <c r="T149" s="207" t="s">
        <v>6566</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2663216.7284404975</v>
      </c>
      <c r="H150" s="32" t="s">
        <v>481</v>
      </c>
      <c r="I150" s="32">
        <f>W164/P49</f>
        <v>133284.70696753374</v>
      </c>
      <c r="J150" s="112"/>
      <c r="K150" s="94"/>
      <c r="L150" s="94"/>
      <c r="N150" s="94"/>
      <c r="O150" s="94"/>
      <c r="Q150" s="167"/>
      <c r="R150" s="207" t="s">
        <v>6568</v>
      </c>
      <c r="S150" s="207">
        <f>S149-3</f>
        <v>3</v>
      </c>
      <c r="T150" s="207" t="s">
        <v>6572</v>
      </c>
      <c r="U150" s="207">
        <v>1028</v>
      </c>
      <c r="V150" s="97">
        <f t="shared" si="61"/>
        <v>1045.9914082191781</v>
      </c>
      <c r="W150" s="32">
        <f t="shared" si="59"/>
        <v>1066.9112363835616</v>
      </c>
      <c r="X150" s="32">
        <f t="shared" si="60"/>
        <v>1087.8310645479453</v>
      </c>
      <c r="Y150" s="94">
        <v>154000</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4593755.2229691558</v>
      </c>
      <c r="H151" s="32" t="s">
        <v>5</v>
      </c>
      <c r="I151" s="32">
        <f>I148-I149-I150</f>
        <v>290151.51143789827</v>
      </c>
      <c r="J151" s="112"/>
      <c r="K151" s="94"/>
      <c r="L151" s="94"/>
      <c r="M151" t="s">
        <v>25</v>
      </c>
      <c r="N151" s="94"/>
      <c r="O151" s="94"/>
      <c r="Q151" s="167"/>
      <c r="R151" s="207" t="s">
        <v>6570</v>
      </c>
      <c r="S151" s="207">
        <f>S150-3</f>
        <v>0</v>
      </c>
      <c r="T151" s="207" t="s">
        <v>6571</v>
      </c>
      <c r="U151" s="207">
        <v>1212</v>
      </c>
      <c r="V151" s="97"/>
      <c r="W151" s="32"/>
      <c r="X151" s="32"/>
      <c r="Y151" s="94"/>
      <c r="Z151" s="94">
        <v>845</v>
      </c>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c r="S154" s="207"/>
      <c r="T154" s="207" t="s">
        <v>25</v>
      </c>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690</v>
      </c>
      <c r="AM154" s="115">
        <f t="shared" si="62"/>
        <v>1069500000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11">
        <f>SUM(N44:N54)-SUM(Q116:Q155)</f>
        <v>3256097118.36867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2664373</v>
      </c>
      <c r="U164" s="285" t="s">
        <v>744</v>
      </c>
      <c r="V164" s="285">
        <v>1493032</v>
      </c>
      <c r="W164" s="88">
        <f>V164*$T$504</f>
        <v>2865621199.8019753</v>
      </c>
      <c r="X164">
        <f>W164*100/$W$170</f>
        <v>34.643050806321185</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5038039880.7622385</v>
      </c>
      <c r="X165" s="94">
        <f>W165*100/$W$170</f>
        <v>60.905841834775458</v>
      </c>
      <c r="Y165" t="s">
        <v>25</v>
      </c>
      <c r="Z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t="s">
        <v>25</v>
      </c>
      <c r="S166" t="s">
        <v>25</v>
      </c>
      <c r="T166" s="94">
        <f>V164-V170</f>
        <v>1532510</v>
      </c>
      <c r="U166" s="285" t="s">
        <v>4409</v>
      </c>
      <c r="V166" s="285">
        <v>48626</v>
      </c>
      <c r="W166" s="88">
        <f>V166*$T$504</f>
        <v>93329343.551625729</v>
      </c>
      <c r="X166" s="94">
        <f>W166*100/$W$170</f>
        <v>1.1282765463219637</v>
      </c>
      <c r="Y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Q167" t="s">
        <v>25</v>
      </c>
      <c r="T167" s="94"/>
      <c r="U167" s="285" t="s">
        <v>1071</v>
      </c>
      <c r="V167" s="285">
        <v>143206</v>
      </c>
      <c r="W167" s="88">
        <f>V167*$T$504</f>
        <v>274859580.73158628</v>
      </c>
      <c r="X167" s="94">
        <f>W167*100/$W$170</f>
        <v>3.3228308125813997</v>
      </c>
      <c r="Z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644</v>
      </c>
      <c r="AM169" s="115">
        <f t="shared" si="62"/>
        <v>727881000</v>
      </c>
      <c r="AN169" s="20"/>
    </row>
    <row r="170" spans="7:43">
      <c r="O170" s="112"/>
      <c r="P170" s="112"/>
      <c r="Q170" s="94" t="s">
        <v>25</v>
      </c>
      <c r="R170" s="94"/>
      <c r="S170" s="94" t="s">
        <v>25</v>
      </c>
      <c r="T170" s="94" t="s">
        <v>25</v>
      </c>
      <c r="U170" s="87"/>
      <c r="V170" s="87">
        <f>V169-U501</f>
        <v>-39478</v>
      </c>
      <c r="W170" s="140">
        <f>SUM(W164:W167)</f>
        <v>8271850004.8474255</v>
      </c>
      <c r="X170" s="94"/>
      <c r="Y170" t="s">
        <v>25</v>
      </c>
      <c r="Z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109992211.26841372</v>
      </c>
      <c r="X171" s="94"/>
      <c r="Y171" t="s">
        <v>25</v>
      </c>
      <c r="Z171" t="s">
        <v>25</v>
      </c>
      <c r="AA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c r="T172" s="94" t="s">
        <v>25</v>
      </c>
      <c r="U172" s="87"/>
      <c r="V172" s="87" t="s">
        <v>5860</v>
      </c>
      <c r="W172" s="140">
        <f>W166-W171</f>
        <v>-16662867.716787994</v>
      </c>
      <c r="X172" s="94"/>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-53973647.914812565</v>
      </c>
      <c r="X173" s="94"/>
      <c r="Y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2"/>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5133814137</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2902931980</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384851792</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793</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t="s">
        <v>6561</v>
      </c>
      <c r="R188" s="93">
        <v>-73978994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5490</v>
      </c>
      <c r="H190" s="1">
        <v>5745697.3157000002</v>
      </c>
      <c r="P190" s="112"/>
      <c r="Q190" s="36" t="s">
        <v>6557</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8347621317</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9" t="s">
        <v>6485</v>
      </c>
      <c r="R239" s="19" t="s">
        <v>6482</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77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66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64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6456</v>
      </c>
      <c r="AJ258" s="111">
        <v>10000</v>
      </c>
      <c r="AK258" s="97">
        <v>1</v>
      </c>
      <c r="AL258" s="20">
        <f t="shared" si="74"/>
        <v>55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6461</v>
      </c>
      <c r="AJ259" s="111">
        <v>50000000</v>
      </c>
      <c r="AK259" s="97">
        <v>43</v>
      </c>
      <c r="AL259" s="20">
        <f t="shared" si="74"/>
        <v>54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6550</v>
      </c>
      <c r="AJ260" s="111">
        <v>50000000</v>
      </c>
      <c r="AK260" s="97">
        <v>10</v>
      </c>
      <c r="AL260" s="20">
        <f t="shared" si="74"/>
        <v>11</v>
      </c>
      <c r="AM260" s="115"/>
      <c r="AN260" s="264" t="s">
        <v>6551</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v>241</v>
      </c>
      <c r="AI261" s="111" t="s">
        <v>6564</v>
      </c>
      <c r="AJ261" s="111">
        <v>8200000</v>
      </c>
      <c r="AK261" s="97">
        <v>1</v>
      </c>
      <c r="AL261" s="20">
        <f t="shared" si="74"/>
        <v>1</v>
      </c>
      <c r="AM261" s="115"/>
      <c r="AN261" s="264" t="s">
        <v>6551</v>
      </c>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5133814930</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4587133980.9384365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4330456634.9963369</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6470</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6479</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6482</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6486</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6490</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t="s">
        <v>6568</v>
      </c>
      <c r="H295" s="111">
        <v>15777944</v>
      </c>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6456</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6482</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1467373281.2390366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6461</v>
      </c>
      <c r="AJ471" s="186">
        <v>20000000</v>
      </c>
      <c r="AK471" s="147">
        <v>29</v>
      </c>
      <c r="AL471" s="147">
        <f t="shared" si="111"/>
        <v>30</v>
      </c>
      <c r="AM471" s="147">
        <f t="shared" si="112"/>
        <v>600000000</v>
      </c>
      <c r="AN471" s="147" t="s">
        <v>6462</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6510</v>
      </c>
      <c r="AJ472" s="186">
        <v>-20000000</v>
      </c>
      <c r="AK472" s="147">
        <v>0</v>
      </c>
      <c r="AL472" s="147">
        <f t="shared" si="111"/>
        <v>1</v>
      </c>
      <c r="AM472" s="147">
        <f t="shared" si="112"/>
        <v>-20000000</v>
      </c>
      <c r="AN472" s="147" t="s">
        <v>6511</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6510</v>
      </c>
      <c r="AJ473" s="186">
        <v>2000000</v>
      </c>
      <c r="AK473" s="147">
        <v>1</v>
      </c>
      <c r="AL473" s="147">
        <f t="shared" si="111"/>
        <v>1</v>
      </c>
      <c r="AM473" s="147">
        <f t="shared" si="112"/>
        <v>2000000</v>
      </c>
      <c r="AN473" s="147" t="s">
        <v>6512</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6456</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6461</v>
      </c>
      <c r="U483" s="19">
        <v>26601</v>
      </c>
      <c r="V483" s="115">
        <v>1880.082026</v>
      </c>
      <c r="W483" s="115">
        <f t="shared" si="92"/>
        <v>50012061.973626003</v>
      </c>
      <c r="X483" s="264" t="s">
        <v>5354</v>
      </c>
      <c r="AI483" t="s">
        <v>4048</v>
      </c>
      <c r="AJ483" s="112">
        <f>SUM(N20:N31)</f>
        <v>3287785381</v>
      </c>
    </row>
    <row r="484" spans="17:40">
      <c r="Q484" s="97" t="s">
        <v>5729</v>
      </c>
      <c r="R484" s="93">
        <v>6610318.1610199995</v>
      </c>
      <c r="T484" s="187" t="s">
        <v>6461</v>
      </c>
      <c r="U484" s="187">
        <v>10637</v>
      </c>
      <c r="V484" s="186">
        <v>1880.082026</v>
      </c>
      <c r="W484" s="186">
        <f t="shared" si="92"/>
        <v>19998432.510561999</v>
      </c>
      <c r="X484" s="263" t="s">
        <v>6462</v>
      </c>
      <c r="Y484" t="s">
        <v>25</v>
      </c>
      <c r="AI484" t="s">
        <v>4118</v>
      </c>
      <c r="AJ484" s="112">
        <f>AJ483-AJ479</f>
        <v>3085992704.151772</v>
      </c>
    </row>
    <row r="485" spans="17:40">
      <c r="Q485" s="97" t="s">
        <v>5731</v>
      </c>
      <c r="R485" s="93">
        <v>710713.17725199996</v>
      </c>
      <c r="T485" s="19" t="s">
        <v>6470</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6479</v>
      </c>
      <c r="U486" s="19">
        <v>325</v>
      </c>
      <c r="V486" s="115">
        <v>1789.1845169999999</v>
      </c>
      <c r="W486" s="115">
        <f t="shared" si="92"/>
        <v>581484.96802499995</v>
      </c>
      <c r="X486" s="264" t="s">
        <v>5114</v>
      </c>
      <c r="Z486" t="s">
        <v>25</v>
      </c>
      <c r="AI486" t="s">
        <v>4049</v>
      </c>
      <c r="AJ486" s="112">
        <f>AJ484-AJ485</f>
        <v>2964004666.6070194</v>
      </c>
      <c r="AM486" t="s">
        <v>25</v>
      </c>
      <c r="AN486" t="s">
        <v>25</v>
      </c>
    </row>
    <row r="487" spans="17:40">
      <c r="Q487" s="97" t="s">
        <v>5735</v>
      </c>
      <c r="R487" s="93">
        <v>219696.613128</v>
      </c>
      <c r="T487" s="19" t="s">
        <v>6482</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6482</v>
      </c>
      <c r="U488" s="19">
        <v>3240</v>
      </c>
      <c r="V488" s="115">
        <v>1851.788857</v>
      </c>
      <c r="W488" s="115">
        <f t="shared" si="92"/>
        <v>5999795.8966800002</v>
      </c>
      <c r="X488" s="264" t="s">
        <v>6484</v>
      </c>
    </row>
    <row r="489" spans="17:40">
      <c r="Q489" s="97" t="s">
        <v>5739</v>
      </c>
      <c r="R489" s="93">
        <v>984486.34963200008</v>
      </c>
      <c r="T489" s="19" t="s">
        <v>6482</v>
      </c>
      <c r="U489" s="19">
        <v>-3240</v>
      </c>
      <c r="V489" s="115">
        <v>1851.788857</v>
      </c>
      <c r="W489" s="115">
        <f t="shared" si="92"/>
        <v>-5999795.8966800002</v>
      </c>
      <c r="X489" s="264" t="s">
        <v>6485</v>
      </c>
      <c r="Z489" t="s">
        <v>25</v>
      </c>
      <c r="AA489" t="s">
        <v>25</v>
      </c>
    </row>
    <row r="490" spans="17:40">
      <c r="Q490" s="97" t="s">
        <v>5751</v>
      </c>
      <c r="R490" s="93">
        <v>2143469.938015</v>
      </c>
      <c r="T490" s="19" t="s">
        <v>6486</v>
      </c>
      <c r="U490" s="19">
        <v>330</v>
      </c>
      <c r="V490" s="115">
        <v>1799.34311</v>
      </c>
      <c r="W490" s="115">
        <f t="shared" si="92"/>
        <v>593783.22629999998</v>
      </c>
      <c r="X490" s="264" t="s">
        <v>5114</v>
      </c>
      <c r="AN490" t="s">
        <v>25</v>
      </c>
    </row>
    <row r="491" spans="17:40">
      <c r="Q491" s="97" t="s">
        <v>5753</v>
      </c>
      <c r="R491" s="93">
        <v>3085460.5177150001</v>
      </c>
      <c r="T491" s="19" t="s">
        <v>6490</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6510</v>
      </c>
      <c r="U492" s="187">
        <v>-10637</v>
      </c>
      <c r="V492" s="186">
        <v>1739.5916549999999</v>
      </c>
      <c r="W492" s="186">
        <f t="shared" si="92"/>
        <v>-18504036.434234999</v>
      </c>
      <c r="X492" s="263" t="s">
        <v>6513</v>
      </c>
      <c r="Y492" t="s">
        <v>25</v>
      </c>
      <c r="AA492" t="s">
        <v>25</v>
      </c>
      <c r="AB492" t="s">
        <v>25</v>
      </c>
    </row>
    <row r="493" spans="17:40">
      <c r="Q493" s="97" t="s">
        <v>5760</v>
      </c>
      <c r="R493" s="93">
        <v>6572373.7593120001</v>
      </c>
      <c r="T493" s="19" t="s">
        <v>6510</v>
      </c>
      <c r="U493" s="19">
        <v>10637</v>
      </c>
      <c r="V493" s="115">
        <v>1739.5916549999999</v>
      </c>
      <c r="W493" s="115">
        <f t="shared" si="92"/>
        <v>18504036.434234999</v>
      </c>
      <c r="X493" s="264" t="s">
        <v>6514</v>
      </c>
    </row>
    <row r="494" spans="17:40" ht="30">
      <c r="Q494" s="97" t="s">
        <v>5762</v>
      </c>
      <c r="R494" s="93">
        <v>2893243.5730909999</v>
      </c>
      <c r="T494" s="19" t="s">
        <v>6568</v>
      </c>
      <c r="U494" s="19">
        <v>39478</v>
      </c>
      <c r="V494" s="115">
        <v>1873.903047</v>
      </c>
      <c r="W494" s="115">
        <f t="shared" si="92"/>
        <v>73977944.489465997</v>
      </c>
      <c r="X494" s="264" t="s">
        <v>6573</v>
      </c>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Z496" t="s">
        <v>25</v>
      </c>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4349237</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1919.3300611118686</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-73978994</v>
      </c>
      <c r="V507">
        <f>U507/T504</f>
        <v>-38544.175125951988</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2470990552.2846694</v>
      </c>
      <c r="U517" s="93">
        <f>R195</f>
        <v>8347621317</v>
      </c>
      <c r="V517" s="93">
        <f>U517-T517</f>
        <v>5876630764.7153301</v>
      </c>
    </row>
    <row r="518" spans="16:24">
      <c r="Q518" s="97" t="s">
        <v>5918</v>
      </c>
      <c r="R518" s="93">
        <v>259993.58394100002</v>
      </c>
      <c r="W518" s="94" t="s">
        <v>25</v>
      </c>
    </row>
    <row r="519" spans="16:24">
      <c r="Q519" s="97" t="s">
        <v>5922</v>
      </c>
      <c r="R519" s="93">
        <v>269955.31205999997</v>
      </c>
    </row>
    <row r="520" spans="16:24">
      <c r="Q520" s="97" t="s">
        <v>6470</v>
      </c>
      <c r="R520" s="93">
        <v>560534.38387200003</v>
      </c>
      <c r="T520" s="115"/>
      <c r="V520" s="112">
        <f>(444000000+2500000)*2/3</f>
        <v>297666666.66666669</v>
      </c>
    </row>
    <row r="521" spans="16:24">
      <c r="Q521" s="97" t="s">
        <v>6479</v>
      </c>
      <c r="R521" s="93">
        <v>581484.96802499995</v>
      </c>
    </row>
    <row r="522" spans="16:24">
      <c r="Q522" s="97" t="s">
        <v>6482</v>
      </c>
      <c r="R522" s="93">
        <v>2136964.3409779998</v>
      </c>
      <c r="T522" s="112">
        <f>W325+W326+W328+W329+W331+W332</f>
        <v>-301699041.74755996</v>
      </c>
    </row>
    <row r="523" spans="16:24">
      <c r="Q523" s="97" t="s">
        <v>6486</v>
      </c>
      <c r="R523" s="93">
        <v>593783.22629999998</v>
      </c>
      <c r="T523" t="s">
        <v>25</v>
      </c>
    </row>
    <row r="524" spans="16:24">
      <c r="Q524" s="97" t="s">
        <v>6490</v>
      </c>
      <c r="R524" s="93">
        <v>469469.96222000004</v>
      </c>
      <c r="T524" s="112">
        <f>V520+T522</f>
        <v>-4032375.0808932781</v>
      </c>
    </row>
    <row r="525" spans="16:24">
      <c r="Q525" s="97" t="s">
        <v>6568</v>
      </c>
      <c r="R525" s="93">
        <v>73977944.489465997</v>
      </c>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2208547989.8453302</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s="112"/>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5" sqref="R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1.46</v>
      </c>
      <c r="J1" s="20">
        <f t="shared" ref="J1:J30" si="2">I1/H1</f>
        <v>1.1768892617093345</v>
      </c>
      <c r="K1" s="97">
        <f t="shared" ref="K1:K27" si="3">(1/J1-1.0256)*100</f>
        <v>-17.590238397486736</v>
      </c>
      <c r="L1" s="20"/>
      <c r="M1" s="20"/>
      <c r="N1" s="20">
        <v>1</v>
      </c>
      <c r="P1" s="94"/>
      <c r="Q1" s="67" t="s">
        <v>5917</v>
      </c>
      <c r="R1" s="317">
        <v>2000</v>
      </c>
      <c r="S1" s="94" t="s">
        <v>5864</v>
      </c>
      <c r="T1" s="94" t="s">
        <v>5865</v>
      </c>
      <c r="U1" s="94"/>
      <c r="V1" s="94"/>
      <c r="W1" s="94"/>
      <c r="X1" s="5" t="s">
        <v>6495</v>
      </c>
      <c r="Y1" s="5" t="s">
        <v>6496</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1.46</v>
      </c>
      <c r="J2" s="20">
        <f t="shared" si="2"/>
        <v>1.1110225710570314</v>
      </c>
      <c r="K2" s="97">
        <f t="shared" si="3"/>
        <v>-12.552827684086033</v>
      </c>
      <c r="L2" s="20" t="s">
        <v>25</v>
      </c>
      <c r="M2" s="20"/>
      <c r="N2" s="20">
        <f>H2/H1</f>
        <v>1.0592847457542085</v>
      </c>
      <c r="P2" s="94"/>
      <c r="Q2" s="97" t="s">
        <v>4219</v>
      </c>
      <c r="R2" s="284">
        <v>1089</v>
      </c>
      <c r="S2" s="94">
        <v>80</v>
      </c>
      <c r="T2" s="112">
        <v>1099</v>
      </c>
      <c r="U2" s="94">
        <f>S2/T2</f>
        <v>7.2793448589626927E-2</v>
      </c>
      <c r="V2" s="94"/>
      <c r="W2" s="94"/>
      <c r="X2" s="5" t="s">
        <v>744</v>
      </c>
      <c r="Y2" s="5" t="s">
        <v>6497</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1.46</v>
      </c>
      <c r="J3" s="20">
        <f t="shared" si="2"/>
        <v>1.100966932937024</v>
      </c>
      <c r="K3" s="97">
        <f t="shared" si="3"/>
        <v>-11.730750720703021</v>
      </c>
      <c r="L3" s="20"/>
      <c r="M3" s="20"/>
      <c r="N3" s="20">
        <f>H3/H2</f>
        <v>1.0091334606146456</v>
      </c>
      <c r="P3" s="113"/>
      <c r="Q3" s="97" t="s">
        <v>5278</v>
      </c>
      <c r="R3" s="299">
        <v>1315</v>
      </c>
      <c r="S3" s="113"/>
      <c r="T3" s="113"/>
      <c r="U3" s="113"/>
      <c r="V3" s="113"/>
      <c r="W3" s="113"/>
      <c r="X3" s="5" t="s">
        <v>452</v>
      </c>
      <c r="Y3" s="5" t="s">
        <v>6498</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20.110192837465565</v>
      </c>
      <c r="J4" s="97">
        <f t="shared" si="2"/>
        <v>1.1357047413318839</v>
      </c>
      <c r="K4" s="97">
        <f t="shared" si="3"/>
        <v>-14.508945565969722</v>
      </c>
      <c r="L4" s="97"/>
      <c r="M4" s="97"/>
      <c r="N4" s="282">
        <v>1</v>
      </c>
      <c r="P4" s="113"/>
      <c r="Q4" s="97" t="s">
        <v>4357</v>
      </c>
      <c r="R4" s="298">
        <v>15000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20.110192837465565</v>
      </c>
      <c r="J5" s="97">
        <f t="shared" si="2"/>
        <v>1.1188933224634845</v>
      </c>
      <c r="K5" s="97">
        <f t="shared" si="3"/>
        <v>-13.185974798179622</v>
      </c>
      <c r="L5" s="97"/>
      <c r="M5" s="97"/>
      <c r="N5" s="282">
        <f>H5/H4</f>
        <v>1.015025041736227</v>
      </c>
      <c r="P5" s="113"/>
      <c r="Q5" s="97" t="s">
        <v>4361</v>
      </c>
      <c r="R5" s="283">
        <v>21900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20.110192837465565</v>
      </c>
      <c r="J6" s="97">
        <f t="shared" si="2"/>
        <v>1.1095536453143735</v>
      </c>
      <c r="K6" s="97">
        <f t="shared" si="3"/>
        <v>-12.433668188736691</v>
      </c>
      <c r="L6" s="97"/>
      <c r="M6" s="97"/>
      <c r="N6" s="282">
        <f>H6/H5</f>
        <v>1.0084175084175084</v>
      </c>
      <c r="P6" s="113"/>
      <c r="Q6" s="67" t="s">
        <v>5879</v>
      </c>
      <c r="R6" s="303">
        <v>440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20.110192837465565</v>
      </c>
      <c r="J7" s="97">
        <f t="shared" si="2"/>
        <v>1.1058177744547293</v>
      </c>
      <c r="K7" s="97">
        <f t="shared" si="3"/>
        <v>-12.129187338022973</v>
      </c>
      <c r="L7" s="36"/>
      <c r="M7" s="97"/>
      <c r="N7" s="282">
        <f>H7/H6</f>
        <v>1.0033783783783783</v>
      </c>
      <c r="O7" s="94"/>
      <c r="P7" s="113"/>
      <c r="Q7" s="67" t="s">
        <v>6491</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20.110192837465565</v>
      </c>
      <c r="J8" s="97">
        <f t="shared" si="2"/>
        <v>1.1219936007267304</v>
      </c>
      <c r="K8" s="97">
        <f t="shared" si="3"/>
        <v>-13.432931953240512</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13.774104683195592</v>
      </c>
      <c r="J9" s="20">
        <f t="shared" si="2"/>
        <v>0.98506832419522228</v>
      </c>
      <c r="K9" s="20">
        <f t="shared" si="3"/>
        <v>-1.0441989699570886</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13.774104683195592</v>
      </c>
      <c r="J10" s="20">
        <f t="shared" si="2"/>
        <v>1.1980617565295397</v>
      </c>
      <c r="K10" s="20">
        <f t="shared" si="3"/>
        <v>-19.091848667239908</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13.774104683195592</v>
      </c>
      <c r="J11" s="20">
        <f t="shared" si="2"/>
        <v>1.1873511132404413</v>
      </c>
      <c r="K11" s="20">
        <f t="shared" si="3"/>
        <v>-18.338914185639233</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13.774104683195592</v>
      </c>
      <c r="J12" s="20">
        <f t="shared" si="2"/>
        <v>1.1759142811514351</v>
      </c>
      <c r="K12" s="20">
        <f t="shared" si="3"/>
        <v>-17.51978779840848</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13.774104683195592</v>
      </c>
      <c r="J13" s="20">
        <f t="shared" si="2"/>
        <v>1.1606782179098507</v>
      </c>
      <c r="K13" s="20">
        <f t="shared" si="3"/>
        <v>-16.403476635514025</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13.774104683195592</v>
      </c>
      <c r="J14" s="20">
        <f t="shared" si="2"/>
        <v>1.1701722130452483</v>
      </c>
      <c r="K14" s="20">
        <f t="shared" si="3"/>
        <v>-17.102493074792246</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13.774104683195592</v>
      </c>
      <c r="J15" s="20">
        <f t="shared" si="2"/>
        <v>1.1411011475077077</v>
      </c>
      <c r="K15" s="20">
        <f t="shared" si="3"/>
        <v>-14.925349716446124</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13.774104683195592</v>
      </c>
      <c r="J16" s="20">
        <f t="shared" si="2"/>
        <v>1.1189607248019584</v>
      </c>
      <c r="K16" s="20">
        <f t="shared" si="3"/>
        <v>-13.191358381502894</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13.774104683195592</v>
      </c>
      <c r="J17" s="20">
        <f t="shared" si="2"/>
        <v>1.0980920569688866</v>
      </c>
      <c r="K17" s="20">
        <f t="shared" si="3"/>
        <v>-11.492953876349365</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13.774104683195592</v>
      </c>
      <c r="J18" s="20">
        <f t="shared" si="2"/>
        <v>1.089760626233452</v>
      </c>
      <c r="K18" s="20">
        <f t="shared" si="3"/>
        <v>-10.79672869735553</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13.774104683195592</v>
      </c>
      <c r="J19" s="20">
        <f t="shared" si="2"/>
        <v>1.0701278152864075</v>
      </c>
      <c r="K19" s="20">
        <f t="shared" si="3"/>
        <v>-9.1132186234817887</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13.774104683195592</v>
      </c>
      <c r="J20" s="20">
        <f t="shared" si="2"/>
        <v>1.0032087535413285</v>
      </c>
      <c r="K20" s="20">
        <f t="shared" si="3"/>
        <v>-2.8798490374014052</v>
      </c>
      <c r="L20" s="20"/>
      <c r="M20" s="20"/>
      <c r="N20" s="20">
        <f t="shared" si="5"/>
        <v>1.0667050217702494</v>
      </c>
    </row>
    <row r="21" spans="1:24" ht="21">
      <c r="A21" s="300" t="s">
        <v>6470</v>
      </c>
      <c r="B21" s="60" t="s">
        <v>4357</v>
      </c>
      <c r="C21" s="49">
        <v>14499</v>
      </c>
      <c r="D21" s="60">
        <v>200</v>
      </c>
      <c r="E21" s="276" t="s">
        <v>4219</v>
      </c>
      <c r="F21" s="278">
        <v>1019</v>
      </c>
      <c r="G21" s="276">
        <f t="shared" si="0"/>
        <v>2810.0762499755424</v>
      </c>
      <c r="H21" s="277">
        <f t="shared" si="1"/>
        <v>14.22865554465162</v>
      </c>
      <c r="I21" s="281">
        <f t="shared" si="4"/>
        <v>13.774104683195592</v>
      </c>
      <c r="J21" s="20">
        <f t="shared" si="2"/>
        <v>0.96805384317375731</v>
      </c>
      <c r="K21" s="321">
        <f t="shared" si="3"/>
        <v>0.74003925417076566</v>
      </c>
      <c r="L21" s="20"/>
      <c r="M21" s="20"/>
      <c r="N21" s="20">
        <f>H21/H20</f>
        <v>1.0363150362094695</v>
      </c>
    </row>
    <row r="22" spans="1:24" ht="21">
      <c r="A22" s="276" t="s">
        <v>6546</v>
      </c>
      <c r="B22" s="276" t="s">
        <v>4219</v>
      </c>
      <c r="C22" s="278">
        <v>1041</v>
      </c>
      <c r="D22" s="276">
        <v>1</v>
      </c>
      <c r="E22" s="297" t="s">
        <v>5278</v>
      </c>
      <c r="F22" s="318">
        <v>1230.2</v>
      </c>
      <c r="G22" s="297">
        <f t="shared" si="0"/>
        <v>0.83560157467645824</v>
      </c>
      <c r="H22" s="297">
        <f t="shared" si="1"/>
        <v>0.84620386928954638</v>
      </c>
      <c r="I22" s="297">
        <f>$R$2/$R$3</f>
        <v>0.82813688212927761</v>
      </c>
      <c r="J22" s="97">
        <f>I22/H22</f>
        <v>0.97864936829532889</v>
      </c>
      <c r="K22" s="320">
        <f t="shared" si="3"/>
        <v>-0.37835738147351528</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11.406844106463879</v>
      </c>
      <c r="J23" s="97">
        <f t="shared" si="2"/>
        <v>1.1132123380228283</v>
      </c>
      <c r="K23" s="97">
        <f t="shared" si="3"/>
        <v>-12.729878122614446</v>
      </c>
      <c r="L23" s="97"/>
      <c r="M23" s="97"/>
      <c r="N23" s="97">
        <v>1</v>
      </c>
      <c r="P23">
        <f>I22/P22</f>
        <v>1.039199005784794</v>
      </c>
      <c r="Q23" s="94">
        <f>I22/P22</f>
        <v>1.039199005784794</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11.406844106463879</v>
      </c>
      <c r="J24" s="97">
        <f t="shared" si="2"/>
        <v>1.102502874637584</v>
      </c>
      <c r="K24" s="320">
        <f t="shared" si="3"/>
        <v>-11.857288650723829</v>
      </c>
      <c r="L24" s="97" t="s">
        <v>25</v>
      </c>
      <c r="M24" s="97" t="s">
        <v>25</v>
      </c>
      <c r="N24" s="97">
        <f>H24/H23</f>
        <v>1.0097137736613746</v>
      </c>
      <c r="P24" s="112">
        <f>R3-R2</f>
        <v>226</v>
      </c>
    </row>
    <row r="25" spans="1:24">
      <c r="A25" s="60" t="s">
        <v>6456</v>
      </c>
      <c r="B25" s="60" t="s">
        <v>4357</v>
      </c>
      <c r="C25" s="49">
        <v>14500</v>
      </c>
      <c r="D25" s="60">
        <v>32</v>
      </c>
      <c r="E25" s="150" t="s">
        <v>5917</v>
      </c>
      <c r="F25" s="230">
        <v>1973</v>
      </c>
      <c r="G25" s="150">
        <f t="shared" si="0"/>
        <v>232.22829744562071</v>
      </c>
      <c r="H25" s="150">
        <f t="shared" si="1"/>
        <v>7.3492143943233659</v>
      </c>
      <c r="I25" s="150">
        <f>$R$4/$R$1</f>
        <v>7.5</v>
      </c>
      <c r="J25" s="97">
        <f t="shared" si="2"/>
        <v>1.0205172413793102</v>
      </c>
      <c r="K25" s="97">
        <f t="shared" si="3"/>
        <v>-4.570474742355124</v>
      </c>
      <c r="L25" s="97"/>
      <c r="M25" s="97"/>
      <c r="N25" s="97">
        <v>1</v>
      </c>
      <c r="X25" t="s">
        <v>25</v>
      </c>
    </row>
    <row r="26" spans="1:24" ht="21">
      <c r="A26" s="60" t="s">
        <v>6470</v>
      </c>
      <c r="B26" s="60" t="s">
        <v>4357</v>
      </c>
      <c r="C26" s="49">
        <v>14503</v>
      </c>
      <c r="D26" s="60">
        <v>200</v>
      </c>
      <c r="E26" s="150" t="s">
        <v>5917</v>
      </c>
      <c r="F26" s="230">
        <v>1898</v>
      </c>
      <c r="G26" s="150">
        <f t="shared" si="0"/>
        <v>1509.0925581296149</v>
      </c>
      <c r="H26" s="150">
        <f t="shared" si="1"/>
        <v>7.6412012644889353</v>
      </c>
      <c r="I26" s="150">
        <f>$R$4/$R$1</f>
        <v>7.5</v>
      </c>
      <c r="J26" s="97">
        <f t="shared" si="2"/>
        <v>0.98152106460732269</v>
      </c>
      <c r="K26" s="320">
        <f t="shared" si="3"/>
        <v>-0.6773164734808601</v>
      </c>
      <c r="L26" s="97" t="s">
        <v>25</v>
      </c>
      <c r="M26" s="97" t="s">
        <v>25</v>
      </c>
      <c r="N26" s="97">
        <f>H26/H25</f>
        <v>1.039730351368046</v>
      </c>
      <c r="P26">
        <v>235</v>
      </c>
      <c r="R26" t="s">
        <v>25</v>
      </c>
    </row>
    <row r="27" spans="1:24">
      <c r="A27" s="276" t="s">
        <v>6461</v>
      </c>
      <c r="B27" s="276" t="s">
        <v>4219</v>
      </c>
      <c r="C27" s="278">
        <v>1038</v>
      </c>
      <c r="D27" s="276">
        <v>100000</v>
      </c>
      <c r="E27" s="150" t="s">
        <v>5917</v>
      </c>
      <c r="F27" s="150">
        <v>1955</v>
      </c>
      <c r="G27" s="150">
        <f t="shared" si="0"/>
        <v>52429.393600945587</v>
      </c>
      <c r="H27" s="150">
        <f t="shared" si="1"/>
        <v>0.53094629156010231</v>
      </c>
      <c r="I27" s="150">
        <f>$R$2/$R$1</f>
        <v>0.54449999999999998</v>
      </c>
      <c r="J27" s="97">
        <f t="shared" si="2"/>
        <v>1.0255274566473989</v>
      </c>
      <c r="K27" s="97">
        <f t="shared" si="3"/>
        <v>-5.0492026519555093</v>
      </c>
      <c r="L27" s="97"/>
      <c r="M27" s="97"/>
      <c r="N27" s="97">
        <v>1</v>
      </c>
      <c r="R27">
        <f>369/G22</f>
        <v>441.59801893967875</v>
      </c>
    </row>
    <row r="28" spans="1:24">
      <c r="A28" s="276" t="s">
        <v>6482</v>
      </c>
      <c r="B28" s="276" t="s">
        <v>4219</v>
      </c>
      <c r="C28" s="278">
        <v>948</v>
      </c>
      <c r="D28" s="276">
        <v>1</v>
      </c>
      <c r="E28" s="150" t="s">
        <v>5917</v>
      </c>
      <c r="F28" s="150">
        <v>1712</v>
      </c>
      <c r="G28" s="150">
        <f t="shared" ref="G28" si="6">C28*D28*0.99114/(F28*1.0037158)</f>
        <v>0.54680039535263103</v>
      </c>
      <c r="H28" s="150">
        <f t="shared" ref="H28" si="7">C28/F28</f>
        <v>0.55373831775700932</v>
      </c>
      <c r="I28" s="150">
        <f>$R$2/$R$1</f>
        <v>0.54449999999999998</v>
      </c>
      <c r="J28" s="97">
        <f>I28/H28</f>
        <v>0.98331645569620252</v>
      </c>
      <c r="K28" s="97">
        <f>(1/J28-1.0256)*100</f>
        <v>-0.86333925491104413</v>
      </c>
      <c r="L28" s="97"/>
      <c r="M28" s="97"/>
      <c r="N28" s="97">
        <f>H28/H27</f>
        <v>1.0429271784344443</v>
      </c>
      <c r="P28" t="s">
        <v>25</v>
      </c>
    </row>
    <row r="29" spans="1:24">
      <c r="A29" s="297" t="s">
        <v>5868</v>
      </c>
      <c r="B29" s="297" t="s">
        <v>5278</v>
      </c>
      <c r="C29" s="297">
        <v>1461.2</v>
      </c>
      <c r="D29" s="297">
        <v>8502</v>
      </c>
      <c r="E29" s="23" t="s">
        <v>5870</v>
      </c>
      <c r="F29" s="35">
        <v>410</v>
      </c>
      <c r="G29" s="23">
        <f>C29*D29*0.99114/(F29*1.00103)</f>
        <v>30000.936926516904</v>
      </c>
      <c r="H29" s="23">
        <f>C29/F29</f>
        <v>3.5639024390243903</v>
      </c>
      <c r="I29" s="23">
        <f>$R$3/$R$8</f>
        <v>5.26</v>
      </c>
      <c r="J29" s="97">
        <f>I29/H29</f>
        <v>1.4759102107856557</v>
      </c>
      <c r="K29" s="97">
        <f>(1/J29-1.0146358)*100</f>
        <v>-33.708780779003988</v>
      </c>
      <c r="L29" s="97"/>
      <c r="M29" s="97"/>
      <c r="N29" s="97">
        <v>1</v>
      </c>
      <c r="S29" t="s">
        <v>25</v>
      </c>
    </row>
    <row r="30" spans="1:24">
      <c r="A30" s="60" t="s">
        <v>5878</v>
      </c>
      <c r="B30" s="60" t="s">
        <v>4357</v>
      </c>
      <c r="C30" s="49">
        <v>15396.7</v>
      </c>
      <c r="D30" s="60">
        <v>835.71</v>
      </c>
      <c r="E30" s="302" t="s">
        <v>5879</v>
      </c>
      <c r="F30" s="319">
        <v>490</v>
      </c>
      <c r="G30" s="302">
        <f>C30*D30*0.99114/(F30*1.00103)</f>
        <v>26000.103518373991</v>
      </c>
      <c r="H30" s="302">
        <f t="shared" si="1"/>
        <v>31.42183673469388</v>
      </c>
      <c r="I30" s="302">
        <f>$R$4/$R$6</f>
        <v>34.090909090909093</v>
      </c>
      <c r="J30" s="97">
        <f t="shared" si="2"/>
        <v>1.0849432316370038</v>
      </c>
      <c r="K30" s="97">
        <f>(1/J30-1.0146358)*100</f>
        <v>-9.2928589115646272</v>
      </c>
      <c r="L30" s="97"/>
      <c r="M30" s="97"/>
      <c r="N30" s="97">
        <v>1</v>
      </c>
      <c r="S30" t="s">
        <v>25</v>
      </c>
    </row>
    <row r="31" spans="1:24">
      <c r="A31" s="94"/>
      <c r="B31" s="113"/>
      <c r="C31" s="113"/>
      <c r="D31" s="94"/>
      <c r="E31" s="94"/>
      <c r="F31" s="94"/>
      <c r="G31" s="94"/>
      <c r="H31" s="94"/>
      <c r="I31" s="94"/>
      <c r="J31" s="94"/>
      <c r="K31" s="94"/>
      <c r="L31" s="94"/>
      <c r="M31" s="94"/>
      <c r="N31" s="94"/>
      <c r="R31" t="s">
        <v>25</v>
      </c>
      <c r="W31" t="s">
        <v>25</v>
      </c>
    </row>
    <row r="32" spans="1:24">
      <c r="A32" s="276" t="s">
        <v>6470</v>
      </c>
      <c r="B32" s="276" t="s">
        <v>4219</v>
      </c>
      <c r="C32" s="278">
        <v>1019</v>
      </c>
      <c r="D32" s="276">
        <v>10000</v>
      </c>
      <c r="E32" s="302" t="s">
        <v>5879</v>
      </c>
      <c r="F32" s="319">
        <v>390</v>
      </c>
      <c r="G32" s="302">
        <v>10000</v>
      </c>
      <c r="H32" s="302"/>
      <c r="I32" s="319">
        <f>C32*D32*0.99114-F32*G32*1.00125</f>
        <v>6194841.5999999996</v>
      </c>
      <c r="J32" s="97">
        <f>(G32*$R$6*0.99875+I32)/(R2*1.0037158)</f>
        <v>9687.9149605574221</v>
      </c>
      <c r="K32" s="97">
        <f>J32-D32</f>
        <v>-312.08503944257791</v>
      </c>
      <c r="L32" s="97"/>
      <c r="M32" s="97"/>
      <c r="N32" s="97"/>
      <c r="R32" t="s">
        <v>25</v>
      </c>
    </row>
    <row r="33" spans="1:20">
      <c r="A33" s="276" t="s">
        <v>6490</v>
      </c>
      <c r="B33" s="276" t="s">
        <v>4219</v>
      </c>
      <c r="C33" s="278">
        <v>990</v>
      </c>
      <c r="D33" s="276">
        <v>4000</v>
      </c>
      <c r="E33" s="302" t="s">
        <v>5879</v>
      </c>
      <c r="F33" s="319">
        <v>360</v>
      </c>
      <c r="G33" s="302">
        <v>4000</v>
      </c>
      <c r="H33" s="302"/>
      <c r="I33" s="319">
        <f>C33*D33*0.99114-F33*G33*1.00125</f>
        <v>2483114.4</v>
      </c>
      <c r="J33" s="97">
        <f>(G33*$R$6*0.99875+I33)/(R2*1.0037158)</f>
        <v>3879.9029830337527</v>
      </c>
      <c r="K33" s="97">
        <f>J33-D33</f>
        <v>-120.09701696624734</v>
      </c>
      <c r="L33" s="97"/>
      <c r="M33" s="97"/>
      <c r="N33" s="97"/>
      <c r="T33" t="s">
        <v>25</v>
      </c>
    </row>
    <row r="34" spans="1:20">
      <c r="A34" s="276" t="s">
        <v>6494</v>
      </c>
      <c r="B34" s="276" t="s">
        <v>4219</v>
      </c>
      <c r="C34" s="278">
        <v>930</v>
      </c>
      <c r="D34" s="276">
        <v>99000</v>
      </c>
      <c r="E34" s="302" t="s">
        <v>5879</v>
      </c>
      <c r="F34" s="319">
        <v>300</v>
      </c>
      <c r="G34" s="302">
        <v>99000</v>
      </c>
      <c r="H34" s="302"/>
      <c r="I34" s="319">
        <f>C34*D34*0.99114-F34*G34*1.00125</f>
        <v>61517134.799999997</v>
      </c>
      <c r="J34" s="97">
        <f>(G34*$R$6*0.99875+I34)/(R2*1.0037158)</f>
        <v>96082.540133734714</v>
      </c>
      <c r="K34" s="97">
        <f>J34-D34</f>
        <v>-2917.4598662652861</v>
      </c>
      <c r="L34" s="97"/>
      <c r="M34" s="97"/>
      <c r="N34" s="97"/>
      <c r="P34">
        <f>C32/F32</f>
        <v>2.6128205128205129</v>
      </c>
      <c r="Q34">
        <f>R2/R6</f>
        <v>2.4750000000000001</v>
      </c>
    </row>
    <row r="35" spans="1:20">
      <c r="A35" s="276" t="s">
        <v>6547</v>
      </c>
      <c r="B35" s="276" t="s">
        <v>4219</v>
      </c>
      <c r="C35" s="278"/>
      <c r="D35" s="276"/>
      <c r="E35" s="302"/>
      <c r="F35" s="319"/>
      <c r="G35" s="302"/>
      <c r="H35" s="302"/>
      <c r="I35" s="319"/>
      <c r="J35" s="97"/>
      <c r="K35" s="97"/>
      <c r="L35" s="97"/>
      <c r="M35" s="97"/>
      <c r="N35" s="97"/>
      <c r="P35" s="112">
        <f>C32-F32</f>
        <v>629</v>
      </c>
      <c r="Q35" s="112">
        <f>R2-R6</f>
        <v>649</v>
      </c>
      <c r="T35" t="s">
        <v>25</v>
      </c>
    </row>
    <row r="36" spans="1:20">
      <c r="A36" s="94"/>
      <c r="B36" s="94"/>
      <c r="C36" s="94"/>
      <c r="D36" s="94"/>
      <c r="E36" s="94"/>
      <c r="F36" s="94"/>
      <c r="G36" s="94"/>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5535</v>
      </c>
      <c r="B38" s="97"/>
      <c r="C38" s="97"/>
      <c r="D38" s="97"/>
      <c r="E38" s="97"/>
      <c r="F38" s="97"/>
      <c r="G38" s="97"/>
      <c r="H38" s="97"/>
      <c r="I38" s="97"/>
      <c r="J38" s="97"/>
      <c r="K38" s="97"/>
      <c r="L38" s="97"/>
      <c r="M38" s="97"/>
      <c r="N38" s="97"/>
      <c r="S38" t="s">
        <v>25</v>
      </c>
      <c r="T38" t="s">
        <v>25</v>
      </c>
    </row>
    <row r="39" spans="1:20">
      <c r="A39" s="274" t="s">
        <v>5762</v>
      </c>
      <c r="B39" s="274" t="s">
        <v>4361</v>
      </c>
      <c r="C39" s="274">
        <v>21532</v>
      </c>
      <c r="D39" s="274">
        <v>1859</v>
      </c>
      <c r="E39" s="276" t="s">
        <v>4219</v>
      </c>
      <c r="F39" s="276">
        <v>1187</v>
      </c>
      <c r="G39" s="276">
        <f>C39*D39*0.99114/(F39*1.0037158)</f>
        <v>33299.467209851166</v>
      </c>
      <c r="H39" s="276">
        <f>C39/F39</f>
        <v>18.139848357203032</v>
      </c>
      <c r="I39" s="276">
        <f>$R$5/$R$2</f>
        <v>20.110192837465565</v>
      </c>
      <c r="J39" s="97">
        <f>I39/H39</f>
        <v>1.1086196775994626</v>
      </c>
      <c r="K39" s="97">
        <f>(1/J39-1.0256)*100</f>
        <v>-12.357740360757541</v>
      </c>
      <c r="L39" s="97"/>
      <c r="M39" s="97"/>
      <c r="N39" s="97">
        <v>1</v>
      </c>
    </row>
    <row r="40" spans="1:20">
      <c r="A40" s="274" t="s">
        <v>5768</v>
      </c>
      <c r="B40" s="274" t="s">
        <v>4361</v>
      </c>
      <c r="C40" s="274">
        <v>22420.1</v>
      </c>
      <c r="D40" s="274">
        <v>1000</v>
      </c>
      <c r="E40" s="276" t="s">
        <v>4219</v>
      </c>
      <c r="F40" s="276">
        <v>1161</v>
      </c>
      <c r="G40" s="276">
        <f>C40*D40*0.99114/(F40*1.0037158)</f>
        <v>19069.072437793271</v>
      </c>
      <c r="H40" s="276">
        <f>C40/F40</f>
        <v>19.311024978466836</v>
      </c>
      <c r="I40" s="276">
        <f>$R$5/$R$2</f>
        <v>20.110192837465565</v>
      </c>
      <c r="J40" s="97">
        <f>I40/H40</f>
        <v>1.04138402078035</v>
      </c>
      <c r="K40" s="97">
        <f>(1/J40-1.0256)*100</f>
        <v>-6.533944285158066</v>
      </c>
      <c r="L40" s="97" t="s">
        <v>25</v>
      </c>
      <c r="M40" s="97"/>
      <c r="N40" s="97">
        <f>H40/H39</f>
        <v>1.064563749277361</v>
      </c>
      <c r="Q40" t="s">
        <v>25</v>
      </c>
    </row>
    <row r="41" spans="1:20">
      <c r="A41" s="274" t="s">
        <v>5770</v>
      </c>
      <c r="B41" s="274" t="s">
        <v>4361</v>
      </c>
      <c r="C41" s="274">
        <v>23233.1</v>
      </c>
      <c r="D41" s="274">
        <v>1000</v>
      </c>
      <c r="E41" s="276" t="s">
        <v>4219</v>
      </c>
      <c r="F41" s="276">
        <v>1152</v>
      </c>
      <c r="G41" s="276">
        <f>C41*D41*0.99114/(F41*1.0037158)</f>
        <v>19914.936480069027</v>
      </c>
      <c r="H41" s="276">
        <f>C41/F41</f>
        <v>20.167621527777776</v>
      </c>
      <c r="I41" s="276">
        <f>$R$5/$R$2</f>
        <v>20.110192837465565</v>
      </c>
      <c r="J41" s="97">
        <f>I41/H41</f>
        <v>0.9971524311762241</v>
      </c>
      <c r="K41" s="97">
        <f>(1/J41-1.0256)*100</f>
        <v>-2.2744299372146282</v>
      </c>
      <c r="L41" s="97"/>
      <c r="M41" s="97"/>
      <c r="N41" s="97">
        <f>H41/H40</f>
        <v>1.0443579017823292</v>
      </c>
      <c r="Q41" t="s">
        <v>25</v>
      </c>
    </row>
    <row r="42" spans="1:20">
      <c r="A42" s="274" t="s">
        <v>5772</v>
      </c>
      <c r="B42" s="274" t="s">
        <v>4361</v>
      </c>
      <c r="C42" s="274">
        <v>23900</v>
      </c>
      <c r="D42" s="274">
        <v>1000</v>
      </c>
      <c r="E42" s="276" t="s">
        <v>4219</v>
      </c>
      <c r="F42" s="276">
        <v>1153</v>
      </c>
      <c r="G42" s="276">
        <f>C42*D42*0.99114/(F42*1.0037158)</f>
        <v>20468.821398374203</v>
      </c>
      <c r="H42" s="276">
        <f>C42/F42</f>
        <v>20.7285342584562</v>
      </c>
      <c r="I42" s="276">
        <f>$R$5/$R$2</f>
        <v>20.110192837465565</v>
      </c>
      <c r="J42" s="97">
        <f>I42/H42</f>
        <v>0.97016955404174887</v>
      </c>
      <c r="K42" s="97">
        <f>(1/J42-1.0256)*100</f>
        <v>0.51476624410411453</v>
      </c>
      <c r="L42" s="97"/>
      <c r="M42" s="97"/>
      <c r="N42" s="97">
        <f>H42/H41</f>
        <v>1.0278125375322942</v>
      </c>
      <c r="R42" t="s">
        <v>25</v>
      </c>
    </row>
    <row r="43" spans="1:20">
      <c r="A43" s="274" t="s">
        <v>5785</v>
      </c>
      <c r="B43" s="274" t="s">
        <v>4361</v>
      </c>
      <c r="C43" s="274">
        <v>22500</v>
      </c>
      <c r="D43" s="274">
        <v>2000</v>
      </c>
      <c r="E43" s="276" t="s">
        <v>4219</v>
      </c>
      <c r="F43" s="276">
        <v>1093</v>
      </c>
      <c r="G43" s="276">
        <f>C43*D43*0.99114/(F43*1.0037158)</f>
        <v>40655.246136679802</v>
      </c>
      <c r="H43" s="276">
        <f>C43/F43</f>
        <v>20.585544373284538</v>
      </c>
      <c r="I43" s="276">
        <f>$R$5/$R$2</f>
        <v>20.110192837465565</v>
      </c>
      <c r="J43" s="97">
        <f>I43/H43</f>
        <v>0.97690847872666053</v>
      </c>
      <c r="K43" s="97">
        <f>(1/J43-1.0256)*100</f>
        <v>-0.19626565065360424</v>
      </c>
      <c r="L43" s="97"/>
      <c r="M43" s="97"/>
      <c r="N43" s="97">
        <f>H43/H42</f>
        <v>0.99310178503753443</v>
      </c>
    </row>
    <row r="44" spans="1:20">
      <c r="A44" s="94"/>
      <c r="N44" s="94"/>
    </row>
    <row r="45" spans="1:20">
      <c r="A45" s="94"/>
      <c r="N45" s="94"/>
      <c r="R45" t="s">
        <v>25</v>
      </c>
    </row>
    <row r="46" spans="1:20">
      <c r="A46" s="94"/>
    </row>
    <row r="47" spans="1:20">
      <c r="A47" s="97"/>
      <c r="B47" s="97"/>
      <c r="C47" s="97"/>
      <c r="D47" s="97"/>
      <c r="G47" t="s">
        <v>6523</v>
      </c>
    </row>
    <row r="48" spans="1:20">
      <c r="A48" s="97" t="s">
        <v>5879</v>
      </c>
      <c r="B48" s="97">
        <v>620</v>
      </c>
      <c r="C48" s="97">
        <v>164000</v>
      </c>
      <c r="D48" s="93">
        <f>C48*B48</f>
        <v>101680000</v>
      </c>
      <c r="G48">
        <v>2760</v>
      </c>
      <c r="H48">
        <v>932</v>
      </c>
    </row>
    <row r="49" spans="1:19">
      <c r="A49" s="97" t="s">
        <v>6491</v>
      </c>
      <c r="B49" s="97">
        <v>720</v>
      </c>
      <c r="C49" s="97">
        <v>0</v>
      </c>
      <c r="D49" s="93">
        <f>C49*B49</f>
        <v>0</v>
      </c>
      <c r="J49" t="s">
        <v>25</v>
      </c>
    </row>
    <row r="50" spans="1:19">
      <c r="A50" s="97" t="s">
        <v>5870</v>
      </c>
      <c r="B50" s="97">
        <v>820</v>
      </c>
      <c r="C50" s="97">
        <v>0</v>
      </c>
      <c r="D50" s="93">
        <f>C50*B50</f>
        <v>0</v>
      </c>
      <c r="R50" t="s">
        <v>25</v>
      </c>
    </row>
    <row r="51" spans="1:19">
      <c r="A51" s="97"/>
      <c r="B51" s="97"/>
      <c r="C51" s="97"/>
      <c r="D51" s="93"/>
      <c r="G51" t="s">
        <v>6524</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101680000</v>
      </c>
    </row>
    <row r="60" spans="1:19">
      <c r="A60" s="97"/>
      <c r="B60" s="97"/>
      <c r="C60" s="97"/>
      <c r="D60" s="97"/>
    </row>
    <row r="61" spans="1:19">
      <c r="A61" s="97" t="s">
        <v>6499</v>
      </c>
      <c r="B61" s="93">
        <v>94000000</v>
      </c>
      <c r="C61" s="97"/>
      <c r="D61" s="97"/>
    </row>
    <row r="62" spans="1:19">
      <c r="A62" s="97"/>
      <c r="B62" s="97"/>
      <c r="C62" s="97"/>
      <c r="D62" s="97"/>
    </row>
    <row r="63" spans="1:19">
      <c r="A63" s="97" t="s">
        <v>4595</v>
      </c>
      <c r="B63" s="93">
        <f>D59-B61</f>
        <v>7680000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1076</v>
      </c>
      <c r="H4" s="115">
        <f>C4*G4</f>
        <v>317420000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344575261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1076</v>
      </c>
      <c r="H19" s="115">
        <f>C19*G19</f>
        <v>13919136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293475764</v>
      </c>
    </row>
    <row r="26" spans="1:8">
      <c r="D26" t="s">
        <v>5403</v>
      </c>
      <c r="E26" s="112">
        <f>'خرید خانه'!H10+'خرید خانه'!H23-'خرید خانه'!D10-'خرید خانه'!D23</f>
        <v>336351025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2021-06-20T10:19:40Z</dcterms:modified>
</cp:coreProperties>
</file>