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3" activeTab="12"/>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72" i="63" l="1"/>
  <c r="J72" i="63" s="1"/>
  <c r="L72" i="63"/>
  <c r="I73" i="63"/>
  <c r="I74" i="63"/>
  <c r="J74" i="63" s="1"/>
  <c r="K74" i="63" s="1"/>
  <c r="G73" i="63"/>
  <c r="H73" i="63"/>
  <c r="L73" i="63" s="1"/>
  <c r="K72" i="63" l="1"/>
  <c r="L74" i="63"/>
  <c r="J73" i="63"/>
  <c r="K73" i="63" s="1"/>
  <c r="T142" i="18"/>
  <c r="T73" i="18"/>
  <c r="I71" i="63"/>
  <c r="G72" i="63"/>
  <c r="H72" i="63"/>
  <c r="I69" i="63" l="1"/>
  <c r="I70" i="63"/>
  <c r="G71" i="63"/>
  <c r="H71" i="63"/>
  <c r="L71" i="63" s="1"/>
  <c r="G70" i="63"/>
  <c r="H70" i="63"/>
  <c r="O33" i="18"/>
  <c r="O34" i="18"/>
  <c r="O40" i="18"/>
  <c r="J71" i="63" l="1"/>
  <c r="K71" i="63" s="1"/>
  <c r="J70" i="63"/>
  <c r="K70" i="63" s="1"/>
  <c r="P85" i="63"/>
  <c r="T141" i="18" l="1"/>
  <c r="I68" i="63"/>
  <c r="G69" i="63"/>
  <c r="H69" i="63"/>
  <c r="L70" i="63" l="1"/>
  <c r="J69" i="63"/>
  <c r="K69" i="63" s="1"/>
  <c r="X594" i="18"/>
  <c r="S176" i="18" l="1"/>
  <c r="T140" i="18"/>
  <c r="T139" i="18"/>
  <c r="T72" i="18"/>
  <c r="P17" i="18"/>
  <c r="I67" i="63"/>
  <c r="G68" i="63"/>
  <c r="H68" i="63"/>
  <c r="L69" i="63" s="1"/>
  <c r="J68" i="63" l="1"/>
  <c r="K68" i="63" s="1"/>
  <c r="T138" i="18"/>
  <c r="T137" i="18"/>
  <c r="T99" i="18"/>
  <c r="T71" i="18"/>
  <c r="I66" i="63"/>
  <c r="G67" i="63"/>
  <c r="H67" i="63"/>
  <c r="I65" i="63"/>
  <c r="I98" i="63"/>
  <c r="I99" i="63"/>
  <c r="I100" i="63"/>
  <c r="G99" i="63"/>
  <c r="H99" i="63"/>
  <c r="G66" i="63"/>
  <c r="H66" i="63"/>
  <c r="L67" i="63" l="1"/>
  <c r="L68" i="63"/>
  <c r="J67" i="63"/>
  <c r="K67" i="63" s="1"/>
  <c r="J66" i="63"/>
  <c r="K66" i="63" s="1"/>
  <c r="J99" i="63"/>
  <c r="K99" i="63" s="1"/>
  <c r="T136" i="18"/>
  <c r="T135" i="18"/>
  <c r="I63" i="63"/>
  <c r="I64" i="63"/>
  <c r="G65" i="63"/>
  <c r="H65" i="63"/>
  <c r="L66" i="63" s="1"/>
  <c r="G98" i="63"/>
  <c r="J65" i="63" l="1"/>
  <c r="K65" i="63" s="1"/>
  <c r="G64" i="63"/>
  <c r="H64" i="63"/>
  <c r="L65" i="63" l="1"/>
  <c r="J64" i="63"/>
  <c r="K64" i="63" s="1"/>
  <c r="T134" i="18"/>
  <c r="L45" i="18"/>
  <c r="I62" i="63"/>
  <c r="G63" i="63"/>
  <c r="H63" i="63"/>
  <c r="L64" i="63" l="1"/>
  <c r="J63" i="63"/>
  <c r="K63" i="63" s="1"/>
  <c r="T70" i="18"/>
  <c r="T69" i="18" l="1"/>
  <c r="T68" i="18" l="1"/>
  <c r="T67" i="18" l="1"/>
  <c r="I103" i="63"/>
  <c r="H103" i="63"/>
  <c r="H105" i="63"/>
  <c r="I105" i="63"/>
  <c r="H108" i="63"/>
  <c r="I108" i="63"/>
  <c r="G103" i="63"/>
  <c r="J108" i="63" l="1"/>
  <c r="K108" i="63" s="1"/>
  <c r="J105" i="63"/>
  <c r="K105" i="63" s="1"/>
  <c r="J103" i="63"/>
  <c r="K103"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7" i="63"/>
  <c r="I97" i="63"/>
  <c r="T66" i="18" l="1"/>
  <c r="H97" i="63"/>
  <c r="I95" i="63"/>
  <c r="I96" i="63"/>
  <c r="G96" i="63"/>
  <c r="H96" i="63"/>
  <c r="L97" i="63" l="1"/>
  <c r="J97" i="63"/>
  <c r="K97" i="63" s="1"/>
  <c r="J96" i="63"/>
  <c r="K96" i="63" s="1"/>
  <c r="T65" i="18" l="1"/>
  <c r="H93" i="63"/>
  <c r="I93" i="63"/>
  <c r="H94" i="63"/>
  <c r="L94" i="63" s="1"/>
  <c r="I94" i="63"/>
  <c r="H95" i="63"/>
  <c r="H98" i="63"/>
  <c r="H100" i="63"/>
  <c r="L100" i="63" s="1"/>
  <c r="L98" i="63" l="1"/>
  <c r="L99" i="63"/>
  <c r="L95" i="63"/>
  <c r="L96" i="63"/>
  <c r="J100" i="63"/>
  <c r="K100" i="63" s="1"/>
  <c r="J98" i="63"/>
  <c r="K98" i="63" s="1"/>
  <c r="J95" i="63"/>
  <c r="K95" i="63" s="1"/>
  <c r="J94" i="63"/>
  <c r="K94" i="63" s="1"/>
  <c r="J93" i="63"/>
  <c r="K93" i="63" s="1"/>
  <c r="T64" i="18"/>
  <c r="G94" i="63"/>
  <c r="G50" i="10"/>
  <c r="K3" i="73" l="1"/>
  <c r="T63" i="18" l="1"/>
  <c r="I92" i="63"/>
  <c r="G93" i="63"/>
  <c r="T62" i="18" l="1"/>
  <c r="I90" i="63"/>
  <c r="I91" i="63"/>
  <c r="G92" i="63"/>
  <c r="H92" i="63"/>
  <c r="L93" i="63" l="1"/>
  <c r="J92" i="63"/>
  <c r="K92" i="63" s="1"/>
  <c r="T61" i="18"/>
  <c r="G91" i="63"/>
  <c r="H91" i="63"/>
  <c r="L92" i="63" l="1"/>
  <c r="J91" i="63"/>
  <c r="K91" i="63" s="1"/>
  <c r="T60" i="18"/>
  <c r="I89" i="63"/>
  <c r="G90" i="63"/>
  <c r="H90" i="63"/>
  <c r="L91" i="63" l="1"/>
  <c r="J90" i="63"/>
  <c r="K90" i="63" s="1"/>
  <c r="G76" i="10" l="1"/>
  <c r="T59" i="18" l="1"/>
  <c r="T58" i="18" l="1"/>
  <c r="I87" i="63"/>
  <c r="I88" i="63"/>
  <c r="G88" i="63" l="1"/>
  <c r="H88" i="63"/>
  <c r="G89" i="63"/>
  <c r="H89" i="63"/>
  <c r="G95" i="63"/>
  <c r="G100" i="63"/>
  <c r="I85" i="63"/>
  <c r="I86" i="63"/>
  <c r="J88" i="63" l="1"/>
  <c r="K88" i="63" s="1"/>
  <c r="L89" i="63"/>
  <c r="L90" i="63"/>
  <c r="J89" i="63"/>
  <c r="K89" i="63" s="1"/>
  <c r="T57" i="18"/>
  <c r="T56" i="18"/>
  <c r="I61" i="63"/>
  <c r="G62" i="63"/>
  <c r="H62" i="63"/>
  <c r="G87" i="63"/>
  <c r="H87" i="63"/>
  <c r="L88" i="63" s="1"/>
  <c r="L63" i="63" l="1"/>
  <c r="J62" i="63"/>
  <c r="K62" i="63" s="1"/>
  <c r="J87" i="63"/>
  <c r="K87" i="63" s="1"/>
  <c r="T55" i="18"/>
  <c r="T54" i="18"/>
  <c r="G61" i="63"/>
  <c r="H61" i="63"/>
  <c r="G86" i="63"/>
  <c r="H86" i="63"/>
  <c r="T98" i="18"/>
  <c r="P40" i="18"/>
  <c r="N40" i="18" s="1"/>
  <c r="L87" i="63" l="1"/>
  <c r="L62" i="63"/>
  <c r="J61" i="63"/>
  <c r="K61" i="63" s="1"/>
  <c r="J86" i="63"/>
  <c r="K86" i="63" s="1"/>
  <c r="I81" i="63"/>
  <c r="I82" i="63"/>
  <c r="I83" i="63"/>
  <c r="I84" i="63"/>
  <c r="G85" i="63"/>
  <c r="H85" i="63"/>
  <c r="G84" i="63"/>
  <c r="H84" i="63"/>
  <c r="G83" i="63"/>
  <c r="H83" i="63"/>
  <c r="G82" i="63"/>
  <c r="H82" i="63"/>
  <c r="I78" i="63"/>
  <c r="I79" i="63"/>
  <c r="I80" i="63"/>
  <c r="G81" i="63"/>
  <c r="H81" i="63"/>
  <c r="G80" i="63"/>
  <c r="H80" i="63"/>
  <c r="G79" i="63"/>
  <c r="H79" i="63"/>
  <c r="G78" i="63"/>
  <c r="H78" i="63"/>
  <c r="G77" i="63"/>
  <c r="H77" i="63"/>
  <c r="I77" i="63"/>
  <c r="L83" i="63" l="1"/>
  <c r="L85" i="63"/>
  <c r="L79" i="63"/>
  <c r="L81" i="63"/>
  <c r="L82" i="63"/>
  <c r="L84" i="63"/>
  <c r="L78" i="63"/>
  <c r="L80" i="63"/>
  <c r="L86" i="63"/>
  <c r="J77" i="63"/>
  <c r="K77" i="63" s="1"/>
  <c r="J85" i="63"/>
  <c r="K85" i="63" s="1"/>
  <c r="J84" i="63"/>
  <c r="K84" i="63" s="1"/>
  <c r="J83" i="63"/>
  <c r="K83" i="63" s="1"/>
  <c r="J82" i="63"/>
  <c r="K82" i="63" s="1"/>
  <c r="J81" i="63"/>
  <c r="K81" i="63" s="1"/>
  <c r="J78" i="63"/>
  <c r="K78" i="63" s="1"/>
  <c r="J80" i="63"/>
  <c r="K80" i="63" s="1"/>
  <c r="J79" i="63"/>
  <c r="K79" i="63" s="1"/>
  <c r="K71" i="18"/>
  <c r="T133" i="18" l="1"/>
  <c r="T132" i="18"/>
  <c r="I101" i="63"/>
  <c r="H101" i="63"/>
  <c r="G101" i="63"/>
  <c r="T53" i="18"/>
  <c r="J101" i="63" l="1"/>
  <c r="K101" i="63" s="1"/>
  <c r="T131" i="18"/>
  <c r="N16" i="74"/>
  <c r="T113" i="18" l="1"/>
  <c r="P34" i="18"/>
  <c r="G76" i="63"/>
  <c r="H76" i="63"/>
  <c r="I76" i="63"/>
  <c r="T41" i="18"/>
  <c r="L77" i="63" l="1"/>
  <c r="J76" i="63"/>
  <c r="K76"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75" i="63"/>
  <c r="P28" i="18"/>
  <c r="N28" i="18" s="1"/>
  <c r="T52" i="18" l="1"/>
  <c r="I58" i="63" l="1"/>
  <c r="I59" i="63"/>
  <c r="I60" i="63"/>
  <c r="G74" i="63"/>
  <c r="H74" i="63"/>
  <c r="X593" i="18" l="1"/>
  <c r="X592" i="18"/>
  <c r="G75" i="63" l="1"/>
  <c r="O8" i="63" l="1"/>
  <c r="F3" i="63" s="1"/>
  <c r="G3" i="63" l="1"/>
  <c r="T51" i="18"/>
  <c r="G75" i="10" l="1"/>
  <c r="T50" i="18" l="1"/>
  <c r="X591" i="18" l="1"/>
  <c r="X590" i="18" l="1"/>
  <c r="X589" i="18" l="1"/>
  <c r="X588" i="18" l="1"/>
  <c r="X587" i="18" l="1"/>
  <c r="L46" i="18" l="1"/>
  <c r="X586" i="18"/>
  <c r="X585" i="18" l="1"/>
  <c r="X596" i="18"/>
  <c r="X597" i="18"/>
  <c r="L47" i="18"/>
  <c r="T49" i="18" l="1"/>
  <c r="I57" i="63" l="1"/>
  <c r="P27" i="18" l="1"/>
  <c r="T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0" i="18" l="1"/>
  <c r="J14" i="75"/>
  <c r="J15" i="75"/>
  <c r="J16" i="75"/>
  <c r="J17" i="75"/>
  <c r="J18" i="75"/>
  <c r="J19" i="75"/>
  <c r="J2" i="75"/>
  <c r="J3" i="75"/>
  <c r="J4" i="75"/>
  <c r="J5" i="75"/>
  <c r="J6" i="75"/>
  <c r="J7" i="75"/>
  <c r="J8" i="75"/>
  <c r="J9" i="75"/>
  <c r="J10" i="75"/>
  <c r="J11" i="75"/>
  <c r="J12" i="75"/>
  <c r="E10" i="73"/>
  <c r="D10" i="73"/>
  <c r="K7" i="73" l="1"/>
  <c r="I7" i="73"/>
  <c r="G7" i="73"/>
  <c r="E7" i="73"/>
  <c r="C7" i="73"/>
  <c r="T129" i="18" l="1"/>
  <c r="G48" i="63"/>
  <c r="E5" i="73" l="1"/>
  <c r="E2" i="73"/>
  <c r="F2" i="73" s="1"/>
  <c r="T128" i="18"/>
  <c r="G47" i="63"/>
  <c r="I133" i="63"/>
  <c r="I134" i="63"/>
  <c r="G134" i="63"/>
  <c r="H134" i="63"/>
  <c r="G133" i="63"/>
  <c r="H133" i="63"/>
  <c r="H45" i="63"/>
  <c r="I45" i="63"/>
  <c r="G46" i="63"/>
  <c r="L46" i="63" l="1"/>
  <c r="J45" i="63"/>
  <c r="K45" i="63" s="1"/>
  <c r="J134" i="63"/>
  <c r="K134" i="63" s="1"/>
  <c r="L134" i="63"/>
  <c r="J133" i="63"/>
  <c r="K133"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4" i="18"/>
  <c r="F12" i="74" l="1"/>
  <c r="T127" i="18" l="1"/>
  <c r="G41" i="63"/>
  <c r="H41" i="63"/>
  <c r="I41" i="63"/>
  <c r="G42" i="63"/>
  <c r="H42" i="63"/>
  <c r="I42" i="63"/>
  <c r="G43" i="63"/>
  <c r="H43" i="63"/>
  <c r="I43" i="63"/>
  <c r="G44" i="63"/>
  <c r="H44" i="63"/>
  <c r="I44" i="63"/>
  <c r="G45" i="63"/>
  <c r="E12" i="73"/>
  <c r="G132" i="63"/>
  <c r="H132" i="63"/>
  <c r="L133" i="63" s="1"/>
  <c r="I130" i="63"/>
  <c r="I131" i="63"/>
  <c r="I132" i="63"/>
  <c r="I136" i="63"/>
  <c r="J136" i="63" s="1"/>
  <c r="K136" i="63" s="1"/>
  <c r="L136" i="63"/>
  <c r="G131" i="63"/>
  <c r="H131" i="63"/>
  <c r="G35" i="63"/>
  <c r="H35" i="63"/>
  <c r="I35" i="63"/>
  <c r="G36" i="63"/>
  <c r="H36" i="63"/>
  <c r="I36" i="63"/>
  <c r="G37" i="63"/>
  <c r="H37" i="63"/>
  <c r="L37" i="63" s="1"/>
  <c r="I37" i="63"/>
  <c r="G38" i="63"/>
  <c r="H38" i="63"/>
  <c r="I38" i="63"/>
  <c r="G39" i="63"/>
  <c r="H39" i="63"/>
  <c r="I39" i="63"/>
  <c r="G40" i="63"/>
  <c r="H40" i="63"/>
  <c r="I40" i="63"/>
  <c r="P26" i="18"/>
  <c r="L40" i="63" l="1"/>
  <c r="L36" i="63"/>
  <c r="L44" i="63"/>
  <c r="L45" i="63"/>
  <c r="L38" i="63"/>
  <c r="L41" i="63"/>
  <c r="L39" i="63"/>
  <c r="L42" i="63"/>
  <c r="L43" i="63"/>
  <c r="J132" i="63"/>
  <c r="K132" i="63" s="1"/>
  <c r="J44" i="63"/>
  <c r="K44" i="63" s="1"/>
  <c r="J41" i="63"/>
  <c r="K41" i="63" s="1"/>
  <c r="J42" i="63"/>
  <c r="K42" i="63" s="1"/>
  <c r="J43" i="63"/>
  <c r="K43" i="63" s="1"/>
  <c r="J39" i="63"/>
  <c r="K39" i="63" s="1"/>
  <c r="J35" i="63"/>
  <c r="K35" i="63" s="1"/>
  <c r="L132" i="63"/>
  <c r="J131" i="63"/>
  <c r="K131" i="63" s="1"/>
  <c r="J38" i="63"/>
  <c r="K38" i="63" s="1"/>
  <c r="J37" i="63"/>
  <c r="K37" i="63" s="1"/>
  <c r="J36" i="63"/>
  <c r="K36" i="63" s="1"/>
  <c r="J40" i="63"/>
  <c r="K40" i="63" s="1"/>
  <c r="T126" i="18"/>
  <c r="G34" i="63"/>
  <c r="H34" i="63"/>
  <c r="G33" i="63"/>
  <c r="H33" i="63"/>
  <c r="G32" i="63"/>
  <c r="H32" i="63"/>
  <c r="I30" i="63"/>
  <c r="I31" i="63"/>
  <c r="I32" i="63"/>
  <c r="I33" i="63"/>
  <c r="I34" i="63"/>
  <c r="G31" i="63"/>
  <c r="H31" i="63"/>
  <c r="I129" i="63"/>
  <c r="G130" i="63"/>
  <c r="H130" i="63"/>
  <c r="I127" i="63"/>
  <c r="I128" i="63"/>
  <c r="G129" i="63"/>
  <c r="H129" i="63"/>
  <c r="L32" i="63" l="1"/>
  <c r="L34" i="63"/>
  <c r="L33" i="63"/>
  <c r="L35" i="63"/>
  <c r="L130" i="63"/>
  <c r="J130" i="63"/>
  <c r="K130" i="63" s="1"/>
  <c r="L131" i="63"/>
  <c r="J32" i="63"/>
  <c r="K32" i="63" s="1"/>
  <c r="J33" i="63"/>
  <c r="K33" i="63" s="1"/>
  <c r="J31" i="63"/>
  <c r="K31" i="63" s="1"/>
  <c r="J34" i="63"/>
  <c r="K34" i="63" s="1"/>
  <c r="J129" i="63"/>
  <c r="K129" i="63" s="1"/>
  <c r="X583" i="18" l="1"/>
  <c r="T125" i="18"/>
  <c r="H127" i="63"/>
  <c r="H128" i="63"/>
  <c r="L129" i="63" s="1"/>
  <c r="G128" i="63"/>
  <c r="L128" i="63" l="1"/>
  <c r="J128" i="63"/>
  <c r="K128" i="63" s="1"/>
  <c r="J127" i="63"/>
  <c r="K127"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82"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80" i="18"/>
  <c r="X581"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79" i="18"/>
  <c r="X578" i="18"/>
  <c r="X577"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0" i="63" l="1"/>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L127" i="63" s="1"/>
  <c r="I126" i="63"/>
  <c r="G127" i="63"/>
  <c r="J120" i="63" l="1"/>
  <c r="K120" i="63" s="1"/>
  <c r="J119" i="63"/>
  <c r="K119" i="63" s="1"/>
  <c r="L115" i="63"/>
  <c r="J114" i="63"/>
  <c r="K114" i="63" s="1"/>
  <c r="L114" i="63"/>
  <c r="L121" i="63"/>
  <c r="L117" i="63"/>
  <c r="J113" i="63"/>
  <c r="K113" i="63" s="1"/>
  <c r="L123" i="63"/>
  <c r="L119" i="63"/>
  <c r="J110" i="63"/>
  <c r="K110" i="63" s="1"/>
  <c r="L126" i="63"/>
  <c r="J122" i="63"/>
  <c r="K122" i="63" s="1"/>
  <c r="J121" i="63"/>
  <c r="K121" i="63" s="1"/>
  <c r="J116" i="63"/>
  <c r="K116" i="63" s="1"/>
  <c r="J115" i="63"/>
  <c r="K115" i="63" s="1"/>
  <c r="J123" i="63"/>
  <c r="K123" i="63" s="1"/>
  <c r="J118" i="63"/>
  <c r="K118" i="63" s="1"/>
  <c r="J117" i="63"/>
  <c r="K117" i="63" s="1"/>
  <c r="J112" i="63"/>
  <c r="K112" i="63" s="1"/>
  <c r="L112" i="63"/>
  <c r="J124" i="63"/>
  <c r="K124" i="63" s="1"/>
  <c r="J126" i="63"/>
  <c r="K126" i="63" s="1"/>
  <c r="L125" i="63"/>
  <c r="L118" i="63"/>
  <c r="L116" i="63"/>
  <c r="J125" i="63"/>
  <c r="K125" i="63" s="1"/>
  <c r="L122" i="63"/>
  <c r="J111" i="63"/>
  <c r="K111" i="63" s="1"/>
  <c r="L113" i="63"/>
  <c r="L111" i="63"/>
  <c r="L124" i="63"/>
  <c r="L120" i="63"/>
  <c r="T124" i="18"/>
  <c r="G109" i="63"/>
  <c r="H109" i="63"/>
  <c r="L110" i="63" s="1"/>
  <c r="I109" i="63"/>
  <c r="J109" i="63" l="1"/>
  <c r="K109" i="63" s="1"/>
  <c r="X576" i="18"/>
  <c r="O13" i="75" l="1"/>
  <c r="M13" i="75"/>
  <c r="K13" i="75"/>
  <c r="I13" i="75"/>
  <c r="G13" i="75"/>
  <c r="H13" i="75" s="1"/>
  <c r="J13" i="75" l="1"/>
  <c r="J21" i="75" s="1"/>
  <c r="J43" i="60"/>
  <c r="J44" i="60"/>
  <c r="J45" i="60"/>
  <c r="J47" i="60"/>
  <c r="J48" i="60"/>
  <c r="I46" i="60"/>
  <c r="J46" i="60" s="1"/>
  <c r="I42" i="60"/>
  <c r="T43" i="18" l="1"/>
  <c r="L109" i="63"/>
  <c r="G108" i="63"/>
  <c r="X575" i="18"/>
  <c r="X574" i="18"/>
  <c r="X573" i="18" l="1"/>
  <c r="J42" i="60" l="1"/>
  <c r="J50" i="60" s="1"/>
  <c r="X572" i="18" l="1"/>
  <c r="X571" i="18" l="1"/>
  <c r="X570" i="18" l="1"/>
  <c r="X569" i="18" l="1"/>
  <c r="O38" i="18"/>
  <c r="X568" i="18"/>
  <c r="K2" i="70" l="1"/>
  <c r="J2" i="70"/>
  <c r="H75" i="63" l="1"/>
  <c r="L76" i="63" s="1"/>
  <c r="G105" i="63"/>
  <c r="X567" i="18"/>
  <c r="J75" i="63" l="1"/>
  <c r="K75" i="63" s="1"/>
  <c r="X566" i="18"/>
  <c r="O32" i="18" l="1"/>
  <c r="T123" i="18" l="1"/>
  <c r="X565" i="18" l="1"/>
  <c r="X564" i="18" l="1"/>
  <c r="X563" i="18"/>
  <c r="V598" i="18" l="1"/>
  <c r="S318" i="18"/>
  <c r="X562" i="18"/>
  <c r="X561" i="18" l="1"/>
  <c r="X560" i="18"/>
  <c r="X559" i="18"/>
  <c r="X558" i="18" l="1"/>
  <c r="T122" i="18" l="1"/>
  <c r="X554" i="18"/>
  <c r="X557" i="18"/>
  <c r="X556" i="18" l="1"/>
  <c r="X555" i="18"/>
  <c r="X553" i="18"/>
  <c r="X552" i="18" l="1"/>
  <c r="X551" i="18" l="1"/>
  <c r="P23" i="18"/>
  <c r="N23" i="18" s="1"/>
  <c r="P22" i="18"/>
  <c r="N22" i="18" s="1"/>
  <c r="X550" i="18"/>
  <c r="X549" i="18" l="1"/>
  <c r="X548" i="18"/>
  <c r="AK282" i="18"/>
  <c r="X547" i="18"/>
  <c r="X546" i="18"/>
  <c r="X545" i="18"/>
  <c r="X544" i="18"/>
  <c r="X543" i="18"/>
  <c r="W617" i="18"/>
  <c r="T121" i="18" l="1"/>
  <c r="G14" i="63"/>
  <c r="G12" i="63" l="1"/>
  <c r="G13" i="63"/>
  <c r="I13" i="63"/>
  <c r="H13" i="63"/>
  <c r="T120" i="18"/>
  <c r="H12" i="63"/>
  <c r="L12" i="63" s="1"/>
  <c r="L47" i="60"/>
  <c r="L13" i="63" l="1"/>
  <c r="L14" i="63"/>
  <c r="J13" i="63"/>
  <c r="K13" i="63" s="1"/>
  <c r="F5" i="60"/>
  <c r="E4" i="60"/>
  <c r="F4" i="60" s="1"/>
  <c r="X542" i="18"/>
  <c r="X541" i="18"/>
  <c r="X540"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39" i="18"/>
  <c r="X538" i="18"/>
  <c r="O43" i="18"/>
  <c r="P55" i="18" s="1"/>
  <c r="X537" i="18"/>
  <c r="N43" i="18" l="1"/>
  <c r="K2" i="73" l="1"/>
  <c r="C2" i="73"/>
  <c r="I2" i="73"/>
  <c r="J2" i="73" s="1"/>
  <c r="G2" i="73"/>
  <c r="I3" i="73"/>
  <c r="G3" i="73"/>
  <c r="C3" i="73"/>
  <c r="K4" i="73"/>
  <c r="I4" i="73"/>
  <c r="G4" i="73"/>
  <c r="C4" i="73"/>
  <c r="K5" i="73"/>
  <c r="I5" i="73"/>
  <c r="J5" i="73" s="1"/>
  <c r="G5" i="73"/>
  <c r="C5" i="73"/>
  <c r="D34" i="60" l="1"/>
  <c r="W618" i="18" l="1"/>
  <c r="W619" i="18"/>
  <c r="W620"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36" i="18"/>
  <c r="H10" i="60" l="1"/>
  <c r="E142" i="72"/>
  <c r="D141" i="72"/>
  <c r="X535" i="18"/>
  <c r="X534" i="18"/>
  <c r="X533" i="18"/>
  <c r="E141" i="72" l="1"/>
  <c r="D140" i="72"/>
  <c r="W157" i="18"/>
  <c r="D139" i="72" l="1"/>
  <c r="E140" i="72"/>
  <c r="D138" i="72" l="1"/>
  <c r="E139" i="72"/>
  <c r="E138" i="72" l="1"/>
  <c r="D137" i="72"/>
  <c r="E137" i="72" l="1"/>
  <c r="D136" i="72"/>
  <c r="D135" i="72" l="1"/>
  <c r="E136" i="72"/>
  <c r="P33" i="18"/>
  <c r="P32" i="18"/>
  <c r="D134" i="72" l="1"/>
  <c r="E135" i="72"/>
  <c r="E134" i="72" l="1"/>
  <c r="D133" i="72"/>
  <c r="D132" i="72" l="1"/>
  <c r="E133" i="72"/>
  <c r="E132" i="72" l="1"/>
  <c r="D131" i="72"/>
  <c r="X532" i="18"/>
  <c r="E131" i="72" l="1"/>
  <c r="D130" i="72"/>
  <c r="P71" i="63"/>
  <c r="P70" i="63"/>
  <c r="P69" i="63"/>
  <c r="E130" i="72" l="1"/>
  <c r="D129" i="72"/>
  <c r="X531" i="18"/>
  <c r="D128" i="72" l="1"/>
  <c r="E129" i="72"/>
  <c r="E128" i="72" l="1"/>
  <c r="D127" i="72"/>
  <c r="E127" i="72" l="1"/>
  <c r="D126" i="72"/>
  <c r="X530" i="18"/>
  <c r="X529"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27" i="18"/>
  <c r="D109" i="72" l="1"/>
  <c r="E110" i="72"/>
  <c r="X526" i="18"/>
  <c r="N27" i="18"/>
  <c r="N26" i="18"/>
  <c r="E109" i="72" l="1"/>
  <c r="D108" i="72"/>
  <c r="E108" i="72" l="1"/>
  <c r="D107" i="72"/>
  <c r="X525" i="18"/>
  <c r="E107" i="72" l="1"/>
  <c r="D106" i="72"/>
  <c r="E106" i="72" l="1"/>
  <c r="D105" i="72"/>
  <c r="D104" i="72" l="1"/>
  <c r="E105" i="72"/>
  <c r="E104" i="72" l="1"/>
  <c r="D103" i="72"/>
  <c r="X524" i="18"/>
  <c r="O39" i="18"/>
  <c r="T97" i="18"/>
  <c r="X523" i="18"/>
  <c r="X522" i="18"/>
  <c r="E103" i="72" l="1"/>
  <c r="D102" i="72"/>
  <c r="E159" i="63"/>
  <c r="X521" i="18"/>
  <c r="D101" i="72" l="1"/>
  <c r="E102" i="72"/>
  <c r="S619" i="18"/>
  <c r="X520" i="18"/>
  <c r="AB114" i="18"/>
  <c r="AB115" i="18"/>
  <c r="AB116" i="18"/>
  <c r="AB117" i="18"/>
  <c r="AB118" i="18"/>
  <c r="AB113" i="18"/>
  <c r="O44" i="18" l="1"/>
  <c r="D100" i="72"/>
  <c r="E101" i="72"/>
  <c r="Q55" i="18" l="1"/>
  <c r="E100" i="72"/>
  <c r="D99" i="72"/>
  <c r="E99" i="72" l="1"/>
  <c r="D98" i="72"/>
  <c r="E98" i="72" l="1"/>
  <c r="D97" i="72"/>
  <c r="D158" i="63"/>
  <c r="E158" i="63"/>
  <c r="G158" i="63" s="1"/>
  <c r="D159" i="63"/>
  <c r="G159" i="63"/>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D177" i="63"/>
  <c r="E177" i="63"/>
  <c r="D178" i="63"/>
  <c r="E178" i="63"/>
  <c r="D179" i="63"/>
  <c r="E179" i="63"/>
  <c r="E157" i="63"/>
  <c r="G157" i="63" s="1"/>
  <c r="D157" i="63"/>
  <c r="D96" i="72" l="1"/>
  <c r="E97" i="72"/>
  <c r="X519"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8" i="18"/>
  <c r="D92" i="72" l="1"/>
  <c r="E93" i="72"/>
  <c r="D176" i="58"/>
  <c r="E92" i="72" l="1"/>
  <c r="D91" i="72"/>
  <c r="E91" i="72" l="1"/>
  <c r="D90" i="72"/>
  <c r="X517" i="18"/>
  <c r="D89" i="72" l="1"/>
  <c r="E90" i="72"/>
  <c r="D88" i="72" l="1"/>
  <c r="E89" i="72"/>
  <c r="X516" i="18"/>
  <c r="E88" i="72" l="1"/>
  <c r="D87" i="72"/>
  <c r="X515" i="18"/>
  <c r="D86" i="72" l="1"/>
  <c r="E87" i="72"/>
  <c r="E86" i="72" l="1"/>
  <c r="D85" i="72"/>
  <c r="E85" i="72" l="1"/>
  <c r="D84" i="72"/>
  <c r="D83" i="72" l="1"/>
  <c r="E84" i="72"/>
  <c r="X514" i="18"/>
  <c r="D82" i="72" l="1"/>
  <c r="E83" i="72"/>
  <c r="D81" i="72" l="1"/>
  <c r="E82" i="72"/>
  <c r="D80" i="72" l="1"/>
  <c r="E81" i="72"/>
  <c r="X513" i="18"/>
  <c r="D79" i="72" l="1"/>
  <c r="E80" i="72"/>
  <c r="X512" i="18"/>
  <c r="D78" i="72" l="1"/>
  <c r="E79" i="72"/>
  <c r="X511" i="18"/>
  <c r="D77" i="72" l="1"/>
  <c r="E78" i="72"/>
  <c r="X510" i="18"/>
  <c r="E77" i="72" l="1"/>
  <c r="D76" i="72"/>
  <c r="D75" i="72" l="1"/>
  <c r="E76" i="72"/>
  <c r="D74" i="72" l="1"/>
  <c r="E75" i="72"/>
  <c r="E74" i="72" l="1"/>
  <c r="D73" i="72"/>
  <c r="E73" i="72" l="1"/>
  <c r="D72" i="72"/>
  <c r="D71" i="72" l="1"/>
  <c r="E72" i="72"/>
  <c r="X509" i="18"/>
  <c r="I10" i="63"/>
  <c r="I12" i="63"/>
  <c r="D70" i="72" l="1"/>
  <c r="E71" i="72"/>
  <c r="J12" i="63"/>
  <c r="K12" i="63" s="1"/>
  <c r="X508" i="18"/>
  <c r="E70" i="72" l="1"/>
  <c r="D69" i="72"/>
  <c r="X507" i="18"/>
  <c r="E69" i="72" l="1"/>
  <c r="D68" i="72"/>
  <c r="T119" i="18"/>
  <c r="G10" i="63"/>
  <c r="I8" i="63"/>
  <c r="G8" i="63"/>
  <c r="H8" i="63"/>
  <c r="L8" i="63" l="1"/>
  <c r="L9" i="63"/>
  <c r="D67" i="72"/>
  <c r="E68" i="72"/>
  <c r="J10" i="63"/>
  <c r="K10" i="63" s="1"/>
  <c r="J8" i="63"/>
  <c r="K8" i="63" s="1"/>
  <c r="D66" i="72" l="1"/>
  <c r="E67" i="72"/>
  <c r="X50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5"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01" i="18"/>
  <c r="X496" i="18"/>
  <c r="X497" i="18"/>
  <c r="X498" i="18"/>
  <c r="X499" i="18"/>
  <c r="X500" i="18"/>
  <c r="X502" i="18"/>
  <c r="X503" i="18"/>
  <c r="X504" i="18"/>
  <c r="X528" i="18"/>
  <c r="AM271" i="18" l="1"/>
  <c r="AN272" i="18"/>
  <c r="D44" i="72"/>
  <c r="E45" i="72"/>
  <c r="X495"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494" i="18"/>
  <c r="AM264" i="18" l="1"/>
  <c r="AN265" i="18"/>
  <c r="D37" i="72"/>
  <c r="E38" i="72"/>
  <c r="AM263" i="18" l="1"/>
  <c r="AN264" i="18"/>
  <c r="D36" i="72"/>
  <c r="E37" i="72"/>
  <c r="X493" i="18"/>
  <c r="X492" i="18"/>
  <c r="X491"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490" i="18"/>
  <c r="AM260" i="18" l="1"/>
  <c r="AN261" i="18"/>
  <c r="E34" i="72"/>
  <c r="D33" i="72"/>
  <c r="AM259" i="18" l="1"/>
  <c r="AN260" i="18"/>
  <c r="D32" i="72"/>
  <c r="E33" i="72"/>
  <c r="X489" i="18"/>
  <c r="AM258" i="18" l="1"/>
  <c r="AN259" i="18"/>
  <c r="E32" i="72"/>
  <c r="D31" i="72"/>
  <c r="X488" i="18"/>
  <c r="N47" i="18"/>
  <c r="N31" i="18"/>
  <c r="AM257" i="18" l="1"/>
  <c r="AN258" i="18"/>
  <c r="E31" i="72"/>
  <c r="D30" i="72"/>
  <c r="G5" i="63"/>
  <c r="H5" i="63"/>
  <c r="H3" i="63"/>
  <c r="L5" i="63" l="1"/>
  <c r="L6" i="63"/>
  <c r="L4" i="63"/>
  <c r="AM256" i="18"/>
  <c r="AN257" i="18"/>
  <c r="D29" i="72"/>
  <c r="E30" i="72"/>
  <c r="J5" i="63"/>
  <c r="K5" i="63" s="1"/>
  <c r="J3" i="63"/>
  <c r="K3" i="63" s="1"/>
  <c r="X487" i="18"/>
  <c r="I2" i="63"/>
  <c r="G2" i="63"/>
  <c r="H2" i="63"/>
  <c r="L3" i="63" s="1"/>
  <c r="AM255" i="18" l="1"/>
  <c r="AN256" i="18"/>
  <c r="D28" i="72"/>
  <c r="E29" i="72"/>
  <c r="J2" i="63"/>
  <c r="K2" i="63" s="1"/>
  <c r="AM254" i="18" l="1"/>
  <c r="AN255" i="18"/>
  <c r="E28" i="72"/>
  <c r="D27" i="72"/>
  <c r="X486"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85" i="18"/>
  <c r="E20" i="72" l="1"/>
  <c r="D19" i="72"/>
  <c r="X484" i="18"/>
  <c r="E19" i="72" l="1"/>
  <c r="D18" i="72"/>
  <c r="D17" i="72" l="1"/>
  <c r="E18" i="72"/>
  <c r="P39" i="18"/>
  <c r="D16" i="72" l="1"/>
  <c r="E17" i="72"/>
  <c r="X483" i="18"/>
  <c r="E16" i="72" l="1"/>
  <c r="D15" i="72"/>
  <c r="X482"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1" i="18"/>
  <c r="X480" i="18"/>
  <c r="E9" i="72" l="1"/>
  <c r="D8" i="72"/>
  <c r="E8" i="72" l="1"/>
  <c r="D7" i="72"/>
  <c r="E7" i="72" l="1"/>
  <c r="D6" i="72"/>
  <c r="D5" i="72" l="1"/>
  <c r="E6" i="72"/>
  <c r="X479" i="18"/>
  <c r="D4" i="72" l="1"/>
  <c r="E5" i="72"/>
  <c r="X478" i="18"/>
  <c r="E4" i="72" l="1"/>
  <c r="D3" i="72"/>
  <c r="E3" i="72" s="1"/>
  <c r="X477" i="18"/>
  <c r="X476" i="18"/>
  <c r="X475" i="18"/>
  <c r="X474"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73" i="18" l="1"/>
  <c r="X472" i="18" l="1"/>
  <c r="X471" i="18"/>
  <c r="X470"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8" i="18"/>
  <c r="X469" i="18" l="1"/>
  <c r="X468" i="18" l="1"/>
  <c r="N34" i="18"/>
  <c r="N46" i="18"/>
  <c r="X466" i="18" l="1"/>
  <c r="AK511" i="18" l="1"/>
  <c r="X465" i="18" l="1"/>
  <c r="X464" i="18"/>
  <c r="X463" i="18"/>
  <c r="X467" i="18"/>
  <c r="X462" i="18"/>
  <c r="X461" i="18"/>
  <c r="X381" i="18"/>
  <c r="T112" i="18" l="1"/>
  <c r="D2" i="60" l="1"/>
  <c r="X460" i="18" l="1"/>
  <c r="X459" i="18" l="1"/>
  <c r="X458" i="18"/>
  <c r="AM244" i="18"/>
  <c r="AM243" i="18" s="1"/>
  <c r="AM242" i="18" s="1"/>
  <c r="X457" i="18" l="1"/>
  <c r="X456" i="18" l="1"/>
  <c r="X453" i="18" l="1"/>
  <c r="X454" i="18"/>
  <c r="X455" i="18"/>
  <c r="X452" i="18" l="1"/>
  <c r="X451" i="18" l="1"/>
  <c r="X450" i="18" l="1"/>
  <c r="G49" i="10" l="1"/>
  <c r="B68" i="60" l="1"/>
  <c r="B65" i="60"/>
  <c r="X449" i="18" l="1"/>
  <c r="X448" i="18" l="1"/>
  <c r="X447" i="18" l="1"/>
  <c r="W158" i="18" l="1"/>
  <c r="U155" i="18" s="1"/>
  <c r="X446" i="18"/>
  <c r="U154" i="18" l="1"/>
  <c r="U152" i="18"/>
  <c r="U153" i="18"/>
  <c r="P38" i="18"/>
  <c r="G4" i="67" s="1"/>
  <c r="X445" i="18"/>
  <c r="H4" i="67" l="1"/>
  <c r="H10" i="67" s="1"/>
  <c r="G19" i="67"/>
  <c r="H19" i="67" s="1"/>
  <c r="H23" i="67" s="1"/>
  <c r="X444" i="18"/>
  <c r="E26" i="67" l="1"/>
  <c r="X441" i="18" l="1"/>
  <c r="X440" i="18" l="1"/>
  <c r="F58" i="60" l="1"/>
  <c r="G57" i="60" s="1"/>
  <c r="X439" i="18" l="1"/>
  <c r="X438" i="18" l="1"/>
  <c r="X437" i="18" l="1"/>
  <c r="X436" i="18" l="1"/>
  <c r="O473" i="52" l="1"/>
  <c r="J473" i="52"/>
  <c r="X431" i="18" l="1"/>
  <c r="X432" i="18"/>
  <c r="X433" i="18"/>
  <c r="X434" i="18"/>
  <c r="X435" i="18"/>
  <c r="X442" i="18"/>
  <c r="X443" i="18"/>
  <c r="AM510" i="18"/>
  <c r="AM509" i="18" s="1"/>
  <c r="O472" i="52"/>
  <c r="J472" i="52"/>
  <c r="AM508" i="18" l="1"/>
  <c r="AN509" i="18"/>
  <c r="AN510" i="18"/>
  <c r="AM507" i="18" l="1"/>
  <c r="AN507" i="18" s="1"/>
  <c r="AN508" i="18"/>
  <c r="AM478" i="18"/>
  <c r="X430" i="18"/>
  <c r="X429" i="18"/>
  <c r="X428" i="18"/>
  <c r="X427" i="18"/>
  <c r="X426"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0" i="18"/>
  <c r="X421" i="18"/>
  <c r="X422" i="18"/>
  <c r="X423" i="18"/>
  <c r="X424" i="18"/>
  <c r="X425" i="18"/>
  <c r="AN499" i="18" l="1"/>
  <c r="AM498" i="18"/>
  <c r="AM469" i="18"/>
  <c r="AN469" i="18" s="1"/>
  <c r="AN470" i="18"/>
  <c r="O454" i="52"/>
  <c r="J454" i="52"/>
  <c r="AM497" i="18" l="1"/>
  <c r="AN498" i="18"/>
  <c r="X419" i="18"/>
  <c r="AN497" i="18" l="1"/>
  <c r="AM496" i="18"/>
  <c r="X418" i="18"/>
  <c r="X417" i="18"/>
  <c r="AM495" i="18" l="1"/>
  <c r="AN496" i="18"/>
  <c r="X416" i="18"/>
  <c r="X415" i="18"/>
  <c r="AN495" i="18" l="1"/>
  <c r="AM494" i="18"/>
  <c r="X414" i="18"/>
  <c r="AM493" i="18" l="1"/>
  <c r="AN494" i="18"/>
  <c r="X413" i="18"/>
  <c r="AN493" i="18" l="1"/>
  <c r="AM492" i="18"/>
  <c r="X412" i="18"/>
  <c r="AM491" i="18" l="1"/>
  <c r="AN492" i="18"/>
  <c r="X411" i="18"/>
  <c r="AN491" i="18" l="1"/>
  <c r="AM490" i="18"/>
  <c r="X410" i="18"/>
  <c r="AM489" i="18" l="1"/>
  <c r="AN490" i="18"/>
  <c r="X409"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07" i="18"/>
  <c r="AN487" i="18" l="1"/>
  <c r="AM486" i="18"/>
  <c r="X406" i="18"/>
  <c r="AM485" i="18" l="1"/>
  <c r="AN486" i="18"/>
  <c r="X405" i="18"/>
  <c r="AN485" i="18" l="1"/>
  <c r="AM484" i="18"/>
  <c r="X404" i="18"/>
  <c r="AM483" i="18" l="1"/>
  <c r="AN484" i="18"/>
  <c r="X403" i="18"/>
  <c r="AN483" i="18" l="1"/>
  <c r="AM482" i="18"/>
  <c r="AM481" i="18" l="1"/>
  <c r="AN482" i="18"/>
  <c r="X402" i="18"/>
  <c r="AM480" i="18" l="1"/>
  <c r="AN481" i="18"/>
  <c r="X401" i="18"/>
  <c r="AN480" i="18" l="1"/>
  <c r="AM479" i="18"/>
  <c r="AN479" i="18" s="1"/>
  <c r="X400" i="18"/>
  <c r="X399" i="18" l="1"/>
  <c r="X398" i="18" l="1"/>
  <c r="X397" i="18" l="1"/>
  <c r="X396" i="18" l="1"/>
  <c r="X392" i="18" l="1"/>
  <c r="X395" i="18"/>
  <c r="X394" i="18" l="1"/>
  <c r="X393" i="18" l="1"/>
  <c r="X391" i="18" l="1"/>
  <c r="X390" i="18" l="1"/>
  <c r="X388" i="18" l="1"/>
  <c r="X387" i="18"/>
  <c r="X386" i="18"/>
  <c r="X383" i="18"/>
  <c r="X384" i="18"/>
  <c r="X385" i="18"/>
  <c r="X382" i="18"/>
  <c r="X389" i="18"/>
  <c r="X380" i="18" l="1"/>
  <c r="X379" i="18" l="1"/>
  <c r="X378" i="18" l="1"/>
  <c r="X377" i="18" l="1"/>
  <c r="X376" i="18" l="1"/>
  <c r="X375" i="18" l="1"/>
  <c r="X374"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X371" i="18" l="1"/>
  <c r="X370" i="18" l="1"/>
  <c r="X369" i="18" l="1"/>
  <c r="X368" i="18" l="1"/>
  <c r="X367" i="18"/>
  <c r="X366" i="18"/>
  <c r="X365" i="18"/>
  <c r="X364" i="18" l="1"/>
  <c r="X363" i="18" l="1"/>
  <c r="N77" i="63" l="1"/>
  <c r="AN281" i="18" l="1"/>
  <c r="AN247" i="18" l="1"/>
  <c r="AN246" i="18" l="1"/>
  <c r="AN245" i="18" l="1"/>
  <c r="AN244" i="18" l="1"/>
  <c r="Q390" i="52"/>
  <c r="O390" i="52"/>
  <c r="J390" i="52"/>
  <c r="AN243" i="18" l="1"/>
  <c r="X362" i="18"/>
  <c r="AM241" i="18" l="1"/>
  <c r="AN242" i="18"/>
  <c r="AM240" i="18" l="1"/>
  <c r="AN241" i="18"/>
  <c r="X361" i="18"/>
  <c r="AM239" i="18" l="1"/>
  <c r="AN240" i="18"/>
  <c r="X360"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59" i="18"/>
  <c r="X358" i="18"/>
  <c r="X357" i="18"/>
  <c r="X356" i="18"/>
  <c r="X355"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8" i="18"/>
  <c r="AM219" i="18" l="1"/>
  <c r="AN220" i="18"/>
  <c r="AM467" i="18"/>
  <c r="AN468" i="18"/>
  <c r="AM218" i="18" l="1"/>
  <c r="AN219" i="18"/>
  <c r="AN467" i="18"/>
  <c r="AM466" i="18"/>
  <c r="M359" i="52"/>
  <c r="M360" i="52" s="1"/>
  <c r="X343" i="18"/>
  <c r="AM217" i="18" l="1"/>
  <c r="AN218" i="18"/>
  <c r="AM465" i="18"/>
  <c r="AN466" i="18"/>
  <c r="X342" i="18"/>
  <c r="AM216" i="18" l="1"/>
  <c r="AN217" i="18"/>
  <c r="AN465" i="18"/>
  <c r="AM464" i="18"/>
  <c r="X341" i="18"/>
  <c r="AM215" i="18" l="1"/>
  <c r="AN216" i="18"/>
  <c r="AM463" i="18"/>
  <c r="AN464" i="18"/>
  <c r="X340" i="18"/>
  <c r="AM214" i="18" l="1"/>
  <c r="AN214" i="18" s="1"/>
  <c r="AN215" i="18"/>
  <c r="AN463" i="18"/>
  <c r="AM462" i="18"/>
  <c r="X339" i="18"/>
  <c r="AM461" i="18" l="1"/>
  <c r="AN462" i="18"/>
  <c r="X338" i="18"/>
  <c r="AN461" i="18" l="1"/>
  <c r="AM460" i="18"/>
  <c r="AM459" i="18" l="1"/>
  <c r="AN460" i="18"/>
  <c r="AN459" i="18" l="1"/>
  <c r="AM458" i="18"/>
  <c r="AM457" i="18" l="1"/>
  <c r="AN458" i="18"/>
  <c r="AN457" i="18" l="1"/>
  <c r="AM456" i="18"/>
  <c r="O348" i="52"/>
  <c r="X337" i="18"/>
  <c r="AM455" i="18" l="1"/>
  <c r="AN456" i="18"/>
  <c r="X336" i="18"/>
  <c r="J347" i="52"/>
  <c r="AN455" i="18" l="1"/>
  <c r="AM454" i="18"/>
  <c r="X335" i="18"/>
  <c r="AN454" i="18" l="1"/>
  <c r="AM453" i="18"/>
  <c r="X334" i="18"/>
  <c r="AN453" i="18" l="1"/>
  <c r="AM452" i="18"/>
  <c r="AM451" i="18" l="1"/>
  <c r="AN452" i="18"/>
  <c r="AM450" i="18" l="1"/>
  <c r="AN451"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5" i="18" l="1"/>
  <c r="N45" i="18" l="1"/>
  <c r="M68" i="18" l="1"/>
  <c r="D77" i="60"/>
  <c r="F77" i="60" s="1"/>
  <c r="D76" i="60"/>
  <c r="F76"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9"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49" i="18"/>
  <c r="N44" i="18"/>
  <c r="M65"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X266" i="18"/>
  <c r="O177" i="52"/>
  <c r="J177" i="52"/>
  <c r="AN196" i="18" l="1"/>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9" i="18" l="1"/>
  <c r="AN450" i="18"/>
  <c r="O162" i="52"/>
  <c r="J162" i="52"/>
  <c r="X260"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9" i="18"/>
  <c r="AM445" i="18" l="1"/>
  <c r="AN446" i="18"/>
  <c r="X258" i="18"/>
  <c r="AN445" i="18" l="1"/>
  <c r="AM444" i="18"/>
  <c r="AM190" i="18"/>
  <c r="AM443" i="18" l="1"/>
  <c r="AN444" i="18"/>
  <c r="AM189" i="18"/>
  <c r="AN190" i="18"/>
  <c r="N159" i="52"/>
  <c r="P160" i="52" s="1"/>
  <c r="X255"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4" i="18"/>
  <c r="X253" i="18"/>
  <c r="O150" i="52"/>
  <c r="AM438" i="18" l="1"/>
  <c r="AN439" i="18"/>
  <c r="AN185" i="18"/>
  <c r="AM184" i="18"/>
  <c r="AM437" i="18" l="1"/>
  <c r="AN438"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1" i="18"/>
  <c r="AN435" i="18" l="1"/>
  <c r="AM434" i="18"/>
  <c r="AN181" i="18"/>
  <c r="AM180" i="18"/>
  <c r="X250" i="18"/>
  <c r="AM433" i="18" l="1"/>
  <c r="AN434" i="18"/>
  <c r="AN180" i="18"/>
  <c r="AM179" i="18"/>
  <c r="O142" i="52"/>
  <c r="J142" i="52"/>
  <c r="X249" i="18"/>
  <c r="AM432" i="18" l="1"/>
  <c r="AN433" i="18"/>
  <c r="AN179" i="18"/>
  <c r="AM178" i="18"/>
  <c r="AN178" i="18" s="1"/>
  <c r="O140" i="52"/>
  <c r="J140" i="52"/>
  <c r="X248" i="18"/>
  <c r="AN432" i="18" l="1"/>
  <c r="AM431" i="18"/>
  <c r="X247" i="18"/>
  <c r="X246" i="18"/>
  <c r="O139" i="52"/>
  <c r="J139" i="52"/>
  <c r="AN431" i="18" l="1"/>
  <c r="AM430" i="18"/>
  <c r="X245" i="18"/>
  <c r="AN430" i="18" l="1"/>
  <c r="AM429" i="18"/>
  <c r="AN429" i="18" l="1"/>
  <c r="AM428" i="18"/>
  <c r="M41" i="52"/>
  <c r="AN428" i="18" l="1"/>
  <c r="AM427" i="18"/>
  <c r="O135" i="52"/>
  <c r="J135" i="52"/>
  <c r="AN427" i="18" l="1"/>
  <c r="AM426" i="18"/>
  <c r="AM425" i="18" l="1"/>
  <c r="AN426" i="18"/>
  <c r="X244" i="18"/>
  <c r="AM424" i="18" l="1"/>
  <c r="AN425" i="18"/>
  <c r="O132" i="52"/>
  <c r="X243" i="18"/>
  <c r="AN424" i="18" l="1"/>
  <c r="AM423" i="18"/>
  <c r="O131" i="52"/>
  <c r="AM422" i="18" l="1"/>
  <c r="AN423" i="18"/>
  <c r="O130" i="52"/>
  <c r="O129" i="52"/>
  <c r="X242" i="18"/>
  <c r="X241" i="18"/>
  <c r="AM421" i="18" l="1"/>
  <c r="AN422" i="18"/>
  <c r="N129" i="52"/>
  <c r="AM420" i="18" l="1"/>
  <c r="AN421" i="18"/>
  <c r="O127" i="52"/>
  <c r="AM419" i="18" l="1"/>
  <c r="AN420" i="18"/>
  <c r="J126" i="52"/>
  <c r="O126" i="52"/>
  <c r="X240" i="18"/>
  <c r="AN419" i="18" l="1"/>
  <c r="AM418" i="18"/>
  <c r="O125" i="52"/>
  <c r="J125" i="52"/>
  <c r="AN418" i="18" l="1"/>
  <c r="AM417" i="18"/>
  <c r="X239"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37" i="18"/>
  <c r="AN414" i="18" l="1"/>
  <c r="AM413" i="18"/>
  <c r="AN413" i="18" l="1"/>
  <c r="AM412" i="18"/>
  <c r="O121" i="52"/>
  <c r="J121" i="52"/>
  <c r="X236" i="18"/>
  <c r="AM411" i="18" l="1"/>
  <c r="AN412" i="18"/>
  <c r="X235" i="18"/>
  <c r="J120" i="52"/>
  <c r="AN411" i="18" l="1"/>
  <c r="AM410" i="18"/>
  <c r="AM409" i="18" l="1"/>
  <c r="AN410" i="18"/>
  <c r="O117" i="52"/>
  <c r="AN409" i="18" l="1"/>
  <c r="AM408" i="18"/>
  <c r="O116" i="52"/>
  <c r="N116" i="52"/>
  <c r="AN408" i="18" l="1"/>
  <c r="AM407" i="18"/>
  <c r="X234"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3" i="18"/>
  <c r="J108" i="52"/>
  <c r="AN399" i="18" l="1"/>
  <c r="AM398" i="18"/>
  <c r="D303" i="15"/>
  <c r="F303" i="15" s="1"/>
  <c r="X232" i="18"/>
  <c r="X231" i="18"/>
  <c r="AN398" i="18" l="1"/>
  <c r="AM397" i="18"/>
  <c r="D302" i="15"/>
  <c r="F302" i="15" s="1"/>
  <c r="O106" i="52"/>
  <c r="J106" i="52"/>
  <c r="AM396" i="18" l="1"/>
  <c r="AN397" i="18"/>
  <c r="D301" i="15"/>
  <c r="F301" i="15" s="1"/>
  <c r="J104" i="52"/>
  <c r="E276" i="15"/>
  <c r="E277" i="15"/>
  <c r="E278" i="15"/>
  <c r="E279" i="15"/>
  <c r="E280" i="15"/>
  <c r="AM395" i="18" l="1"/>
  <c r="AN396" i="18"/>
  <c r="D300" i="15"/>
  <c r="F300" i="15" s="1"/>
  <c r="X230" i="18"/>
  <c r="AM394" i="18" l="1"/>
  <c r="AN395" i="18"/>
  <c r="D299" i="15"/>
  <c r="F299" i="15" s="1"/>
  <c r="AM393" i="18" l="1"/>
  <c r="AN394" i="18"/>
  <c r="D298" i="15"/>
  <c r="F298" i="15" s="1"/>
  <c r="X229"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8"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4" i="18"/>
  <c r="X227" i="18"/>
  <c r="X226" i="18"/>
  <c r="X225" i="18"/>
  <c r="M48" i="52"/>
  <c r="M47" i="52"/>
  <c r="N38" i="52"/>
  <c r="N37" i="52"/>
  <c r="M49" i="52"/>
  <c r="N50" i="52" s="1"/>
  <c r="AM382" i="18" l="1"/>
  <c r="AN383" i="18"/>
  <c r="D287" i="15"/>
  <c r="F287" i="15" s="1"/>
  <c r="N49" i="52"/>
  <c r="X224" i="18"/>
  <c r="AN382" i="18" l="1"/>
  <c r="AM381" i="18"/>
  <c r="D286" i="15"/>
  <c r="F286" i="15" s="1"/>
  <c r="AM380" i="18" l="1"/>
  <c r="AN381" i="18"/>
  <c r="D285" i="15"/>
  <c r="F285" i="15" s="1"/>
  <c r="X223"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8" i="18" l="1"/>
  <c r="AM377" i="18"/>
  <c r="D282" i="15"/>
  <c r="F282" i="15" s="1"/>
  <c r="G32" i="57"/>
  <c r="H32" i="57"/>
  <c r="D32" i="57"/>
  <c r="I32" i="57" s="1"/>
  <c r="D345" i="20"/>
  <c r="X221" i="18"/>
  <c r="X220"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9" i="18"/>
  <c r="D343" i="20"/>
  <c r="AM373" i="18" l="1"/>
  <c r="AN374" i="18"/>
  <c r="D278" i="15"/>
  <c r="F278" i="15" s="1"/>
  <c r="X218" i="18"/>
  <c r="D342" i="20"/>
  <c r="J83" i="52"/>
  <c r="O83" i="52"/>
  <c r="X217" i="18"/>
  <c r="X216" i="18"/>
  <c r="F44" i="14"/>
  <c r="F45" i="14"/>
  <c r="F46" i="14"/>
  <c r="F47" i="14"/>
  <c r="F48" i="14"/>
  <c r="F49" i="14"/>
  <c r="F50" i="14"/>
  <c r="D341" i="20"/>
  <c r="AM372" i="18" l="1"/>
  <c r="AN373" i="18"/>
  <c r="D277" i="15"/>
  <c r="F277" i="15" s="1"/>
  <c r="AN372" i="18" l="1"/>
  <c r="AM371" i="18"/>
  <c r="D276" i="15"/>
  <c r="F276" i="15" s="1"/>
  <c r="X215" i="18"/>
  <c r="AM370" i="18" l="1"/>
  <c r="AN371" i="18"/>
  <c r="D340" i="20"/>
  <c r="X214" i="18"/>
  <c r="H337" i="20"/>
  <c r="H338" i="20"/>
  <c r="H339" i="20"/>
  <c r="H340" i="20"/>
  <c r="H341" i="20"/>
  <c r="H368" i="20"/>
  <c r="H369" i="20"/>
  <c r="D339" i="20"/>
  <c r="AM369" i="18" l="1"/>
  <c r="AN370" i="18"/>
  <c r="B371" i="20"/>
  <c r="D332" i="20"/>
  <c r="D333" i="20"/>
  <c r="D334" i="20"/>
  <c r="D335" i="20"/>
  <c r="D336" i="20"/>
  <c r="D337" i="20"/>
  <c r="D338" i="20"/>
  <c r="D369" i="20"/>
  <c r="AM368" i="18" l="1"/>
  <c r="AN369" i="18"/>
  <c r="X213" i="18"/>
  <c r="D80" i="57"/>
  <c r="AM367" i="18" l="1"/>
  <c r="AN368" i="18"/>
  <c r="G46" i="10"/>
  <c r="AM366" i="18" l="1"/>
  <c r="AN367" i="18"/>
  <c r="D331" i="20"/>
  <c r="AM365" i="18" l="1"/>
  <c r="AN366" i="18"/>
  <c r="D330" i="20"/>
  <c r="AM364" i="18" l="1"/>
  <c r="AN365" i="18"/>
  <c r="X212" i="18"/>
  <c r="X211"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0" i="18"/>
  <c r="X209" i="18"/>
  <c r="AM352" i="18" l="1"/>
  <c r="AN353"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8" i="18"/>
  <c r="X207" i="18"/>
  <c r="N36" i="52"/>
  <c r="N35" i="52"/>
  <c r="Q42" i="52"/>
  <c r="AM350" i="18" l="1"/>
  <c r="AN351" i="18"/>
  <c r="X206" i="18"/>
  <c r="X205"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4" i="18"/>
  <c r="X203" i="18"/>
  <c r="N32" i="52"/>
  <c r="N31" i="52"/>
  <c r="AM345" i="18" l="1"/>
  <c r="AN345" i="18" s="1"/>
  <c r="AN346" i="18"/>
  <c r="X202" i="18"/>
  <c r="X201" i="18"/>
  <c r="N30" i="52"/>
  <c r="N29" i="52"/>
  <c r="X200" i="18" l="1"/>
  <c r="X199" i="18"/>
  <c r="N28" i="52"/>
  <c r="N27" i="52"/>
  <c r="AM344" i="18" l="1"/>
  <c r="D313" i="20"/>
  <c r="AM343" i="18" l="1"/>
  <c r="AN344" i="18"/>
  <c r="L72" i="18"/>
  <c r="L69" i="18" l="1"/>
  <c r="N69" i="18" s="1"/>
  <c r="M72" i="18"/>
  <c r="L68" i="18"/>
  <c r="N68" i="18" s="1"/>
  <c r="L67" i="18"/>
  <c r="N67" i="18" s="1"/>
  <c r="AN343" i="18"/>
  <c r="AM342" i="18"/>
  <c r="L64" i="18"/>
  <c r="X198" i="18"/>
  <c r="X197"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96" i="18"/>
  <c r="X195" i="18"/>
  <c r="N23" i="52"/>
  <c r="N22" i="52"/>
  <c r="I368" i="20" l="1"/>
  <c r="G367" i="20"/>
  <c r="J368" i="20"/>
  <c r="K368" i="20"/>
  <c r="AM339" i="18"/>
  <c r="AN340" i="18"/>
  <c r="X194" i="18"/>
  <c r="X193"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2" i="18"/>
  <c r="X191"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0" i="18"/>
  <c r="X189" i="18"/>
  <c r="N17" i="52"/>
  <c r="N16" i="52"/>
  <c r="AM170" i="18" l="1"/>
  <c r="AN171" i="18"/>
  <c r="I356" i="20"/>
  <c r="G355" i="20"/>
  <c r="J356" i="20"/>
  <c r="K356" i="20"/>
  <c r="L65"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48" i="18"/>
  <c r="S168" i="18" s="1"/>
  <c r="AN120" i="18" l="1"/>
  <c r="AM119" i="18"/>
  <c r="AN119" i="18" l="1"/>
  <c r="AM118" i="18"/>
  <c r="T80" i="18"/>
  <c r="S173" i="18"/>
  <c r="S171" i="18"/>
  <c r="D57" i="51"/>
  <c r="T81" i="18" l="1"/>
  <c r="T82" i="18" s="1"/>
  <c r="T83" i="18" s="1"/>
  <c r="T84" i="18" s="1"/>
  <c r="AM117" i="18"/>
  <c r="AN118" i="18"/>
  <c r="AN117" i="18" l="1"/>
  <c r="AM116" i="18"/>
  <c r="T85" i="18"/>
  <c r="T86" i="18" s="1"/>
  <c r="N38" i="18"/>
  <c r="S170"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4"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P54" i="18" s="1"/>
  <c r="P56" i="18" s="1"/>
  <c r="M64" i="18"/>
  <c r="N64" i="18" s="1"/>
  <c r="N72" i="18" s="1"/>
  <c r="S169" i="18"/>
  <c r="R75" i="18"/>
  <c r="AK515" i="18"/>
  <c r="AK516" i="18" s="1"/>
  <c r="AN94" i="18"/>
  <c r="AM93" i="18"/>
  <c r="AM311" i="18"/>
  <c r="AN312" i="18"/>
  <c r="Q42" i="18" l="1"/>
  <c r="Q22" i="18"/>
  <c r="Q23" i="18"/>
  <c r="Q43" i="18"/>
  <c r="Q26" i="18"/>
  <c r="Q27" i="18"/>
  <c r="Q46" i="18"/>
  <c r="Q34" i="18"/>
  <c r="Q35" i="18"/>
  <c r="Q45" i="18"/>
  <c r="Q33" i="18"/>
  <c r="Q44" i="18"/>
  <c r="Q54" i="18"/>
  <c r="Q56" i="18" s="1"/>
  <c r="Q32" i="18"/>
  <c r="AM92" i="18"/>
  <c r="AN93" i="18"/>
  <c r="AM310" i="18"/>
  <c r="AN311" i="18"/>
  <c r="AM91" i="18" l="1"/>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07" i="18"/>
  <c r="W73" i="18" l="1"/>
  <c r="W142" i="18"/>
  <c r="X73" i="18"/>
  <c r="Y73" i="18"/>
  <c r="W140" i="18"/>
  <c r="X140" i="18" s="1"/>
  <c r="W141" i="18"/>
  <c r="W72" i="18"/>
  <c r="X72" i="18" s="1"/>
  <c r="W139" i="18"/>
  <c r="W138" i="18"/>
  <c r="W137" i="18"/>
  <c r="W134" i="18"/>
  <c r="Y134" i="18" s="1"/>
  <c r="W71" i="18"/>
  <c r="W135" i="18"/>
  <c r="W136" i="18"/>
  <c r="X134" i="18"/>
  <c r="W70" i="18"/>
  <c r="X70" i="18" s="1"/>
  <c r="W69" i="18"/>
  <c r="W68" i="18"/>
  <c r="W67" i="18"/>
  <c r="W66" i="18"/>
  <c r="Y66" i="18" s="1"/>
  <c r="W65" i="18"/>
  <c r="W64" i="18"/>
  <c r="W63" i="18"/>
  <c r="W60" i="18"/>
  <c r="Y60" i="18" s="1"/>
  <c r="W61" i="18"/>
  <c r="W62" i="18"/>
  <c r="W74" i="18"/>
  <c r="W75" i="18"/>
  <c r="W58" i="18"/>
  <c r="X58" i="18" s="1"/>
  <c r="W59" i="18"/>
  <c r="Y59" i="18" s="1"/>
  <c r="W57" i="18"/>
  <c r="W56" i="18"/>
  <c r="W54" i="18"/>
  <c r="W55" i="18"/>
  <c r="W98" i="18"/>
  <c r="W133" i="18"/>
  <c r="W132" i="18"/>
  <c r="W53" i="18"/>
  <c r="W131" i="18"/>
  <c r="W52" i="18"/>
  <c r="Y52" i="18" s="1"/>
  <c r="W51" i="18"/>
  <c r="X51" i="18" s="1"/>
  <c r="W50" i="18"/>
  <c r="W49" i="18"/>
  <c r="W47" i="18"/>
  <c r="W46" i="18"/>
  <c r="W48" i="18"/>
  <c r="W45" i="18"/>
  <c r="W44" i="18"/>
  <c r="W43" i="18"/>
  <c r="W130" i="18"/>
  <c r="Y130" i="18" s="1"/>
  <c r="W128" i="18"/>
  <c r="X128" i="18" s="1"/>
  <c r="W129" i="18"/>
  <c r="W127" i="18"/>
  <c r="X127" i="18" s="1"/>
  <c r="W125" i="18"/>
  <c r="X125" i="18" s="1"/>
  <c r="W126" i="18"/>
  <c r="W143" i="18"/>
  <c r="W124" i="18"/>
  <c r="X124" i="18" s="1"/>
  <c r="W123" i="18"/>
  <c r="X123" i="18" s="1"/>
  <c r="W122" i="18"/>
  <c r="X122" i="18" s="1"/>
  <c r="W120" i="18"/>
  <c r="X120" i="18" s="1"/>
  <c r="W121" i="18"/>
  <c r="W97" i="18"/>
  <c r="W119" i="18"/>
  <c r="W96" i="18"/>
  <c r="W102" i="18"/>
  <c r="W99" i="18"/>
  <c r="W101" i="18"/>
  <c r="W95" i="18"/>
  <c r="W94" i="18"/>
  <c r="W93" i="18"/>
  <c r="W92" i="18"/>
  <c r="W91" i="18"/>
  <c r="W90" i="18"/>
  <c r="X90" i="18" s="1"/>
  <c r="W37" i="18"/>
  <c r="W38" i="18"/>
  <c r="W39" i="18"/>
  <c r="W40" i="18"/>
  <c r="W35" i="18"/>
  <c r="W36" i="18"/>
  <c r="W34" i="18"/>
  <c r="W31" i="18"/>
  <c r="W32" i="18"/>
  <c r="W33" i="18"/>
  <c r="W89"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42" i="18" l="1"/>
  <c r="Y142" i="18"/>
  <c r="Y140" i="18"/>
  <c r="X141" i="18"/>
  <c r="Y141" i="18"/>
  <c r="Y72" i="18"/>
  <c r="X139" i="18"/>
  <c r="Y139" i="18"/>
  <c r="X137" i="18"/>
  <c r="Y137" i="18"/>
  <c r="X138" i="18"/>
  <c r="Y138" i="18"/>
  <c r="X136" i="18"/>
  <c r="Y136" i="18"/>
  <c r="Y135" i="18"/>
  <c r="X135" i="18"/>
  <c r="X71" i="18"/>
  <c r="Y71" i="18"/>
  <c r="Y70" i="18"/>
  <c r="X69" i="18"/>
  <c r="Y69" i="18"/>
  <c r="Y68" i="18"/>
  <c r="X68" i="18"/>
  <c r="X67" i="18"/>
  <c r="Y67" i="18"/>
  <c r="X66" i="18"/>
  <c r="X60" i="18"/>
  <c r="X65" i="18"/>
  <c r="Y65" i="18"/>
  <c r="X64" i="18"/>
  <c r="Y64" i="18"/>
  <c r="X63" i="18"/>
  <c r="Y63" i="18"/>
  <c r="X74" i="18"/>
  <c r="Y74" i="18"/>
  <c r="Y62" i="18"/>
  <c r="X62" i="18"/>
  <c r="Y75" i="18"/>
  <c r="X75" i="18"/>
  <c r="X61" i="18"/>
  <c r="Y61" i="18"/>
  <c r="Y58" i="18"/>
  <c r="X59" i="18"/>
  <c r="X56" i="18"/>
  <c r="Y56" i="18"/>
  <c r="X57" i="18"/>
  <c r="Y57" i="18"/>
  <c r="X55" i="18"/>
  <c r="Y55" i="18"/>
  <c r="X54" i="18"/>
  <c r="Y54" i="18"/>
  <c r="Y98" i="18"/>
  <c r="X98" i="18"/>
  <c r="X53" i="18"/>
  <c r="Y53" i="18"/>
  <c r="X131" i="18"/>
  <c r="Y131" i="18"/>
  <c r="X132" i="18"/>
  <c r="Y132" i="18"/>
  <c r="Y133" i="18"/>
  <c r="X133" i="18"/>
  <c r="X52" i="18"/>
  <c r="Y51" i="18"/>
  <c r="X50" i="18"/>
  <c r="Y50" i="18"/>
  <c r="X49" i="18"/>
  <c r="Y49" i="18"/>
  <c r="X130" i="18"/>
  <c r="X46" i="18"/>
  <c r="Y46" i="18"/>
  <c r="X47" i="18"/>
  <c r="Y47" i="18"/>
  <c r="X44" i="18"/>
  <c r="Y44" i="18"/>
  <c r="Y45" i="18"/>
  <c r="X45" i="18"/>
  <c r="Y43" i="18"/>
  <c r="X43" i="18"/>
  <c r="X48" i="18"/>
  <c r="Y48" i="18"/>
  <c r="Y128" i="18"/>
  <c r="X129" i="18"/>
  <c r="Y129" i="18"/>
  <c r="Y127" i="18"/>
  <c r="Y125" i="18"/>
  <c r="X126" i="18"/>
  <c r="Y126" i="18"/>
  <c r="X143" i="18"/>
  <c r="Y143" i="18"/>
  <c r="Y124" i="18"/>
  <c r="Y123" i="18"/>
  <c r="Y122" i="18"/>
  <c r="Y120" i="18"/>
  <c r="X121" i="18"/>
  <c r="Y121" i="18"/>
  <c r="X97" i="18"/>
  <c r="Y97" i="18"/>
  <c r="X119" i="18"/>
  <c r="Y119" i="18"/>
  <c r="Y101" i="18"/>
  <c r="X101" i="18"/>
  <c r="Y99" i="18"/>
  <c r="X99" i="18"/>
  <c r="X102" i="18"/>
  <c r="Y102" i="18"/>
  <c r="X96" i="18"/>
  <c r="Y96" i="18"/>
  <c r="Y90" i="18"/>
  <c r="X94" i="18"/>
  <c r="Y94" i="18"/>
  <c r="X95" i="18"/>
  <c r="Y95" i="18"/>
  <c r="X93" i="18"/>
  <c r="Y93" i="18"/>
  <c r="X92" i="18"/>
  <c r="Y92" i="18"/>
  <c r="Y91" i="18"/>
  <c r="X91"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G302" i="20"/>
  <c r="K303" i="20"/>
  <c r="I303" i="20"/>
  <c r="J303" i="20"/>
  <c r="Y26" i="18"/>
  <c r="X85" i="18"/>
  <c r="Y85" i="18"/>
  <c r="X25" i="18"/>
  <c r="Y25" i="18"/>
  <c r="Y24" i="18"/>
  <c r="X84" i="18"/>
  <c r="Y84" i="18"/>
  <c r="X23" i="18"/>
  <c r="X83" i="18"/>
  <c r="Y83" i="18"/>
  <c r="X82" i="18"/>
  <c r="Y82" i="18"/>
  <c r="Y81" i="18"/>
  <c r="X81" i="18"/>
  <c r="X22" i="18"/>
  <c r="Y22" i="18"/>
  <c r="X20" i="18"/>
  <c r="Y20" i="18"/>
  <c r="X111" i="18"/>
  <c r="Y111"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2"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2" i="18" l="1"/>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3" i="18" l="1"/>
  <c r="X113" i="18" s="1"/>
  <c r="T114" i="18"/>
  <c r="T115" i="18" s="1"/>
  <c r="T116" i="18" s="1"/>
  <c r="G19" i="20"/>
  <c r="I20" i="20"/>
  <c r="J20" i="20"/>
  <c r="K20" i="20"/>
  <c r="F14" i="15"/>
  <c r="T117" i="18" l="1"/>
  <c r="Y113" i="18"/>
  <c r="W114" i="18"/>
  <c r="G18" i="20"/>
  <c r="J19" i="20"/>
  <c r="K19" i="20"/>
  <c r="I19" i="20"/>
  <c r="F13" i="15"/>
  <c r="T118" i="18" l="1"/>
  <c r="W118" i="18" s="1"/>
  <c r="X114" i="18"/>
  <c r="Y114" i="18"/>
  <c r="G17" i="20"/>
  <c r="K18" i="20"/>
  <c r="I18" i="20"/>
  <c r="J18" i="20"/>
  <c r="F12" i="15"/>
  <c r="Y118" i="18" l="1"/>
  <c r="X11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5" i="18" l="1"/>
  <c r="Y115" i="18" s="1"/>
  <c r="G8" i="20"/>
  <c r="J9" i="20"/>
  <c r="K9" i="20"/>
  <c r="I9" i="20"/>
  <c r="F2" i="15"/>
  <c r="F3" i="15"/>
  <c r="X11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6" i="18" l="1"/>
  <c r="X116" i="18" s="1"/>
  <c r="Y116" i="18" l="1"/>
  <c r="W117" i="18" l="1"/>
  <c r="X117" i="18" s="1"/>
  <c r="Y117" i="18" l="1"/>
  <c r="K50" i="60"/>
  <c r="K5" i="60"/>
  <c r="L5" i="60" s="1"/>
  <c r="L10" i="60" s="1"/>
  <c r="L12" i="60" s="1"/>
  <c r="S179" i="18"/>
  <c r="U601" i="18" l="1"/>
  <c r="W607" i="18" s="1"/>
  <c r="V614" i="18"/>
  <c r="W614" i="18" s="1"/>
  <c r="W604" i="18" l="1"/>
  <c r="X155" i="18"/>
  <c r="X159" i="18" s="1"/>
  <c r="X153" i="18"/>
  <c r="X154" i="18"/>
  <c r="N53" i="18" s="1"/>
  <c r="N56" i="18" s="1"/>
  <c r="X152" i="18"/>
  <c r="X158" i="18" l="1"/>
  <c r="Y155" i="18" s="1"/>
  <c r="AA155" i="18" s="1"/>
  <c r="X160" i="18"/>
  <c r="X161" i="18" s="1"/>
  <c r="L33" i="18" s="1"/>
  <c r="L57" i="18" s="1"/>
  <c r="Z155" i="18" l="1"/>
  <c r="Y154" i="18"/>
  <c r="AA154" i="18" s="1"/>
  <c r="Y153" i="18"/>
  <c r="Y152" i="18"/>
  <c r="Z152" i="18" s="1"/>
  <c r="L58" i="18"/>
  <c r="Z154" i="18"/>
  <c r="AA153" i="18"/>
  <c r="Z153" i="18"/>
  <c r="F24" i="18"/>
  <c r="G24" i="18" s="1"/>
  <c r="L59" i="18"/>
  <c r="AA152" i="18" l="1"/>
</calcChain>
</file>

<file path=xl/sharedStrings.xml><?xml version="1.0" encoding="utf-8"?>
<sst xmlns="http://schemas.openxmlformats.org/spreadsheetml/2006/main" count="17121" uniqueCount="7030">
  <si>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</si>
  <si>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</si>
  <si>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</si>
  <si>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</si>
  <si>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</si>
  <si>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</si>
  <si>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</si>
  <si>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</si>
  <si>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</si>
  <si>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</si>
  <si>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</si>
  <si>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</si>
  <si>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</si>
  <si>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</si>
  <si>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</si>
  <si>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</si>
  <si>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</si>
  <si>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</si>
  <si>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</si>
  <si>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</si>
  <si>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</si>
  <si>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</si>
  <si>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</si>
  <si>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</si>
  <si>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</si>
  <si>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</si>
  <si>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</si>
  <si>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</si>
  <si>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</si>
  <si>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</si>
  <si>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</si>
  <si>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</si>
  <si>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</si>
  <si>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</si>
  <si>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</si>
  <si>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</si>
  <si>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</si>
  <si>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</si>
  <si>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</si>
  <si>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</si>
  <si>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</si>
  <si>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</si>
  <si>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</si>
  <si>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</si>
  <si>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</si>
  <si>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</si>
  <si>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</si>
  <si>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</si>
  <si>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</si>
  <si>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</si>
  <si>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</si>
  <si>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</si>
  <si>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</si>
  <si>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</si>
  <si>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</si>
  <si>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</si>
  <si>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</si>
  <si>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</si>
  <si>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</si>
  <si>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</si>
  <si>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</si>
  <si>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</si>
  <si>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</si>
  <si>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</si>
  <si>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</si>
  <si>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</si>
  <si>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</si>
  <si>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</si>
  <si>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</si>
  <si>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</si>
  <si>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</si>
  <si>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</si>
  <si>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</si>
  <si>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</si>
  <si>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</si>
  <si>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</si>
  <si>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</si>
  <si>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</si>
  <si>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</si>
  <si>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</si>
  <si>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</si>
  <si>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</si>
  <si>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</si>
  <si>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</si>
  <si>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</si>
  <si>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</si>
  <si>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</si>
  <si>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</si>
  <si>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</si>
  <si>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</si>
  <si>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</si>
  <si>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</si>
  <si>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</si>
  <si>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</si>
  <si>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</si>
  <si>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</si>
  <si>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</si>
  <si>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</si>
  <si>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</si>
  <si>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</si>
  <si>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</si>
  <si>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</si>
  <si>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</si>
  <si>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</si>
  <si>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</si>
  <si>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</si>
  <si>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</si>
  <si>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</si>
  <si>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</si>
  <si>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</si>
  <si>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</si>
  <si>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</si>
  <si>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</si>
  <si>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</si>
  <si>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</si>
  <si>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</si>
  <si>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</si>
  <si>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</si>
  <si>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</si>
  <si>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</si>
  <si>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</si>
  <si>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</si>
  <si>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</si>
  <si>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</si>
  <si>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</si>
  <si>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</si>
  <si>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</si>
  <si>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</si>
  <si>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</si>
  <si>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</si>
  <si>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</si>
  <si>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</si>
  <si>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</si>
  <si>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</si>
  <si>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</si>
  <si>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</si>
  <si>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</si>
  <si>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</si>
  <si>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</si>
  <si>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</si>
  <si>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</si>
  <si>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</si>
  <si>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</si>
  <si>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</si>
  <si>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</si>
  <si>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</si>
  <si>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</si>
  <si>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</si>
  <si>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</si>
  <si>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</si>
  <si>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</si>
  <si>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</si>
  <si>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</si>
  <si>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</si>
  <si>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</si>
  <si>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</si>
  <si>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</si>
  <si>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</si>
  <si>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</si>
  <si>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</si>
  <si>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</si>
  <si>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</si>
  <si>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</si>
  <si>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</si>
  <si>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</si>
  <si>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</si>
  <si>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</si>
  <si>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</si>
  <si>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</si>
  <si>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</si>
  <si>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</si>
  <si>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</si>
  <si>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</si>
  <si>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</si>
  <si>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</si>
  <si>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</si>
  <si>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</si>
  <si>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</si>
  <si>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</si>
  <si>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</si>
  <si>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</si>
  <si>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</si>
  <si>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</si>
  <si>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</si>
  <si>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</si>
  <si>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</si>
  <si>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</si>
  <si>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</si>
  <si>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</si>
  <si>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</si>
  <si>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</si>
  <si>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</si>
  <si>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</si>
  <si>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</si>
  <si>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</si>
  <si>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</si>
  <si>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</si>
  <si>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</si>
  <si>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</si>
  <si>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</si>
  <si>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</si>
  <si>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</si>
  <si>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</si>
  <si>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</si>
  <si>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</si>
  <si>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</si>
  <si>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</si>
  <si>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</si>
  <si>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</si>
  <si>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</si>
  <si>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</si>
  <si>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</si>
  <si>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</si>
  <si>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</si>
  <si>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</si>
  <si>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</si>
  <si>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</si>
  <si>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</si>
  <si>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</si>
  <si>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</si>
  <si>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</si>
  <si>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</si>
  <si>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</si>
  <si>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</si>
  <si>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</si>
  <si>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</si>
  <si>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</si>
  <si>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</si>
  <si>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</si>
  <si>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</si>
  <si>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</si>
  <si>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</si>
  <si>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</si>
  <si>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</si>
  <si>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</si>
  <si>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</si>
  <si>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</si>
  <si>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</si>
  <si>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</si>
  <si>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</si>
  <si>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</si>
  <si>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</si>
  <si>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</si>
  <si>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</si>
  <si>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</si>
  <si>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</si>
  <si>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</si>
  <si>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</si>
  <si>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</si>
  <si>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</si>
  <si>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</si>
  <si>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</si>
  <si>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</si>
  <si>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</si>
  <si>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</si>
  <si>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</si>
  <si>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</si>
  <si>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</si>
  <si>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</si>
  <si>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</si>
  <si>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</si>
  <si>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</si>
  <si>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</si>
  <si>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</si>
  <si>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</si>
  <si>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</si>
  <si>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</si>
  <si>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</si>
  <si>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</si>
  <si>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</si>
  <si>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</si>
  <si>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</si>
  <si>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</si>
  <si>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</si>
  <si>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</si>
  <si>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</si>
  <si>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</si>
  <si>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</si>
  <si>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</si>
  <si>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</si>
  <si>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</si>
  <si>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</si>
  <si>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</si>
  <si>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</si>
  <si>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</si>
  <si>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</si>
  <si>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</si>
  <si>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</si>
  <si>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</si>
  <si>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</si>
  <si>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</si>
  <si>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</si>
  <si>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</si>
  <si>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</si>
  <si>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</si>
  <si>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</si>
  <si>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</si>
  <si>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</si>
  <si>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</si>
  <si>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</si>
  <si>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</si>
  <si>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</si>
  <si>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</si>
  <si>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</si>
  <si>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</si>
  <si>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</si>
  <si>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</si>
  <si>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</si>
  <si>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</si>
  <si>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</si>
  <si>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</si>
  <si>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</si>
  <si>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</si>
  <si>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</si>
  <si>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</si>
  <si>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</si>
  <si>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</si>
  <si>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</si>
  <si>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</si>
  <si>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</si>
  <si>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</si>
  <si>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</si>
  <si>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</si>
  <si>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</si>
  <si>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</si>
  <si>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</si>
  <si>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</si>
  <si>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</si>
  <si>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</si>
  <si>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</si>
  <si>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</si>
  <si>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</si>
  <si>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</si>
  <si>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</si>
  <si>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</si>
  <si>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</si>
  <si>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</si>
  <si>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</si>
  <si>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</si>
  <si>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</si>
  <si>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</si>
  <si>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</si>
  <si>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</si>
  <si>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</si>
  <si>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</si>
  <si>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</si>
  <si>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</si>
  <si>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</si>
  <si>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</si>
  <si>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</si>
  <si>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</si>
  <si>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</si>
  <si>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</si>
  <si>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</si>
  <si>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</si>
  <si>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</si>
  <si>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</si>
  <si>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</si>
  <si>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</si>
  <si>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</si>
  <si>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</si>
  <si>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</si>
  <si>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</si>
  <si>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</si>
  <si>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</si>
  <si>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</si>
  <si>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</si>
  <si>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</si>
  <si>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</si>
  <si>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</si>
  <si>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</si>
  <si>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</si>
  <si>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</si>
  <si>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</si>
  <si>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</si>
  <si>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</si>
  <si>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</si>
  <si>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</si>
  <si>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</si>
  <si>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</si>
  <si>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</si>
  <si>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</si>
  <si>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</si>
  <si>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</si>
  <si>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</si>
  <si>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</si>
  <si>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</si>
  <si>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</si>
  <si>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</si>
  <si>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</si>
  <si>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</si>
  <si>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</si>
  <si>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</si>
  <si>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</si>
  <si>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</si>
  <si>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</si>
  <si>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</si>
  <si>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</si>
  <si>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</si>
  <si>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</si>
  <si>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</si>
  <si>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</si>
  <si>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</si>
  <si>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</si>
  <si>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</si>
  <si>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</si>
  <si>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</si>
  <si>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</si>
  <si>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</si>
  <si>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</si>
  <si>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</si>
  <si>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</si>
  <si>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</si>
  <si>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</si>
  <si>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</si>
  <si>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</si>
  <si>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</si>
  <si>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</si>
  <si>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</si>
  <si>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</si>
  <si>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</si>
  <si>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</si>
  <si>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</si>
  <si>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</si>
  <si>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</si>
  <si>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</si>
  <si>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</si>
  <si>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</si>
  <si>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</si>
  <si>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</si>
  <si>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</si>
  <si>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</si>
  <si>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</si>
  <si>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</si>
  <si>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</si>
  <si>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</si>
  <si>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</si>
  <si>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</si>
  <si>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</si>
  <si>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</si>
  <si>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</si>
  <si>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</si>
  <si>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</si>
  <si>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</si>
  <si>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</si>
  <si>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</si>
  <si>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</si>
  <si>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</si>
  <si>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</si>
  <si>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</si>
  <si>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</si>
  <si>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</si>
  <si>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</si>
  <si>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</si>
  <si>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</si>
  <si>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</si>
  <si>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</si>
  <si>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</si>
  <si>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</si>
  <si>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</si>
  <si>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</si>
  <si>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</si>
  <si>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</si>
  <si>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</si>
  <si>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</si>
  <si>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</si>
  <si>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</si>
  <si>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</si>
  <si>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</si>
  <si>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</si>
  <si>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</si>
  <si>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</si>
  <si>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</si>
  <si>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</si>
  <si>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</si>
  <si>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</si>
  <si>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</si>
  <si>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</si>
  <si>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</si>
  <si>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</si>
  <si>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</si>
  <si>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</si>
  <si>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</si>
  <si>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</si>
  <si>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</si>
  <si>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</si>
  <si>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</si>
  <si>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</si>
  <si>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</si>
  <si>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</si>
  <si>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</si>
  <si>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</si>
  <si>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</si>
  <si>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</si>
  <si>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</si>
  <si>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</si>
  <si>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</si>
  <si>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</si>
  <si>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</si>
  <si>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</si>
  <si>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</si>
  <si>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</si>
  <si>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</si>
  <si>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</si>
  <si>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</si>
  <si>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</si>
  <si>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</si>
  <si>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</si>
  <si>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</si>
  <si>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</si>
  <si>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</si>
  <si>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</si>
  <si>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</si>
  <si>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</si>
  <si>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</si>
  <si>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</si>
  <si>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</si>
  <si>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</si>
  <si>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</si>
  <si>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</si>
  <si>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</si>
  <si>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</si>
  <si>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</si>
  <si>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</si>
  <si>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</si>
  <si>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</si>
  <si>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</si>
  <si>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</si>
  <si>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</si>
  <si>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</si>
  <si>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</si>
  <si>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</si>
  <si>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</si>
  <si>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</si>
  <si>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</si>
  <si>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</si>
  <si>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</si>
  <si>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</si>
  <si>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</si>
  <si>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</si>
  <si>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</si>
  <si>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</si>
  <si>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</si>
  <si>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</si>
  <si>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</si>
  <si>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</si>
  <si>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</si>
  <si>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</si>
  <si>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</si>
  <si>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</si>
  <si>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</si>
  <si>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</si>
  <si>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</si>
  <si>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</si>
  <si>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</si>
  <si>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</si>
  <si>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</si>
  <si>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</si>
  <si>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</si>
  <si>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</si>
  <si>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</si>
  <si>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</si>
  <si>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</si>
  <si>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</si>
  <si>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</si>
  <si>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</si>
  <si>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</si>
  <si>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</si>
  <si>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</si>
  <si>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</si>
  <si>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</si>
  <si>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</si>
  <si>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</si>
  <si>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</si>
  <si>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</si>
  <si>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</si>
  <si>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</si>
  <si>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</si>
  <si>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</si>
  <si>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</si>
  <si>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</si>
  <si>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</si>
  <si>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</si>
  <si>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</si>
  <si>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</si>
  <si>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</si>
  <si>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</si>
  <si>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</si>
  <si>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</si>
  <si>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</si>
  <si>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</si>
  <si>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</si>
  <si>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</si>
  <si>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</si>
  <si>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</si>
  <si>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</si>
  <si>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</si>
  <si>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</si>
  <si>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</si>
  <si>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</si>
  <si>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</si>
  <si>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</si>
  <si>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</si>
  <si>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</si>
  <si>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</si>
  <si>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</si>
  <si>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</si>
  <si>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</si>
  <si>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</si>
  <si>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</si>
  <si>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</si>
  <si>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</si>
  <si>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</si>
  <si>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</si>
  <si>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</si>
  <si>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</si>
  <si>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</si>
  <si>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</si>
  <si>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</si>
  <si>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</si>
  <si>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</si>
  <si>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</si>
  <si>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</si>
  <si>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</si>
  <si>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</si>
  <si>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</si>
  <si>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</si>
  <si>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</si>
  <si>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</si>
  <si>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</si>
  <si>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</si>
  <si>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</si>
  <si>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</si>
  <si>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</si>
  <si>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</si>
  <si>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</si>
  <si>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</si>
  <si>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</si>
  <si>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</si>
  <si>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</si>
  <si>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</si>
  <si>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</si>
  <si>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</si>
  <si>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</si>
  <si>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</si>
  <si>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</si>
  <si>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</si>
  <si>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</si>
  <si>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</si>
  <si>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</si>
  <si>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</si>
  <si>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</si>
  <si>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</si>
  <si>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</si>
  <si>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</si>
  <si>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</si>
  <si>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</si>
  <si>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</si>
  <si>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</si>
  <si>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</si>
  <si>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</si>
  <si>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</si>
  <si>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</si>
  <si>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</si>
  <si>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</si>
  <si>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</si>
  <si>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</si>
  <si>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</si>
  <si>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</si>
  <si>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</si>
  <si>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</si>
  <si>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</si>
  <si>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</si>
  <si>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</si>
  <si>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</si>
  <si>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</si>
  <si>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</si>
  <si>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</si>
  <si>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</si>
  <si>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</si>
  <si>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</si>
  <si>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</si>
  <si>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</si>
  <si>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</si>
  <si>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</si>
  <si>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</si>
  <si>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</si>
  <si>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</si>
  <si>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</si>
  <si>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</si>
  <si>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</si>
  <si>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</si>
  <si>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</si>
  <si>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</si>
  <si>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</si>
  <si>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</si>
  <si>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</si>
  <si>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</si>
  <si>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</si>
  <si>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</si>
  <si>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</si>
  <si>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</si>
  <si>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</si>
  <si>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</si>
  <si>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</si>
  <si>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</si>
  <si>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</si>
  <si>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</si>
  <si>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</si>
  <si>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</si>
  <si>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</si>
  <si>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</si>
  <si>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</si>
  <si>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</si>
  <si>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</si>
  <si>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</si>
  <si>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</si>
  <si>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</si>
  <si>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</si>
  <si>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</si>
  <si>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</si>
  <si>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</si>
  <si>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</si>
  <si>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</si>
  <si>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</si>
  <si>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</si>
  <si>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</si>
  <si>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</si>
  <si>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</si>
  <si>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</si>
  <si>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</si>
  <si>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</si>
  <si>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</si>
  <si>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</si>
  <si>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</si>
  <si>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</si>
  <si>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</si>
  <si>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</si>
  <si>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</si>
  <si>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</si>
  <si>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</si>
  <si>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</si>
  <si>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</si>
  <si>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</si>
  <si>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</si>
  <si>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</si>
  <si>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</si>
  <si>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</si>
  <si>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</si>
  <si>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</si>
  <si>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</si>
  <si>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</si>
  <si>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</si>
  <si>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</si>
  <si>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</si>
  <si>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</si>
  <si>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</si>
  <si>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</si>
  <si>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</si>
  <si>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</si>
  <si>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</si>
  <si>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</si>
  <si>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</si>
  <si>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</si>
  <si>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</si>
  <si>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</si>
  <si>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</si>
  <si>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</si>
  <si>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</si>
  <si>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</si>
  <si>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</si>
  <si>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</si>
  <si>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</si>
  <si>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</si>
  <si>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</si>
  <si>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</si>
  <si>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</si>
  <si>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</si>
  <si>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</si>
  <si>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</si>
  <si>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</si>
  <si>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</si>
  <si>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</si>
  <si>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</si>
  <si>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</si>
  <si>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</si>
  <si>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</si>
  <si>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</si>
  <si>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</si>
  <si>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</si>
  <si>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</si>
  <si>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</si>
  <si>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</si>
  <si>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</si>
  <si>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</si>
  <si>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</si>
  <si>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</si>
  <si>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</si>
  <si>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</si>
  <si>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</si>
  <si>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</si>
  <si>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</si>
  <si>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</si>
  <si>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</si>
  <si>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</si>
  <si>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</si>
  <si>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</si>
  <si>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</si>
  <si>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</si>
  <si>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</si>
  <si>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</si>
  <si>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</si>
  <si>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</si>
  <si>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</si>
  <si>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</si>
  <si>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</si>
  <si>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</si>
  <si>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</si>
  <si>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</si>
  <si>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</si>
  <si>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</si>
  <si>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</si>
  <si>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</si>
  <si>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</si>
  <si>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</si>
  <si>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</si>
  <si>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</si>
  <si>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</si>
  <si>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</si>
  <si>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</si>
  <si>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</si>
  <si>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</si>
  <si>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</si>
  <si>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</si>
  <si>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</si>
  <si>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</si>
  <si>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</si>
  <si>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</si>
  <si>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</si>
  <si>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</si>
  <si>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</si>
  <si>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</si>
  <si>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</si>
  <si>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</si>
  <si>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</si>
  <si>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</si>
  <si>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</si>
  <si>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</si>
  <si>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</si>
  <si>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</si>
  <si>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</si>
  <si>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</si>
  <si>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</si>
  <si>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</si>
  <si>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</si>
  <si>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</si>
  <si>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</si>
  <si>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</si>
  <si>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</si>
  <si>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</si>
  <si>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</si>
  <si>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</si>
  <si>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</si>
  <si>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</si>
  <si>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</si>
  <si>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</si>
  <si>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</si>
  <si>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</si>
  <si>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</si>
  <si>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</si>
  <si>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</si>
  <si>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</si>
  <si>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</si>
  <si>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</si>
  <si>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</si>
  <si>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</si>
  <si>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</si>
  <si>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</si>
  <si>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</si>
  <si>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</si>
  <si>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</si>
  <si>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</si>
  <si>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</si>
  <si>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</si>
  <si>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</si>
  <si>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</si>
  <si>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</si>
  <si>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</si>
  <si>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</si>
  <si>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</si>
  <si>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</si>
  <si>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</si>
  <si>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</si>
  <si>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</si>
  <si>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</si>
  <si>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</si>
  <si>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</si>
  <si>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</si>
  <si>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</si>
  <si>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</si>
  <si>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</si>
  <si>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</si>
  <si>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</si>
  <si>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</si>
  <si>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</si>
  <si>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</si>
  <si>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</si>
  <si>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</si>
  <si>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</si>
  <si>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</si>
  <si>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</si>
  <si>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</si>
  <si>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</si>
  <si>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</si>
  <si>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</si>
  <si>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</si>
  <si>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</si>
  <si>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</si>
  <si>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</si>
  <si>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</si>
  <si>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</si>
  <si>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</si>
  <si>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</si>
  <si>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</si>
  <si>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</si>
  <si>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</si>
  <si>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</si>
  <si>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</si>
  <si>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</si>
  <si>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</si>
  <si>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</si>
  <si>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</si>
  <si>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</si>
  <si>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</si>
  <si>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</si>
  <si>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</si>
  <si>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</si>
  <si>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</si>
  <si>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</si>
  <si>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</si>
  <si>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</si>
  <si>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</si>
  <si>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</si>
  <si>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</si>
  <si>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</si>
  <si>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</si>
  <si>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</si>
  <si>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</si>
  <si>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</si>
  <si>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</si>
  <si>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</si>
  <si>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</si>
  <si>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</si>
  <si>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</si>
  <si>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</si>
  <si>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</si>
  <si>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</si>
  <si>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</si>
  <si>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</si>
  <si>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</si>
  <si>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</si>
  <si>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</si>
  <si>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</si>
  <si>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</si>
  <si>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</si>
  <si>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</si>
  <si>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</si>
  <si>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</si>
  <si>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</si>
  <si>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</si>
  <si>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</si>
  <si>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</si>
  <si>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</si>
  <si>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</si>
  <si>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</si>
  <si>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</si>
  <si>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</si>
  <si>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</si>
  <si>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</si>
  <si>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</si>
  <si>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</si>
  <si>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</si>
  <si>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</si>
  <si>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</si>
  <si>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</si>
  <si>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</si>
  <si>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</si>
  <si>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</si>
  <si>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</si>
  <si>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</si>
  <si>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</si>
  <si>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</si>
  <si>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</si>
  <si>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</si>
  <si>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</si>
  <si>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</si>
  <si>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</si>
  <si>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</si>
  <si>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</si>
  <si>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</si>
  <si>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</si>
  <si>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</si>
  <si>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</si>
  <si>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</si>
  <si>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</si>
  <si>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</si>
  <si>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</si>
  <si>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</si>
  <si>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</si>
  <si>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</si>
  <si>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</si>
  <si>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</si>
  <si>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</si>
  <si>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</si>
  <si>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</si>
  <si>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</si>
  <si>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</si>
  <si>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</si>
  <si>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</si>
  <si>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</si>
  <si>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</si>
  <si>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</si>
  <si>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</si>
  <si>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</si>
  <si>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</si>
  <si>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</si>
  <si>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</si>
  <si>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</si>
  <si>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</si>
  <si>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</si>
  <si>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</si>
  <si>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</si>
  <si>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</si>
  <si>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</si>
  <si>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</si>
  <si>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</si>
  <si>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</si>
  <si>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</si>
  <si>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</si>
  <si>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</si>
  <si>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</si>
  <si>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</si>
  <si>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</si>
  <si>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</si>
  <si>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</si>
  <si>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</si>
  <si>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</si>
  <si>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</si>
  <si>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</si>
  <si>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</si>
  <si>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</si>
  <si>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</si>
  <si>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</si>
  <si>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</si>
  <si>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</si>
  <si>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</si>
  <si>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</si>
  <si>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</si>
  <si>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</si>
  <si>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</si>
  <si>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</si>
  <si>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</si>
  <si>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</si>
  <si>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</si>
  <si>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</si>
  <si>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</si>
  <si>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</si>
  <si>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</si>
  <si>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</si>
  <si>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</si>
  <si>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</si>
  <si>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</si>
  <si>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</si>
  <si>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</si>
  <si>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</si>
  <si>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</si>
  <si>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</si>
  <si>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</si>
  <si>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</si>
  <si>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</si>
  <si>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</si>
  <si>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</si>
  <si>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</si>
  <si>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</si>
  <si>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</si>
  <si>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</si>
  <si>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</si>
  <si>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</si>
  <si>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</si>
  <si>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</si>
  <si>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</si>
  <si>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</si>
  <si>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</si>
  <si>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</si>
  <si>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</si>
  <si>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</si>
  <si>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</si>
  <si>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</si>
  <si>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</si>
  <si>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</si>
  <si>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</si>
  <si>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</si>
  <si>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</si>
  <si>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</si>
  <si>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</si>
  <si>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</si>
  <si>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</si>
  <si>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</si>
  <si>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</si>
  <si>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</si>
  <si>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</si>
  <si>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</si>
  <si>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</si>
  <si>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</si>
  <si>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</si>
  <si>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</si>
  <si>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</si>
  <si>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</si>
  <si>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</si>
  <si>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</si>
  <si>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</si>
  <si>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</si>
  <si>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</si>
  <si>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</si>
  <si>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</si>
  <si>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</si>
  <si>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</si>
  <si>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</si>
  <si>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</si>
  <si>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</si>
  <si>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</si>
  <si>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</si>
  <si>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</si>
  <si>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</si>
  <si>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</si>
  <si>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</si>
  <si>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</si>
  <si>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</si>
  <si>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</si>
  <si>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</si>
  <si>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</si>
  <si>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</si>
  <si>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</si>
  <si>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</si>
  <si>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</si>
  <si>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</si>
  <si>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</si>
  <si>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</si>
  <si>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</si>
  <si>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</si>
  <si>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</si>
  <si>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</si>
  <si>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</si>
  <si>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</si>
  <si>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</si>
  <si>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</si>
  <si>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</si>
  <si>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</si>
  <si>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</si>
  <si>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</si>
  <si>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</si>
  <si>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</si>
  <si>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</si>
  <si>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</si>
  <si>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</si>
  <si>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</si>
  <si>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</si>
  <si>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</si>
  <si>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</si>
  <si>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</si>
  <si>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</si>
  <si>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</si>
  <si>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</si>
  <si>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</si>
  <si>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</si>
  <si>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</si>
  <si>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</si>
  <si>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</si>
  <si>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</si>
  <si>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</si>
  <si>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</si>
  <si>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</si>
  <si>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</si>
  <si>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</si>
  <si>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</si>
  <si>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</si>
  <si>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</si>
  <si>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</si>
  <si>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</si>
  <si>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</si>
  <si>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</si>
  <si>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</si>
  <si>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</si>
  <si>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</si>
  <si>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</si>
  <si>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</si>
  <si>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</si>
  <si>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</si>
  <si>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</si>
  <si>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</si>
  <si>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</si>
  <si>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</si>
  <si>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</si>
  <si>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</si>
  <si>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</si>
  <si>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</si>
  <si>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</si>
  <si>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</si>
  <si>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</si>
  <si>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</si>
  <si>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</si>
  <si>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</si>
  <si>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</si>
  <si>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</si>
  <si>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</si>
  <si>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</si>
  <si>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</si>
  <si>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</si>
  <si>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</si>
  <si>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</si>
  <si>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</si>
  <si>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</si>
  <si>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</si>
  <si>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</si>
  <si>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</si>
  <si>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</si>
  <si>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</si>
  <si>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</si>
  <si>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</si>
  <si>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</si>
  <si>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</si>
  <si>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</si>
  <si>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</si>
  <si>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</si>
  <si>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</si>
  <si>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</si>
  <si>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</si>
  <si>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</si>
  <si>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</si>
  <si>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</si>
  <si>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</si>
  <si>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</si>
  <si>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</si>
  <si>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</si>
  <si>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</si>
  <si>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</si>
  <si>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</si>
  <si>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</si>
  <si>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</si>
  <si>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</si>
  <si>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</si>
  <si>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</si>
  <si>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</si>
  <si>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</si>
  <si>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</si>
  <si>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</si>
  <si>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</si>
  <si>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</si>
  <si>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</si>
  <si>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</si>
  <si>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</si>
  <si>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</si>
  <si>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</si>
  <si>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</si>
  <si>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</si>
  <si>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</si>
  <si>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</si>
  <si>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</si>
  <si>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</si>
  <si>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</si>
  <si>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</si>
  <si>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</si>
  <si>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</si>
  <si>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</si>
  <si>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</si>
  <si>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</si>
  <si>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</si>
  <si>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</si>
  <si>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</si>
  <si>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</si>
  <si>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</si>
  <si>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</si>
  <si>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</si>
  <si>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</si>
  <si>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</si>
  <si>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</si>
  <si>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</si>
  <si>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</si>
  <si>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</si>
  <si>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</si>
  <si>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</si>
  <si>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</si>
  <si>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</si>
  <si>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</si>
  <si>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</si>
  <si>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</si>
  <si>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</si>
  <si>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</si>
  <si>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</si>
  <si>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</si>
  <si>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</si>
  <si>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</si>
  <si>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</si>
  <si>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</si>
  <si>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</si>
  <si>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</si>
  <si>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</si>
  <si>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</si>
  <si>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</si>
  <si>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</si>
  <si>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</si>
  <si>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</si>
  <si>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</si>
  <si>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</si>
  <si>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</si>
  <si>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</si>
  <si>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</si>
  <si>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</si>
  <si>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</si>
  <si>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</si>
  <si>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</si>
  <si>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</si>
  <si>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</si>
  <si>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</si>
  <si>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</si>
  <si>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</si>
  <si>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</si>
  <si>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</si>
  <si>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</si>
  <si>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</si>
  <si>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</si>
  <si>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</si>
  <si>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</si>
  <si>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</si>
  <si>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</si>
  <si>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</si>
  <si>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</si>
  <si>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</si>
  <si>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</si>
  <si>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</si>
  <si>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</si>
  <si>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</si>
  <si>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</si>
  <si>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</si>
  <si>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</si>
  <si>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</si>
  <si>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</si>
  <si>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</si>
  <si>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</si>
  <si>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</si>
  <si>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</si>
  <si>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</si>
  <si>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</si>
  <si>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</si>
  <si>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</si>
  <si>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</si>
  <si>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</si>
  <si>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</si>
  <si>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</si>
  <si>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</si>
  <si>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</si>
  <si>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</si>
  <si>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</si>
  <si>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</si>
  <si>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</si>
  <si>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</si>
  <si>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</si>
  <si>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</si>
  <si>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</si>
  <si>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</si>
  <si>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</si>
  <si>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</si>
  <si>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</si>
  <si>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</si>
  <si>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</si>
  <si>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</si>
  <si>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</si>
  <si>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</si>
  <si>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</si>
  <si>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</si>
  <si>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</si>
  <si>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</si>
  <si>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</si>
  <si>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</si>
  <si>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</si>
  <si>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</si>
  <si>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</si>
  <si>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</si>
  <si>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</si>
  <si>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</si>
  <si>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</si>
  <si>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</si>
  <si>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</si>
  <si>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</si>
  <si>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</si>
  <si>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</si>
  <si>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</si>
  <si>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</si>
  <si>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</si>
  <si>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</si>
  <si>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</si>
  <si>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</si>
  <si>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</si>
  <si>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</si>
  <si>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</si>
  <si>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</si>
  <si>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</si>
  <si>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</si>
  <si>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</si>
  <si>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</si>
  <si>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</si>
  <si>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</si>
  <si>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</si>
  <si>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</si>
  <si>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</si>
  <si>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</si>
  <si>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</si>
  <si>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</si>
  <si>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</si>
  <si>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</si>
  <si>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</si>
  <si>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</si>
  <si>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</si>
  <si>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</si>
  <si>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</si>
  <si>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</si>
  <si>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</si>
  <si>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</si>
  <si>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</si>
  <si>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</si>
  <si>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</si>
  <si>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</si>
  <si>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</si>
  <si>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</si>
  <si>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</si>
  <si>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</si>
  <si>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</si>
  <si>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</si>
  <si>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</si>
  <si>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</si>
  <si>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</si>
  <si>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</si>
  <si>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</si>
  <si>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</si>
  <si>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</si>
  <si>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</si>
  <si>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</si>
  <si>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</si>
  <si>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</si>
  <si>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</si>
  <si>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</si>
  <si>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</si>
  <si>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</si>
  <si>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</si>
  <si>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</si>
  <si>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</si>
  <si>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</si>
  <si>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</si>
  <si>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</si>
  <si>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</si>
  <si>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</si>
  <si>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</si>
  <si>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</si>
  <si>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</si>
  <si>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</si>
  <si>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</si>
  <si>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</si>
  <si>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</si>
  <si>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</si>
  <si>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</si>
  <si>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</si>
  <si>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</si>
  <si>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</si>
  <si>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</si>
  <si>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</si>
  <si>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</si>
  <si>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</si>
  <si>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</si>
  <si>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</si>
  <si>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</si>
  <si>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</si>
  <si>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</si>
  <si>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</si>
  <si>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</si>
  <si>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</si>
  <si>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</si>
  <si>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</si>
  <si>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</si>
  <si>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</si>
  <si>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</si>
  <si>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</si>
  <si>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</si>
  <si>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</si>
  <si>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</si>
  <si>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</si>
  <si>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</si>
  <si>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</si>
  <si>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</si>
  <si>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</si>
  <si>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</si>
  <si>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</si>
  <si>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</si>
  <si>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</si>
  <si>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</si>
  <si>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</si>
  <si>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</si>
  <si>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</si>
  <si>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</si>
  <si>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</si>
  <si>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</si>
  <si>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</si>
  <si>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</si>
  <si>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</si>
  <si>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</si>
  <si>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</si>
  <si>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</si>
  <si>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</si>
  <si>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</si>
  <si>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</si>
  <si>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</si>
  <si>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</si>
  <si>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</si>
  <si>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</si>
  <si>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</si>
  <si>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</si>
  <si>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</si>
  <si>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</si>
  <si>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</si>
  <si>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</si>
  <si>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</si>
  <si>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</si>
  <si>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</si>
  <si>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</si>
  <si>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</si>
  <si>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</si>
  <si>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</si>
  <si>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</si>
  <si>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</si>
  <si>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</si>
  <si>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</si>
  <si>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</si>
  <si>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</si>
  <si>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</si>
  <si>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</si>
  <si>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</si>
  <si>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</si>
  <si>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</si>
  <si>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</si>
  <si>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</si>
  <si>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</si>
  <si>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</si>
  <si>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</si>
  <si>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</si>
  <si>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</si>
  <si>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</si>
  <si>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</si>
  <si>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</si>
  <si>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</si>
  <si>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</si>
  <si>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</si>
  <si>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</si>
  <si>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</si>
  <si>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</si>
  <si>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</si>
  <si>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</si>
  <si>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</si>
  <si>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</si>
  <si>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</si>
  <si>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</si>
  <si>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</si>
  <si>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</si>
  <si>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</si>
  <si>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</si>
  <si>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</si>
  <si>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</si>
  <si>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</si>
  <si>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</si>
  <si>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</si>
  <si>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</si>
  <si>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</si>
  <si>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</si>
  <si>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</si>
  <si>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</si>
  <si>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</si>
  <si>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</si>
  <si>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</si>
  <si>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</si>
  <si>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</si>
  <si>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</si>
  <si>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</si>
  <si>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</si>
  <si>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</si>
  <si>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</si>
  <si>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</si>
  <si>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</si>
  <si>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</si>
  <si>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</si>
  <si>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</si>
  <si>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</si>
  <si>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</si>
  <si>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</si>
  <si>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</si>
  <si>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</si>
  <si>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</si>
  <si>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</si>
  <si>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</si>
  <si>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</si>
  <si>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</si>
  <si>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</si>
  <si>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</si>
  <si>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</si>
  <si>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</si>
  <si>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</si>
  <si>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</si>
  <si>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</si>
  <si>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</si>
  <si>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</si>
  <si>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</si>
  <si>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</si>
  <si>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</si>
  <si>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</si>
  <si>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</si>
  <si>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</si>
  <si>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</si>
  <si>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</si>
  <si>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</si>
  <si>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</si>
  <si>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</si>
  <si>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</si>
  <si>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</si>
  <si>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</si>
  <si>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</si>
  <si>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</si>
  <si>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</si>
  <si>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</si>
  <si>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</si>
  <si>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</si>
  <si>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</si>
  <si>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</si>
  <si>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</si>
  <si>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</si>
  <si>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</si>
  <si>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</si>
  <si>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</si>
  <si>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</si>
  <si>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</si>
  <si>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</si>
  <si>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</si>
  <si>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</si>
  <si>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</si>
  <si>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</si>
  <si>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</si>
  <si>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</si>
  <si>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</si>
  <si>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</si>
  <si>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</si>
  <si>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</si>
  <si>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</si>
  <si>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</si>
  <si>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</si>
  <si>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</si>
  <si>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</si>
  <si>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</si>
  <si>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</si>
  <si>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</si>
  <si>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</si>
  <si>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</si>
  <si>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</si>
  <si>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</si>
  <si>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</si>
  <si>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</si>
  <si>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</si>
  <si>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</si>
  <si>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</si>
  <si>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</si>
  <si>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</si>
  <si>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</si>
  <si>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</si>
  <si>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</si>
  <si>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</si>
  <si>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</si>
  <si>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</si>
  <si>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</si>
  <si>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</si>
  <si>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</si>
  <si>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</si>
  <si>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</si>
  <si>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</si>
  <si>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</si>
  <si>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</si>
  <si>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</si>
  <si>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</si>
  <si>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</si>
  <si>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</si>
  <si>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</si>
  <si>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</si>
  <si>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</si>
  <si>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</si>
  <si>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</si>
  <si>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</si>
  <si>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</si>
  <si>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</si>
  <si>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</si>
  <si>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</si>
  <si>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</si>
  <si>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</si>
  <si>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</si>
  <si>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</si>
  <si>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</si>
  <si>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</si>
  <si>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</si>
  <si>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</si>
  <si>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</si>
  <si>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</si>
  <si>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</si>
  <si>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</si>
  <si>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</si>
  <si>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</si>
  <si>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</si>
  <si>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</si>
  <si>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</si>
  <si>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</si>
  <si>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</si>
  <si>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</si>
  <si>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</si>
  <si>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</si>
  <si>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</si>
  <si>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</si>
  <si>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</si>
  <si>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</si>
  <si>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</si>
  <si>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</si>
  <si>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</si>
  <si>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</si>
  <si>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</si>
  <si>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</si>
  <si>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</si>
  <si>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</si>
  <si>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</si>
  <si>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</si>
  <si>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</si>
  <si>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</si>
  <si>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</si>
  <si>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</si>
  <si>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</si>
  <si>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</si>
  <si>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</si>
  <si>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</si>
  <si>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</si>
  <si>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</si>
  <si>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</si>
  <si>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</si>
  <si>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</si>
  <si>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</si>
  <si>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</si>
  <si>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</si>
  <si>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</si>
  <si>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</si>
  <si>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</si>
  <si>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</si>
  <si>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</si>
  <si>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</si>
  <si>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</si>
  <si>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</si>
  <si>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</si>
  <si>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</si>
  <si>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</si>
  <si>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</si>
  <si>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</si>
  <si>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</si>
  <si>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</si>
  <si>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</si>
  <si>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</si>
  <si>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</si>
  <si>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</si>
  <si>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</si>
  <si>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</si>
  <si>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</si>
  <si>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</si>
  <si>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</si>
  <si>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</si>
  <si>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</si>
  <si>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</si>
  <si>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</si>
  <si>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</si>
  <si>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</si>
  <si>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</si>
  <si>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</si>
  <si>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</si>
  <si>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</si>
  <si>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</si>
  <si>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</si>
  <si>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</si>
  <si>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</si>
  <si>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</si>
  <si>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</si>
  <si>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</si>
  <si>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</si>
  <si>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</si>
  <si>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</si>
  <si>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</si>
  <si>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</si>
  <si>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</si>
  <si>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</si>
  <si>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</si>
  <si>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</si>
  <si>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</si>
  <si>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</si>
  <si>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</si>
  <si>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</si>
  <si>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</si>
  <si>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</si>
  <si>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</si>
  <si>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</si>
  <si>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</si>
  <si>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</si>
  <si>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</si>
  <si>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</si>
  <si>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</si>
  <si>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</si>
  <si>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</si>
  <si>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</si>
  <si>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</si>
  <si>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</si>
  <si>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</si>
  <si>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</si>
  <si>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</si>
  <si>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</si>
  <si>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</si>
  <si>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</si>
  <si>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</si>
  <si>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</si>
  <si>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</si>
  <si>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</si>
  <si>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</si>
  <si>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</si>
  <si>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</si>
  <si>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</si>
  <si>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</si>
  <si>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</si>
  <si>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</si>
  <si>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</si>
  <si>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</si>
  <si>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</si>
  <si>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</si>
  <si>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</si>
  <si>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</si>
  <si>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</si>
  <si>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</si>
  <si>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</si>
  <si>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</si>
  <si>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</si>
  <si>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</si>
  <si>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</si>
  <si>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</si>
  <si>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</si>
  <si>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</si>
  <si>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</si>
  <si>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</si>
  <si>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</si>
  <si>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</si>
  <si>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</si>
  <si>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</si>
  <si>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</si>
  <si>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</si>
  <si>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</si>
  <si>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</si>
  <si>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</si>
  <si>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</si>
  <si>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</si>
  <si>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</si>
  <si>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</si>
  <si>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</si>
  <si>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</si>
  <si>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</si>
  <si>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</si>
  <si>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</si>
  <si>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</si>
  <si>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</si>
  <si>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</si>
  <si>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</si>
  <si>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</si>
  <si>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</si>
  <si>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</si>
  <si>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</si>
  <si>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</si>
  <si>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</si>
  <si>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</si>
  <si>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</si>
  <si>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</si>
  <si>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</si>
  <si>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</si>
  <si>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</si>
  <si>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</si>
  <si>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</si>
  <si>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</si>
  <si>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</si>
  <si>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</si>
  <si>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</si>
  <si>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</si>
  <si>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</si>
  <si>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</si>
  <si>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</si>
  <si>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</si>
  <si>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</si>
  <si>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</si>
  <si>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</si>
  <si>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</si>
  <si>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</si>
  <si>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</si>
  <si>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</si>
  <si>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</si>
  <si>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</si>
  <si>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</si>
  <si>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</si>
  <si>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</si>
  <si>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</si>
  <si>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</si>
  <si>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</si>
  <si>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</si>
  <si>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</si>
  <si>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</si>
  <si>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</si>
  <si>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</si>
  <si>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</si>
  <si>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</si>
  <si>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</si>
  <si>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</si>
  <si>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</si>
  <si>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</si>
  <si>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</si>
  <si>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</si>
  <si>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</si>
  <si>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</si>
  <si>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</si>
  <si>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</si>
  <si>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</si>
  <si>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</si>
  <si>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</si>
  <si>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</si>
  <si>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</si>
  <si>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</si>
  <si>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</si>
  <si>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</si>
  <si>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</si>
  <si>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</si>
  <si>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</si>
  <si>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</si>
  <si>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</si>
  <si>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</si>
  <si>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</si>
  <si>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</si>
  <si>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</si>
  <si>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</si>
  <si>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</si>
  <si>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</si>
  <si>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</si>
  <si>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</si>
  <si>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</si>
  <si>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</si>
  <si>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</si>
  <si>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</si>
  <si>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</si>
  <si>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</si>
  <si>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</si>
  <si>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</si>
  <si>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</si>
  <si>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</si>
  <si>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</si>
  <si>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</si>
  <si>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</si>
  <si>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</si>
  <si>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</si>
  <si>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</si>
  <si>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</si>
  <si>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</si>
  <si>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</si>
  <si>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</si>
  <si>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</si>
  <si>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</si>
  <si>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</si>
  <si>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</si>
  <si>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</si>
  <si>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</si>
  <si>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</si>
  <si>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</si>
  <si>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</si>
  <si>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</si>
  <si>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</si>
  <si>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</si>
  <si>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</si>
  <si>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</si>
  <si>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</si>
  <si>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</si>
  <si>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</si>
  <si>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</si>
  <si>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</si>
  <si>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</si>
  <si>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</si>
  <si>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</si>
  <si>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</si>
  <si>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</si>
  <si>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</si>
  <si>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</si>
  <si>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</si>
  <si>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</si>
  <si>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</si>
  <si>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</si>
  <si>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</si>
  <si>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</si>
  <si>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</si>
  <si>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</si>
  <si>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</si>
  <si>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</si>
  <si>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</si>
  <si>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</si>
  <si>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</si>
  <si>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</si>
  <si>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</si>
  <si>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</si>
  <si>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</si>
  <si>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</si>
  <si>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</si>
  <si>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</si>
  <si>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</si>
  <si>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</si>
  <si>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</si>
  <si>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</si>
  <si>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</si>
  <si>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</si>
  <si>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</si>
  <si>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</si>
  <si>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</si>
  <si>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</si>
  <si>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</si>
  <si>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</si>
  <si>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</si>
  <si>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</si>
  <si>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</si>
  <si>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</si>
  <si>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</si>
  <si>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</si>
  <si>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</si>
  <si>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</si>
  <si>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</si>
  <si>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</si>
  <si>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</si>
  <si>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</si>
  <si>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</si>
  <si>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</si>
  <si>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</si>
  <si>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</si>
  <si>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</si>
  <si>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</si>
  <si>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</si>
  <si>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</si>
  <si>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</si>
  <si>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</si>
  <si>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</si>
  <si>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</si>
  <si>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</si>
  <si>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</si>
  <si>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</si>
  <si>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</si>
  <si>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</si>
  <si>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</si>
  <si>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</si>
  <si>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</si>
  <si>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</si>
  <si>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</si>
  <si>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</si>
  <si>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</si>
  <si>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</si>
  <si>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</si>
  <si>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</si>
  <si>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</si>
  <si>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</si>
  <si>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</si>
  <si>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</si>
  <si>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</si>
  <si>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</si>
  <si>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</si>
  <si>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</si>
  <si>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</si>
  <si>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</si>
  <si>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</si>
  <si>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</si>
  <si>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</si>
  <si>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</si>
  <si>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</si>
  <si>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</si>
  <si>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</si>
  <si>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</si>
  <si>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</si>
  <si>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</si>
  <si>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</si>
  <si>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</si>
  <si>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</si>
  <si>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</si>
  <si>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</si>
  <si>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</si>
  <si>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</si>
  <si>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</si>
  <si>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</si>
  <si>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</si>
  <si>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</si>
  <si>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</si>
  <si>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</si>
  <si>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</si>
  <si>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</si>
  <si>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</si>
  <si>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</si>
  <si>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</si>
  <si>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</si>
  <si>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</si>
  <si>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</si>
  <si>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</si>
  <si>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</si>
  <si>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</si>
  <si>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</si>
  <si>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</si>
  <si>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</si>
  <si>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</si>
  <si>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</si>
  <si>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</si>
  <si>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</si>
  <si>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</si>
  <si>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</si>
  <si>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</si>
  <si>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</si>
  <si>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</si>
  <si>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</si>
  <si>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</si>
  <si>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</si>
  <si>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</si>
  <si>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</si>
  <si>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</si>
  <si>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</si>
  <si>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</si>
  <si>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</si>
  <si>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</si>
  <si>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</si>
  <si>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</si>
  <si>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</si>
  <si>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</si>
  <si>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</si>
  <si>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</si>
  <si>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</si>
  <si>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</si>
  <si>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</si>
  <si>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</si>
  <si>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</si>
  <si>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</si>
  <si>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</si>
  <si>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</si>
  <si>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</si>
  <si>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</si>
  <si>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</si>
  <si>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</si>
  <si>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</si>
  <si>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</si>
  <si>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</si>
  <si>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</si>
  <si>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</si>
  <si>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</si>
  <si>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</si>
  <si>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</si>
  <si>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</si>
  <si>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</si>
  <si>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</si>
  <si>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</si>
  <si>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</si>
  <si>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</si>
  <si>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</si>
  <si>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</si>
  <si>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</si>
  <si>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</si>
  <si>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</si>
  <si>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</si>
  <si>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</si>
  <si>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</si>
  <si>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</si>
  <si>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</si>
  <si>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</si>
  <si>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</si>
  <si>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</si>
  <si>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</si>
  <si>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</si>
  <si>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</si>
  <si>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</si>
  <si>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</si>
  <si>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</si>
  <si>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</si>
  <si>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</si>
  <si>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</si>
  <si>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</si>
  <si>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</si>
  <si>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</si>
  <si>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</si>
  <si>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</si>
  <si>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</si>
  <si>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</si>
  <si>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</si>
  <si>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</si>
  <si>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</si>
  <si>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</si>
  <si>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</si>
  <si>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</si>
  <si>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</si>
  <si>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</si>
  <si>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</si>
  <si>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</si>
  <si>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</si>
  <si>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</si>
  <si>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</si>
  <si>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</si>
  <si>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</si>
  <si>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</si>
  <si>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</si>
  <si>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</si>
  <si>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</si>
  <si>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</si>
  <si>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</si>
  <si>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</si>
  <si>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</si>
  <si>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</si>
  <si>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</si>
  <si>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</si>
  <si>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</si>
  <si>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</si>
  <si>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</si>
  <si>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</si>
  <si>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</si>
  <si>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</si>
  <si>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</si>
  <si>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</si>
  <si>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</si>
  <si>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</si>
  <si>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</si>
  <si>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</si>
  <si>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</si>
  <si>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</si>
  <si>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</si>
  <si>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</si>
  <si>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</si>
  <si>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</si>
  <si>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</si>
  <si>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</si>
  <si>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</si>
  <si>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</si>
  <si>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</si>
  <si>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</si>
  <si>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</si>
  <si>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</si>
  <si>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</si>
  <si>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</si>
  <si>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</si>
  <si>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</si>
  <si>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</si>
  <si>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</si>
  <si>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</si>
  <si>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</si>
  <si>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</si>
  <si>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</si>
  <si>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</si>
  <si>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</si>
  <si>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</si>
  <si>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</si>
  <si>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</si>
  <si>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</si>
  <si>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</si>
  <si>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</si>
  <si>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</si>
  <si>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</si>
  <si>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</si>
  <si>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</si>
  <si>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</si>
  <si>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</si>
  <si>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</si>
  <si>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</si>
  <si>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</si>
  <si>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</si>
  <si>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</si>
  <si>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</si>
  <si>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</si>
  <si>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</si>
  <si>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</si>
  <si>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</si>
  <si>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</si>
  <si>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</si>
  <si>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</si>
  <si>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</si>
  <si>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</si>
  <si>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</si>
  <si>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</si>
  <si>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</si>
  <si>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</si>
  <si>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</si>
  <si>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</si>
  <si>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</si>
  <si>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</si>
  <si>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</si>
  <si>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</si>
  <si>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</si>
  <si>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</si>
  <si>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</si>
  <si>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</si>
  <si>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</si>
  <si>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</si>
  <si>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</si>
  <si>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</si>
  <si>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</si>
  <si>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</si>
  <si>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</si>
  <si>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</si>
  <si>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</si>
  <si>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</si>
  <si>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</si>
  <si>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</si>
  <si>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</si>
  <si>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</si>
  <si>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</si>
  <si>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</si>
  <si>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</si>
  <si>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</si>
  <si>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</si>
  <si>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</si>
  <si>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</si>
  <si>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</si>
  <si>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</si>
  <si>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</si>
  <si>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</si>
  <si>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</si>
  <si>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</si>
  <si>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</si>
  <si>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</si>
  <si>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</si>
  <si>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</si>
  <si>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</si>
  <si>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</si>
  <si>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</si>
  <si>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</si>
  <si>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</si>
  <si>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</si>
  <si>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</si>
  <si>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</si>
  <si>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</si>
  <si>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</si>
  <si>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</si>
  <si>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</si>
  <si>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</si>
  <si>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</si>
  <si>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</si>
  <si>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</si>
  <si>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</si>
  <si>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</si>
  <si>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</si>
  <si>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</si>
  <si>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</si>
  <si>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</si>
  <si>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</si>
  <si>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</si>
  <si>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</si>
  <si>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</si>
  <si>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</si>
  <si>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</si>
  <si>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</si>
  <si>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</si>
  <si>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</si>
  <si>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</si>
  <si>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</si>
  <si>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</si>
  <si>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</si>
  <si>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</si>
  <si>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</si>
  <si>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</si>
  <si>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</si>
  <si>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</si>
  <si>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</si>
  <si>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</si>
  <si>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</si>
  <si>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</si>
  <si>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</si>
  <si>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</si>
  <si>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</si>
  <si>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</si>
  <si>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</si>
  <si>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</si>
  <si>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</si>
  <si>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</si>
  <si>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</si>
  <si>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</si>
  <si>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</si>
  <si>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</si>
  <si>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</si>
  <si>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</si>
  <si>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</si>
  <si>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</si>
  <si>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</si>
  <si>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</si>
  <si>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</si>
  <si>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</si>
  <si>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</si>
  <si>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</si>
  <si>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</si>
  <si>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</si>
  <si>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</si>
  <si>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</si>
  <si>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</si>
  <si>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</si>
  <si>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</si>
  <si>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</si>
  <si>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</si>
  <si>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</si>
  <si>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</si>
  <si>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</si>
  <si>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</si>
  <si>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</si>
  <si>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</si>
  <si>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</si>
  <si>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</si>
  <si>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</si>
  <si>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</si>
  <si>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</si>
  <si>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</si>
  <si>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</si>
  <si>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</si>
  <si>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</si>
  <si>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</si>
  <si>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</si>
  <si>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</si>
  <si>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</si>
  <si>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</si>
  <si>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</si>
  <si>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</si>
  <si>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</si>
  <si>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</si>
  <si>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</si>
  <si>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</si>
  <si>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</si>
  <si>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</si>
  <si>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</si>
  <si>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</si>
  <si>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</si>
  <si>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</si>
  <si>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</si>
  <si>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</si>
  <si>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</si>
  <si>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</si>
  <si>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</si>
  <si>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</si>
  <si>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</si>
  <si>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</si>
  <si>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</si>
  <si>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</si>
  <si>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</si>
  <si>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</si>
  <si>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</si>
  <si>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</si>
  <si>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</si>
  <si>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</si>
  <si>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</si>
  <si>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</si>
  <si>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</si>
  <si>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</si>
  <si>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</si>
  <si>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</si>
  <si>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</si>
  <si>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</si>
  <si>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</si>
  <si>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</si>
  <si>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</si>
  <si>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</si>
  <si>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</si>
  <si>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</si>
  <si>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</si>
  <si>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</si>
  <si>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</si>
  <si>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</si>
  <si>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</si>
  <si>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</si>
  <si>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</si>
  <si>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</si>
  <si>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</si>
  <si>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</si>
  <si>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</si>
  <si>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</si>
  <si>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</si>
  <si>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</si>
  <si>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</si>
  <si>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</si>
  <si>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</si>
  <si>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</si>
  <si>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</si>
  <si>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</si>
  <si>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</si>
  <si>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</si>
  <si>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</si>
  <si>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</si>
  <si>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</si>
  <si>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</si>
  <si>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</si>
  <si>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</si>
  <si>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</si>
  <si>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</si>
  <si>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</si>
  <si>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</si>
  <si>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</si>
  <si>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</si>
  <si>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</si>
  <si>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</si>
  <si>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</si>
  <si>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</si>
  <si>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</si>
  <si>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</si>
  <si>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</si>
  <si>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</si>
  <si>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</si>
  <si>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</si>
  <si>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</si>
  <si>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</si>
  <si>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</si>
  <si>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</si>
  <si>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</si>
  <si>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</si>
  <si>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</si>
  <si>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</si>
  <si>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</si>
  <si>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</si>
  <si>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</si>
  <si>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</si>
  <si>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</si>
  <si>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</si>
  <si>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</si>
  <si>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</si>
  <si>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</si>
  <si>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</si>
  <si>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</si>
  <si>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</si>
  <si>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</si>
  <si>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</si>
  <si>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</si>
  <si>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</si>
  <si>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</si>
  <si>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</si>
  <si>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</si>
  <si>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</si>
  <si>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</si>
  <si>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</si>
  <si>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</si>
  <si>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</si>
  <si>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</si>
  <si>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</si>
  <si>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</si>
  <si>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</si>
  <si>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</si>
  <si>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</si>
  <si>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</si>
  <si>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</si>
  <si>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</si>
  <si>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</si>
  <si>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</si>
  <si>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</si>
  <si>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</si>
  <si>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</si>
  <si>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</si>
  <si>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</si>
  <si>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</si>
  <si>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</si>
  <si>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</si>
  <si>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</si>
  <si>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</si>
  <si>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</si>
  <si>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</si>
  <si>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</si>
  <si>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</si>
  <si>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</si>
  <si>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</si>
  <si>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</si>
  <si>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</si>
  <si>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</si>
  <si>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</si>
  <si>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</si>
  <si>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</si>
  <si>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</si>
  <si>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</si>
  <si>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</si>
  <si>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</si>
  <si>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</si>
  <si>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</si>
  <si>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</si>
  <si>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</si>
  <si>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</si>
  <si>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</si>
  <si>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</si>
  <si>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</si>
  <si>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</si>
  <si>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</si>
  <si>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</si>
  <si>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</si>
  <si>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</si>
  <si>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</si>
  <si>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</si>
  <si>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</si>
  <si>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</si>
  <si>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</si>
  <si>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</si>
  <si>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</si>
  <si>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</si>
  <si>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</si>
  <si>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</si>
  <si>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</si>
  <si>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</si>
  <si>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</si>
  <si>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</si>
  <si>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</si>
  <si>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</si>
  <si>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</si>
  <si>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</si>
  <si>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</si>
  <si>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</si>
  <si>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</si>
  <si>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</si>
  <si>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</si>
  <si>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</si>
  <si>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</si>
  <si>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</si>
  <si>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</si>
  <si>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</si>
  <si>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</si>
  <si>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</si>
  <si>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</si>
  <si>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</si>
  <si>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</si>
  <si>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</si>
  <si>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</si>
  <si>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</si>
  <si>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</si>
  <si>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</si>
  <si>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</si>
  <si>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</si>
  <si>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</si>
  <si>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</si>
  <si>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</si>
  <si>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</si>
  <si>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</si>
  <si>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</si>
  <si>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</si>
  <si>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</si>
  <si>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</si>
  <si>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</si>
  <si>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</si>
  <si>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</si>
  <si>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</si>
  <si>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</si>
  <si>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</si>
  <si>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</si>
  <si>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</si>
  <si>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</si>
  <si>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</si>
  <si>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</si>
  <si>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</si>
  <si>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</si>
  <si>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</si>
  <si>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</si>
  <si>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</si>
  <si>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</si>
  <si>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</si>
  <si>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</si>
  <si>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</si>
  <si>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</si>
  <si>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</si>
  <si>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</si>
  <si>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</si>
  <si>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</si>
  <si>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</si>
  <si>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</si>
  <si>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</si>
  <si>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</si>
  <si>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</si>
  <si>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</si>
  <si>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</si>
  <si>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</si>
  <si>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</si>
  <si>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</si>
  <si>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</si>
  <si>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</si>
  <si>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</si>
  <si>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</si>
  <si>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</si>
  <si>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</si>
  <si>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</si>
  <si>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</si>
  <si>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</si>
  <si>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</si>
  <si>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</si>
  <si>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</si>
  <si>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</si>
  <si>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</si>
  <si>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</si>
  <si>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</si>
  <si>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</si>
  <si>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</si>
  <si>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</si>
  <si>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</si>
  <si>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</si>
  <si>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</si>
  <si>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</si>
  <si>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</si>
  <si>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</si>
  <si>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</si>
  <si>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</si>
  <si>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</si>
  <si>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</si>
  <si>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</si>
  <si>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</si>
  <si>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</si>
  <si>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</si>
  <si>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</si>
  <si>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</si>
  <si>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</si>
  <si>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</si>
  <si>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</si>
  <si>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</si>
  <si>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</si>
  <si>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</si>
  <si>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</si>
  <si>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</si>
  <si>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</si>
  <si>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</si>
  <si>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</si>
  <si>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</si>
  <si>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</si>
  <si>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</si>
  <si>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</si>
  <si>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</si>
  <si>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</si>
  <si>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</si>
  <si>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</si>
  <si>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</si>
  <si>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</si>
  <si>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</si>
  <si>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</si>
  <si>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</si>
  <si>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</si>
  <si>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</si>
  <si>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</si>
  <si>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</si>
  <si>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</si>
  <si>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</si>
  <si>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</si>
  <si>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</si>
  <si>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</si>
  <si>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</si>
  <si>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</si>
  <si>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</si>
  <si>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</si>
  <si>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</si>
  <si>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</si>
  <si>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</si>
  <si>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</si>
  <si>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</si>
  <si>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</si>
  <si>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</si>
  <si>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</si>
  <si>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</si>
  <si>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</si>
  <si>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</si>
  <si>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</si>
  <si>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</si>
  <si>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</si>
  <si>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</si>
  <si>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</si>
  <si>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</si>
  <si>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</si>
  <si>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</si>
  <si>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</si>
  <si>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</si>
  <si>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</si>
  <si>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</si>
  <si>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</si>
  <si>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</si>
  <si>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</si>
  <si>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</si>
  <si>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</si>
  <si>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</si>
  <si>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</si>
  <si>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</si>
  <si>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</si>
  <si>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</si>
  <si>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</si>
  <si>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</si>
  <si>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</si>
  <si>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</si>
  <si>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</si>
  <si>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</si>
  <si>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</si>
  <si>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</si>
  <si>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</si>
  <si>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</si>
  <si>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</si>
  <si>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</si>
  <si>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</si>
  <si>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</si>
  <si>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</si>
  <si>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</si>
  <si>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</si>
  <si>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</si>
  <si>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</si>
  <si>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</si>
  <si>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</si>
  <si>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</si>
  <si>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</si>
  <si>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</si>
  <si>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</si>
  <si>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</si>
  <si>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</si>
  <si>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</si>
  <si>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</si>
  <si>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</si>
  <si>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</si>
  <si>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</si>
  <si>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</si>
  <si>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</si>
  <si>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</si>
  <si>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</si>
  <si>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</si>
  <si>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</si>
  <si>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</si>
  <si>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</si>
  <si>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</si>
  <si>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</si>
  <si>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</si>
  <si>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</si>
  <si>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</si>
  <si>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</si>
  <si>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</si>
  <si>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</si>
  <si>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</si>
  <si>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</si>
  <si>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</si>
  <si>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</si>
  <si>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</si>
  <si>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</si>
  <si>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</si>
  <si>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</si>
  <si>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</si>
  <si>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</si>
  <si>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</si>
  <si>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</si>
  <si>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</si>
  <si>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</si>
  <si>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</si>
  <si>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</si>
  <si>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</si>
  <si>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</si>
  <si>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</si>
  <si>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</si>
  <si>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</si>
  <si>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</si>
  <si>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</si>
  <si>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</si>
  <si>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</si>
  <si>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</si>
  <si>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</si>
  <si>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</si>
  <si>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</si>
  <si>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</si>
  <si>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</si>
  <si>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</si>
  <si>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</si>
  <si>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</si>
  <si>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</si>
  <si>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</si>
  <si>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</si>
  <si>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</si>
  <si>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</si>
  <si>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</si>
  <si>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</si>
  <si>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</si>
  <si>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</si>
  <si>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</si>
  <si>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</si>
  <si>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</si>
  <si>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</si>
  <si>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</si>
  <si>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</si>
  <si>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</si>
  <si>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</si>
  <si>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</si>
  <si>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</si>
  <si>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</si>
  <si>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</si>
  <si>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</si>
  <si>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</si>
  <si>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</si>
  <si>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</si>
  <si>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</si>
  <si>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</si>
  <si>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</si>
  <si>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</si>
  <si>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</si>
  <si>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</si>
  <si>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</si>
  <si>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</si>
  <si>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</si>
  <si>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</si>
  <si>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</si>
  <si>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</si>
  <si>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</si>
  <si>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</si>
  <si>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</si>
  <si>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</si>
  <si>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</si>
  <si>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</si>
  <si>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</si>
  <si>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</si>
  <si>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</si>
  <si>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</si>
  <si>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</si>
  <si>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</si>
  <si>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</si>
  <si>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</si>
  <si>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</si>
  <si>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</si>
  <si>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</si>
  <si>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</si>
  <si>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</si>
  <si>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</si>
  <si>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</si>
  <si>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</si>
  <si>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</si>
  <si>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</si>
  <si>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</si>
  <si>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</si>
  <si>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</si>
  <si>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</si>
  <si>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</si>
  <si>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</si>
  <si>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</si>
  <si>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</si>
  <si>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</si>
  <si>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</si>
  <si>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</si>
  <si>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</si>
  <si>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</si>
  <si>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</si>
  <si>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</si>
  <si>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</si>
  <si>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</si>
  <si>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</si>
  <si>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</si>
  <si>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</si>
  <si>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</si>
  <si>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</si>
  <si>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</si>
  <si>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</si>
  <si>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</si>
  <si>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</si>
  <si>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</si>
  <si>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</si>
  <si>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</si>
  <si>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</si>
  <si>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</si>
  <si>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</si>
  <si>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</si>
  <si>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</si>
  <si>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</si>
  <si>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</si>
  <si>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</si>
  <si>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</si>
  <si>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</si>
  <si>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</si>
  <si>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</si>
  <si>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</si>
  <si>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</si>
  <si>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</si>
  <si>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</si>
  <si>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</si>
  <si>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</si>
  <si>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</si>
  <si>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</si>
  <si>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</si>
  <si>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</si>
  <si>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</si>
  <si>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</si>
  <si>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</si>
  <si>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</si>
  <si>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</si>
  <si>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</si>
  <si>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</si>
  <si>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</si>
  <si>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</si>
  <si>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</si>
  <si>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</si>
  <si>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</si>
  <si>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</si>
  <si>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</si>
  <si>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</si>
  <si>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</si>
  <si>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</si>
  <si>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</si>
  <si>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</si>
  <si>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</si>
  <si>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</si>
  <si>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</si>
  <si>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</si>
  <si>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</si>
  <si>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</si>
  <si>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</si>
  <si>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</si>
  <si>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</si>
  <si>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</si>
  <si>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</si>
  <si>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</si>
  <si>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</si>
  <si>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</si>
  <si>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</si>
  <si>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</si>
  <si>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</si>
  <si>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</si>
  <si>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</si>
  <si>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</si>
  <si>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</si>
  <si>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</si>
  <si>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</si>
  <si>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</si>
  <si>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</si>
  <si>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</si>
  <si>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</si>
  <si>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</si>
  <si>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</si>
  <si>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</si>
  <si>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</si>
  <si>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</si>
  <si>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</si>
  <si>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</si>
  <si>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</si>
  <si>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</si>
  <si>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</si>
  <si>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</si>
  <si>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</si>
  <si>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</si>
  <si>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</si>
  <si>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</si>
  <si>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</si>
  <si>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</si>
  <si>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</si>
  <si>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</si>
  <si>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</si>
  <si>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</si>
  <si>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</si>
  <si>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</si>
  <si>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</si>
  <si>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</si>
  <si>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</si>
  <si>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</si>
  <si>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</si>
  <si>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</si>
  <si>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</si>
  <si>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</si>
  <si>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</si>
  <si>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</si>
  <si>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</si>
  <si>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</si>
  <si>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</si>
  <si>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</si>
  <si>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</si>
  <si>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</si>
  <si>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</si>
  <si>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</si>
  <si>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</si>
  <si>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</si>
  <si>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</si>
  <si>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</si>
  <si>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</si>
  <si>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</si>
  <si>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</si>
  <si>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</si>
  <si>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</si>
  <si>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</si>
  <si>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</si>
  <si>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</si>
  <si>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</si>
  <si>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</si>
  <si>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</si>
  <si>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</si>
  <si>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</si>
  <si>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</si>
  <si>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</si>
  <si>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</si>
  <si>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</si>
  <si>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</si>
  <si>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</si>
  <si>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</si>
  <si>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</si>
  <si>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</si>
  <si>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</si>
  <si>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</si>
  <si>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</si>
  <si>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</si>
  <si>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</si>
  <si>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</si>
  <si>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</si>
  <si>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</si>
  <si>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</si>
  <si>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</si>
  <si>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</si>
  <si>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</si>
  <si>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</si>
  <si>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</si>
  <si>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</si>
  <si>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</si>
  <si>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</si>
  <si>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</si>
  <si>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</si>
  <si>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</si>
  <si>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</si>
  <si>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</si>
  <si>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</si>
  <si>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</si>
  <si>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</si>
  <si>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</si>
  <si>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</si>
  <si>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</si>
  <si>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</si>
  <si>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</si>
  <si>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</si>
  <si>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</si>
  <si>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</si>
  <si>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</si>
  <si>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</si>
  <si>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</si>
  <si>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</si>
  <si>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</si>
  <si>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</si>
  <si>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</si>
  <si>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</si>
  <si>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</si>
  <si>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</si>
  <si>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</si>
  <si>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</si>
  <si>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</si>
  <si>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</si>
  <si>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</si>
  <si>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</si>
  <si>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</si>
  <si>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</si>
  <si>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</si>
  <si>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</si>
  <si>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</si>
  <si>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</si>
  <si>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</si>
  <si>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</si>
  <si>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</si>
  <si>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</si>
  <si>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</si>
  <si>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</si>
  <si>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</si>
  <si>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</si>
  <si>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</si>
  <si>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</si>
  <si>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</si>
  <si>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</si>
  <si>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</si>
  <si>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</si>
  <si>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</si>
  <si>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</si>
  <si>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</si>
  <si>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</si>
  <si>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</si>
  <si>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</si>
  <si>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</si>
  <si>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</si>
  <si>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</si>
  <si>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</si>
  <si>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</si>
  <si>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</si>
  <si>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</si>
  <si>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</si>
  <si>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</si>
  <si>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</si>
  <si>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</si>
  <si>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</si>
  <si>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</si>
  <si>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</si>
  <si>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</si>
  <si>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</si>
  <si>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</si>
  <si>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</si>
  <si>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</si>
  <si>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</si>
  <si>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</si>
  <si>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</si>
  <si>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</si>
  <si>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</si>
  <si>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</si>
  <si>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</si>
  <si>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</si>
  <si>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</si>
  <si>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</si>
  <si>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</si>
  <si>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</si>
  <si>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</si>
  <si>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</si>
  <si>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</si>
  <si>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</si>
  <si>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</si>
  <si>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</si>
  <si>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</si>
  <si>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</si>
  <si>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</si>
  <si>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</si>
  <si>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</si>
  <si>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</si>
  <si>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</si>
  <si>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</si>
  <si>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</si>
  <si>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</si>
  <si>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</si>
  <si>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</si>
  <si>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</si>
  <si>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</si>
  <si>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</si>
  <si>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</si>
  <si>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</si>
  <si>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</si>
  <si>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</si>
  <si>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</si>
  <si>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</si>
  <si>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</si>
  <si>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</si>
  <si>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</si>
  <si>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</si>
  <si>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</si>
  <si>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</si>
  <si>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</si>
  <si>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</si>
  <si>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</si>
  <si>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</si>
  <si>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</si>
  <si>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</si>
  <si>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</si>
  <si>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</si>
  <si>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</si>
  <si>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</si>
  <si>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</si>
  <si>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</si>
  <si>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</si>
  <si>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</si>
  <si>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</si>
  <si>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</si>
  <si>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</si>
  <si>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</si>
  <si>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</si>
  <si>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</si>
  <si>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</si>
  <si>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</si>
  <si>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</si>
  <si>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</si>
  <si>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</si>
  <si>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</si>
  <si>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</si>
  <si>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</si>
  <si>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</si>
  <si>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</si>
  <si>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</si>
  <si>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</si>
  <si>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</si>
  <si>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</si>
  <si>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</si>
  <si>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</si>
  <si>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</si>
  <si>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</si>
  <si>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</si>
  <si>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</si>
  <si>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</si>
  <si>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</si>
  <si>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</si>
  <si>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</si>
  <si>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</si>
  <si>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</si>
  <si>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</si>
  <si>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</si>
  <si>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</si>
  <si>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</si>
  <si>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</si>
  <si>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</si>
  <si>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</si>
  <si>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</si>
  <si>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</si>
  <si>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</si>
  <si>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</si>
  <si>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</si>
  <si>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</si>
  <si>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</si>
  <si>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</si>
  <si>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</si>
  <si>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</si>
  <si>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</si>
  <si>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</si>
  <si>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</si>
  <si>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</si>
  <si>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</si>
  <si>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</si>
  <si>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</si>
  <si>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</si>
  <si>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</si>
  <si>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</si>
  <si>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</si>
  <si>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</si>
  <si>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</si>
  <si>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</si>
  <si>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</si>
  <si>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</si>
  <si>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</si>
  <si>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</si>
  <si>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</si>
  <si>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</si>
  <si>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</si>
  <si>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</si>
  <si>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</si>
  <si>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</si>
  <si>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</si>
  <si>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</si>
  <si>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</si>
  <si>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</si>
  <si>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</si>
  <si>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</si>
  <si>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</si>
  <si>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</si>
  <si>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</si>
  <si>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</si>
  <si>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</si>
  <si>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</si>
  <si>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</si>
  <si>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</si>
  <si>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</si>
  <si>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</si>
  <si>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</si>
  <si>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</si>
  <si>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</si>
  <si>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</si>
  <si>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</si>
  <si>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</si>
  <si>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</si>
  <si>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</si>
  <si>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</si>
  <si>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</si>
  <si>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</si>
  <si>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</si>
  <si>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</si>
  <si>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</si>
  <si>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</si>
  <si>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</si>
  <si>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</si>
  <si>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</si>
  <si>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</si>
  <si>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</si>
  <si>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</si>
  <si>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</si>
  <si>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</si>
  <si>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</si>
  <si>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</si>
  <si>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</si>
  <si>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</si>
  <si>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</si>
  <si>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</si>
  <si>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</si>
  <si>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</si>
  <si>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</si>
  <si>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</si>
  <si>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</si>
  <si>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</si>
  <si>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</si>
  <si>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</si>
  <si>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</si>
  <si>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</si>
  <si>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</si>
  <si>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</si>
  <si>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</si>
  <si>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</si>
  <si>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</si>
  <si>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</si>
  <si>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</si>
  <si>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</si>
  <si>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</si>
  <si>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</si>
  <si>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</si>
  <si>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</si>
  <si>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</si>
  <si>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</si>
  <si>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</si>
  <si>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</si>
  <si>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</si>
  <si>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</si>
  <si>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</si>
  <si>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</si>
  <si>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</si>
  <si>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</si>
  <si>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</si>
  <si>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</si>
  <si>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</si>
  <si>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</si>
  <si>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</si>
  <si>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</si>
  <si>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</si>
  <si>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</si>
  <si>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</si>
  <si>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</si>
  <si>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</si>
  <si>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</si>
  <si>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</si>
  <si>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</si>
  <si>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</si>
  <si>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</si>
  <si>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</si>
  <si>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</si>
  <si>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</si>
  <si>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</si>
  <si>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</si>
  <si>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</si>
  <si>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</si>
  <si>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</si>
  <si>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</si>
  <si>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</si>
  <si>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</si>
  <si>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</si>
  <si>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</si>
  <si>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</si>
  <si>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</si>
  <si>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</si>
  <si>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</si>
  <si>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</si>
  <si>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</si>
  <si>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</si>
  <si>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</si>
  <si>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</si>
  <si>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</si>
  <si>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</si>
  <si>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</si>
  <si>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</si>
  <si>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</si>
  <si>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</si>
  <si>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</si>
  <si>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</si>
  <si>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</si>
  <si>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</si>
  <si>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</si>
  <si>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</si>
  <si>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</si>
  <si>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</si>
  <si>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</si>
  <si>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</si>
  <si>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</si>
  <si>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</si>
  <si>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</si>
  <si>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</si>
  <si>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</si>
  <si>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</si>
  <si>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</si>
  <si>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</si>
  <si>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</si>
  <si>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</si>
  <si>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</si>
  <si>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</si>
  <si>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</si>
  <si>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</si>
  <si>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</si>
  <si>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</si>
  <si>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</si>
  <si>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</si>
  <si>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</si>
  <si>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</si>
  <si>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</si>
  <si>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</si>
  <si>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</si>
  <si>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</si>
  <si>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</si>
  <si>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</si>
  <si>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</si>
  <si>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</si>
  <si>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</si>
  <si>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</si>
  <si>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</si>
  <si>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</si>
  <si>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</si>
  <si>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</si>
  <si>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</si>
  <si>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</si>
  <si>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</si>
  <si>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</si>
  <si>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</si>
  <si>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</si>
  <si>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</si>
  <si>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</si>
  <si>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</si>
  <si>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</si>
  <si>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</si>
  <si>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</si>
  <si>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</si>
  <si>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</si>
  <si>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</si>
  <si>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</si>
  <si>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</si>
  <si>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</si>
  <si>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</si>
  <si>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</si>
  <si>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</si>
  <si>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</si>
  <si>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</si>
  <si>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</si>
  <si>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</si>
  <si>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</si>
  <si>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</si>
  <si>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</si>
  <si>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</si>
  <si>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</si>
  <si>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</si>
  <si>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</si>
  <si>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</si>
  <si>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</si>
  <si>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</si>
  <si>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</si>
  <si>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</si>
  <si>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</si>
  <si>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</si>
  <si>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</si>
  <si>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</si>
  <si>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</si>
  <si>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</si>
  <si>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</si>
  <si>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</si>
  <si>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</si>
  <si>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</si>
  <si>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</si>
  <si>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</si>
  <si>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</si>
  <si>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</si>
  <si>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</si>
  <si>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</si>
  <si>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</si>
  <si>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</si>
  <si>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</si>
  <si>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</si>
  <si>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</si>
  <si>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</si>
  <si>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</si>
  <si>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</si>
  <si>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</si>
  <si>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</si>
  <si>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</si>
  <si>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</si>
  <si>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</si>
  <si>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</si>
  <si>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</si>
  <si>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</si>
  <si>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</si>
  <si>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</si>
  <si>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</si>
  <si>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</si>
  <si>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</si>
  <si>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</si>
  <si>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</si>
  <si>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</si>
  <si>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</si>
  <si>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</si>
  <si>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</si>
  <si>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</si>
  <si>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</si>
  <si>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</si>
  <si>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</si>
  <si>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</si>
  <si>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</si>
  <si>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</si>
  <si>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</si>
  <si>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</si>
  <si>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</si>
  <si>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</si>
  <si>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</si>
  <si>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</si>
  <si>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</si>
  <si>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</si>
  <si>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</si>
  <si>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</si>
  <si>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</si>
  <si>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</si>
  <si>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</si>
  <si>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</si>
  <si>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</si>
  <si>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</si>
  <si>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</si>
  <si>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</si>
  <si>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</si>
  <si>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</si>
  <si>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</si>
  <si>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</si>
  <si>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</si>
  <si>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</si>
  <si>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</si>
  <si>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</si>
  <si>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</si>
  <si>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</si>
  <si>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</si>
  <si>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</si>
  <si>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</si>
  <si>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</si>
  <si>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</si>
  <si>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</si>
  <si>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</si>
  <si>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</si>
  <si>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</si>
  <si>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</si>
  <si>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</si>
  <si>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</si>
  <si>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</si>
  <si>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</si>
  <si>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</si>
  <si>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</si>
  <si>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</si>
  <si>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</si>
  <si>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</si>
  <si>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</si>
  <si>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</si>
  <si>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</si>
  <si>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</si>
  <si>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</si>
  <si>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</si>
  <si>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</si>
  <si>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</si>
  <si>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</si>
  <si>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</si>
  <si>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</si>
  <si>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</si>
  <si>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</si>
  <si>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</si>
  <si>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</si>
  <si>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</si>
  <si>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</si>
  <si>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</si>
  <si>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</si>
  <si>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</si>
  <si>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</si>
  <si>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</si>
  <si>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</si>
  <si>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</si>
  <si>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</si>
  <si>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</si>
  <si>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</si>
  <si>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</si>
  <si>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</si>
  <si>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</si>
  <si>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</si>
  <si>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</si>
  <si>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</si>
  <si>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</si>
  <si>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</si>
  <si>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</si>
  <si>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</si>
  <si>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</si>
  <si>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</si>
  <si>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</si>
  <si>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</si>
  <si>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</si>
  <si>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</si>
  <si>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</si>
  <si>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</si>
  <si>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</si>
  <si>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</si>
  <si>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</si>
  <si>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</si>
  <si>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</si>
  <si>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</si>
  <si>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</si>
  <si>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</si>
  <si>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</si>
  <si>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</si>
  <si>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</si>
  <si>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</si>
  <si>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</si>
  <si>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</si>
  <si>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</si>
  <si>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</si>
  <si>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</si>
  <si>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</si>
  <si>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</si>
  <si>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</si>
  <si>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</si>
  <si>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</si>
  <si>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</si>
  <si>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</si>
  <si>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</si>
  <si>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</si>
  <si>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</si>
  <si>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</si>
  <si>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</si>
  <si>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</si>
  <si>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</si>
  <si>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</si>
  <si>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</si>
  <si>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</si>
  <si>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</si>
  <si>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</si>
  <si>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</si>
  <si>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</si>
  <si>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</si>
  <si>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</si>
  <si>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</si>
  <si>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</si>
  <si>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</si>
  <si>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</si>
  <si>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</si>
  <si>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</si>
  <si>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</si>
  <si>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</si>
  <si>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</si>
  <si>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</si>
  <si>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</si>
  <si>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</si>
  <si>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</si>
  <si>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</si>
  <si>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</si>
  <si>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</si>
  <si>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</si>
  <si>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</si>
  <si>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</si>
  <si>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</si>
  <si>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</si>
  <si>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</si>
  <si>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</si>
  <si>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</si>
  <si>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</si>
  <si>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</si>
  <si>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</si>
  <si>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</si>
  <si>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</si>
  <si>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</si>
  <si>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</si>
  <si>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</si>
  <si>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</si>
  <si>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</si>
  <si>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</si>
  <si>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</si>
  <si>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</si>
  <si>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</si>
  <si>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</si>
  <si>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</si>
  <si>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</si>
  <si>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</si>
  <si>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</si>
  <si>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</si>
  <si>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</si>
  <si>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</si>
  <si>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</si>
  <si>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</si>
  <si>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</si>
  <si>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</si>
  <si>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</si>
  <si>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</si>
  <si>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</si>
  <si>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</si>
  <si>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</si>
  <si>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</si>
  <si>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</si>
  <si>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</si>
  <si>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</si>
  <si>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</si>
  <si>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</si>
  <si>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</si>
  <si>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</si>
  <si>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</si>
  <si>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</si>
  <si>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</si>
  <si>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</si>
  <si>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</si>
  <si>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</si>
  <si>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</si>
  <si>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</si>
  <si>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</si>
  <si>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</si>
  <si>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</si>
  <si>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</si>
  <si>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</si>
  <si>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</si>
  <si>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</si>
  <si>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</si>
  <si>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</si>
  <si>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</si>
  <si>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</si>
  <si>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</si>
  <si>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</si>
  <si>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</si>
  <si>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</si>
  <si>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</si>
  <si>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</si>
  <si>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</si>
  <si>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</si>
  <si>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</si>
  <si>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</si>
  <si>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</si>
  <si>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</si>
  <si>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</si>
  <si>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</si>
  <si>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</si>
  <si>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</si>
  <si>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</si>
  <si>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</si>
  <si>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</si>
  <si>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</si>
  <si>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</si>
  <si>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</si>
  <si>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</si>
  <si>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</si>
  <si>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</si>
  <si>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</si>
  <si>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</si>
  <si>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</si>
  <si>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</si>
  <si>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</si>
  <si>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</si>
  <si>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</si>
  <si>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</si>
  <si>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</si>
  <si>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</si>
  <si>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</si>
  <si>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</si>
  <si>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</si>
  <si>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</si>
  <si>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</si>
  <si>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</si>
  <si>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</si>
  <si>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</si>
  <si>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</si>
  <si>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</si>
  <si>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</si>
  <si>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</si>
  <si>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</si>
  <si>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</si>
  <si>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</si>
  <si>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</si>
  <si>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</si>
  <si>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</si>
  <si>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</si>
  <si>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</si>
  <si>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</si>
  <si>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</si>
  <si>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</si>
  <si>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</si>
  <si>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</si>
  <si>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</si>
  <si>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</si>
  <si>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</si>
  <si>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</si>
  <si>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</si>
  <si>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</si>
  <si>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</si>
  <si>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</si>
  <si>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</si>
  <si>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</si>
  <si>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</si>
  <si>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</si>
  <si>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</si>
  <si>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</si>
  <si>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</si>
  <si>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</si>
  <si>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</si>
  <si>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</si>
  <si>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</si>
  <si>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</si>
  <si>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</si>
  <si>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</si>
  <si>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</si>
  <si>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</si>
  <si>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</si>
  <si>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</si>
  <si>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</si>
  <si>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</si>
  <si>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</si>
  <si>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</si>
  <si>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</si>
  <si>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</si>
  <si>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</si>
  <si>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</si>
  <si>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</si>
  <si>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</si>
  <si>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</si>
  <si>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</si>
  <si>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</si>
  <si>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</si>
  <si>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</si>
  <si>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</si>
  <si>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</si>
  <si>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</si>
  <si>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</si>
  <si>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</si>
  <si>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</si>
  <si>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</si>
  <si>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</si>
  <si>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</si>
  <si>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</si>
  <si>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</si>
  <si>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</si>
  <si>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</si>
  <si>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</si>
  <si>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</si>
  <si>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</si>
  <si>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</si>
  <si>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</si>
  <si>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</si>
  <si>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</si>
  <si>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</si>
  <si>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</si>
  <si>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</si>
  <si>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</si>
  <si>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</si>
  <si>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</si>
  <si>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</si>
  <si>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</si>
  <si>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</si>
  <si>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</si>
  <si>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</si>
  <si>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</si>
  <si>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</si>
  <si>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</si>
  <si>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</si>
  <si>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</si>
  <si>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</si>
  <si>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</si>
  <si>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</si>
  <si>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</si>
  <si>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</si>
  <si>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</si>
  <si>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</si>
  <si>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</si>
  <si>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</si>
  <si>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</si>
  <si>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</si>
  <si>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</si>
  <si>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</si>
  <si>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</si>
  <si>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</si>
  <si>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</si>
  <si>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</si>
  <si>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</si>
  <si>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</si>
  <si>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</si>
  <si>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</si>
  <si>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</si>
  <si>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</si>
  <si>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</si>
  <si>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</si>
  <si>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</si>
  <si>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</si>
  <si>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</si>
  <si>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</si>
  <si>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</si>
  <si>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</si>
  <si>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</si>
  <si>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</si>
  <si>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</si>
  <si>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</si>
  <si>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</si>
  <si>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</si>
  <si>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</si>
  <si>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</si>
  <si>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</si>
  <si>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</si>
  <si>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</si>
  <si>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</si>
  <si>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</si>
  <si>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</si>
  <si>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</si>
  <si>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</si>
  <si>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</si>
  <si>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</si>
  <si>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</si>
  <si>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</si>
  <si>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</si>
  <si>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</si>
  <si>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</si>
  <si>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</si>
  <si>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</si>
  <si>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</si>
  <si>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</si>
  <si>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</si>
  <si>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</si>
  <si>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</si>
  <si>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</si>
  <si>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</si>
  <si>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</si>
  <si>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</si>
  <si>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</si>
  <si>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</si>
  <si>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</si>
  <si>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</si>
  <si>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</si>
  <si>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</si>
  <si>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</si>
  <si>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</si>
  <si>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</si>
  <si>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</si>
  <si>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</si>
  <si>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</si>
  <si>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</si>
  <si>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</si>
  <si>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</si>
  <si>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</si>
  <si>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</si>
  <si>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</si>
  <si>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</si>
  <si>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</si>
  <si>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</si>
  <si>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</si>
  <si>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</si>
  <si>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</si>
  <si>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</si>
  <si>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</si>
  <si>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</si>
  <si>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</si>
  <si>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</si>
  <si>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</si>
  <si>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</si>
  <si>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</si>
  <si>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</si>
  <si>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</si>
  <si>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</si>
  <si>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</si>
  <si>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</si>
  <si>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</si>
  <si>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</si>
  <si>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</si>
  <si>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</si>
  <si>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</si>
  <si>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</si>
  <si>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</si>
  <si>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</si>
  <si>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</si>
  <si>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</si>
  <si>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</si>
  <si>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</si>
  <si>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</si>
  <si>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</si>
  <si>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</si>
  <si>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</si>
  <si>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</si>
  <si>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</si>
  <si>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</si>
  <si>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</si>
  <si>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</si>
  <si>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</si>
  <si>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</si>
  <si>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</si>
  <si>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</si>
  <si>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</si>
  <si>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</si>
  <si>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</si>
  <si>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</si>
  <si>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</si>
  <si>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</si>
  <si>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</si>
  <si>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</si>
  <si>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</si>
  <si>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</si>
  <si>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</si>
  <si>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</si>
  <si>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</si>
  <si>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</si>
  <si>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</si>
  <si>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</si>
  <si>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</si>
  <si>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</si>
  <si>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</si>
  <si>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</si>
  <si>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</si>
  <si>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</si>
  <si>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</si>
  <si>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</si>
  <si>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</si>
  <si>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</si>
  <si>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</si>
  <si>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</si>
  <si>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</si>
  <si>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</si>
  <si>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</si>
  <si>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</si>
  <si>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</si>
  <si>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</si>
  <si>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</si>
  <si>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</si>
  <si>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</si>
  <si>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</si>
  <si>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</si>
  <si>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</si>
  <si>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</si>
  <si>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</si>
  <si>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</si>
  <si>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</si>
  <si>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</si>
  <si>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</si>
  <si>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</si>
  <si>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</si>
  <si>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</si>
  <si>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</si>
  <si>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</si>
  <si>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</si>
  <si>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</si>
  <si>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</si>
  <si>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</si>
  <si>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</si>
  <si>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</si>
  <si>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</si>
  <si>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</si>
  <si>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</si>
  <si>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</si>
  <si>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</si>
  <si>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</si>
  <si>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</si>
  <si>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</si>
  <si>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</si>
  <si>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</si>
  <si>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</si>
  <si>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</si>
  <si>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</si>
  <si>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</si>
  <si>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</si>
  <si>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</si>
  <si>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</si>
  <si>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</si>
  <si>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</si>
  <si>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</si>
  <si>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</si>
  <si>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</si>
  <si>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</si>
  <si>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</si>
  <si>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</si>
  <si>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</si>
  <si>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</si>
  <si>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</si>
  <si>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</si>
  <si>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</si>
  <si>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</si>
  <si>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</si>
  <si>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</si>
  <si>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</si>
  <si>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</si>
  <si>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</si>
  <si>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</si>
  <si>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</si>
  <si>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</si>
  <si>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</si>
  <si>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</si>
  <si>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</si>
  <si>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</si>
  <si>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</si>
  <si>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</si>
  <si>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</si>
  <si>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</si>
  <si>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</si>
  <si>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</si>
  <si>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</si>
  <si>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</si>
  <si>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</si>
  <si>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</si>
  <si>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</si>
  <si>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</si>
  <si>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</si>
  <si>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</si>
  <si>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</si>
  <si>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</si>
  <si>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</si>
  <si>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</si>
  <si>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</si>
  <si>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</si>
  <si>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</si>
  <si>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</si>
  <si>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</si>
  <si>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</si>
  <si>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</si>
  <si>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</si>
  <si>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</si>
  <si>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</si>
  <si>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</si>
  <si>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</si>
  <si>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</si>
  <si>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</si>
  <si>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</si>
  <si>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</si>
  <si>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</si>
  <si>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</si>
  <si>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</si>
  <si>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</si>
  <si>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</si>
  <si>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</si>
  <si>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</si>
  <si>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</si>
  <si>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</si>
  <si>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</si>
  <si>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</si>
  <si>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</si>
  <si>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</si>
  <si>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</si>
  <si>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</si>
  <si>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</si>
  <si>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</si>
  <si>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</si>
  <si>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</si>
  <si>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</si>
  <si>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</si>
  <si>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</si>
  <si>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</si>
  <si>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</si>
  <si>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</si>
  <si>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</si>
  <si>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</si>
  <si>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</si>
  <si>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</si>
  <si>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</si>
  <si>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</si>
  <si>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</si>
  <si>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</si>
  <si>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</si>
  <si>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</si>
  <si>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</si>
  <si>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</si>
  <si>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</si>
  <si>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</si>
  <si>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</si>
  <si>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</si>
  <si>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</si>
  <si>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</si>
  <si>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</si>
  <si>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</si>
  <si>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</si>
  <si>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</si>
  <si>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</si>
  <si>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</si>
  <si>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</si>
  <si>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</si>
  <si>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</si>
  <si>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</si>
  <si>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</si>
  <si>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</si>
  <si>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</si>
  <si>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</si>
  <si>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</si>
  <si>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</si>
  <si>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</si>
  <si>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</si>
  <si>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</si>
  <si>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</si>
  <si>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</si>
  <si>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</si>
  <si>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</si>
  <si>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</si>
  <si>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</si>
  <si>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</si>
  <si>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</si>
  <si>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</si>
  <si>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</si>
  <si>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</si>
  <si>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</si>
  <si>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</si>
  <si>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</si>
  <si>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</si>
  <si>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</si>
  <si>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</si>
  <si>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</si>
  <si>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</si>
  <si>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</si>
  <si>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</si>
  <si>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</si>
  <si>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</si>
  <si>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</si>
  <si>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</si>
  <si>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</si>
  <si>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</si>
  <si>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</si>
  <si>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</si>
  <si>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</si>
  <si>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</si>
  <si>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</si>
  <si>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</si>
  <si>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</si>
  <si>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</si>
  <si>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</si>
  <si>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</si>
  <si>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</si>
  <si>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</si>
  <si>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</si>
  <si>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</si>
  <si>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</si>
  <si>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</si>
  <si>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</si>
  <si>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</si>
  <si>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</si>
  <si>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</si>
  <si>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</si>
  <si>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</si>
  <si>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</si>
  <si>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</si>
  <si>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</si>
  <si>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</si>
  <si>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</si>
  <si>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</si>
  <si>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</si>
  <si>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</si>
  <si>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</si>
  <si>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</si>
  <si>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</si>
  <si>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</si>
  <si>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</si>
  <si>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</si>
  <si>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</si>
  <si>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</si>
  <si>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</si>
  <si>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</si>
  <si>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</si>
  <si>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</si>
  <si>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</si>
  <si>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</si>
  <si>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</si>
  <si>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</si>
  <si>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</si>
  <si>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</si>
  <si>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</si>
  <si>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</si>
  <si>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</si>
  <si>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</si>
  <si>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</si>
  <si>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</si>
  <si>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</si>
  <si>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</si>
  <si>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</si>
  <si>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</si>
  <si>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</si>
  <si>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</si>
  <si>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</si>
  <si>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</si>
  <si>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</si>
  <si>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</si>
  <si>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</si>
  <si>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</si>
  <si>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</si>
  <si>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</si>
  <si>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</si>
  <si>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</si>
  <si>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</si>
  <si>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</si>
  <si>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</si>
  <si>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</si>
  <si>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</si>
  <si>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</si>
  <si>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</si>
  <si>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</si>
  <si>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</si>
  <si>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</si>
  <si>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</si>
  <si>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</si>
  <si>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</si>
  <si>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</si>
  <si>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</si>
  <si>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</si>
  <si>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</si>
  <si>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</si>
  <si>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</si>
  <si>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</si>
  <si>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</si>
  <si>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</si>
  <si>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</si>
  <si>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</si>
  <si>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</si>
  <si>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</si>
  <si>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</si>
  <si>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</si>
  <si>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</si>
  <si>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</si>
  <si>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</si>
  <si>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</si>
  <si>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</si>
  <si>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</si>
  <si>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</si>
  <si>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</si>
  <si>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</si>
  <si>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</si>
  <si>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</si>
  <si>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</si>
  <si>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</si>
  <si>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</si>
  <si>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</si>
  <si>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</si>
  <si>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</si>
  <si>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</si>
  <si>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</si>
  <si>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</si>
  <si>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</si>
  <si>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</si>
  <si>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</si>
  <si>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</si>
  <si>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</si>
  <si>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</si>
  <si>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</si>
  <si>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</si>
  <si>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</si>
  <si>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</si>
  <si>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</si>
  <si>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</si>
  <si>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</si>
  <si>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</si>
  <si>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</si>
  <si>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</si>
  <si>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</si>
  <si>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</si>
  <si>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</si>
  <si>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</si>
  <si>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</si>
  <si>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</si>
  <si>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</si>
  <si>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</si>
  <si>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</si>
  <si>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</si>
  <si>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</si>
  <si>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</si>
  <si>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</si>
  <si>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</si>
  <si>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</si>
  <si>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</si>
  <si>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</si>
  <si>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</si>
  <si>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</si>
  <si>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</si>
  <si>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</si>
  <si>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</si>
  <si>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</si>
  <si>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</si>
  <si>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</si>
  <si>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</si>
  <si>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</si>
  <si>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</si>
  <si>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</si>
  <si>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</si>
  <si>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</si>
  <si>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</si>
  <si>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</si>
  <si>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</si>
  <si>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</si>
  <si>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</si>
  <si>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</si>
  <si>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</si>
  <si>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</si>
  <si>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</si>
  <si>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</si>
  <si>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</si>
  <si>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</si>
  <si>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</si>
  <si>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</si>
  <si>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</si>
  <si>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</si>
  <si>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</si>
  <si>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</si>
  <si>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</si>
  <si>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</si>
  <si>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</si>
  <si>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</si>
  <si>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</si>
  <si>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</si>
  <si>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</si>
  <si>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</si>
  <si>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</si>
  <si>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</si>
  <si>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</si>
  <si>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</si>
  <si>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</si>
  <si>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</si>
  <si>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</si>
  <si>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</si>
  <si>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</si>
  <si>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</si>
  <si>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</si>
  <si>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</si>
  <si>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</si>
  <si>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</si>
  <si>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</si>
  <si>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</si>
  <si>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</si>
  <si>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</si>
  <si>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</si>
  <si>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</si>
  <si>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</si>
  <si>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</si>
  <si>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</si>
  <si>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</si>
  <si>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</si>
  <si>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</si>
  <si>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</si>
  <si>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</si>
  <si>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</si>
  <si>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</si>
  <si>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</si>
  <si>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</si>
  <si>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</si>
  <si>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</si>
  <si>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</si>
  <si>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</si>
  <si>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</si>
  <si>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</si>
  <si>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</si>
  <si>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</si>
  <si>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</si>
  <si>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</si>
  <si>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</si>
  <si>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</si>
  <si>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</si>
  <si>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</si>
  <si>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</si>
  <si>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</si>
  <si>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</si>
  <si>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</si>
  <si>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</si>
  <si>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</si>
  <si>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</si>
  <si>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</si>
  <si>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</si>
  <si>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</si>
  <si>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</si>
  <si>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</si>
  <si>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</si>
  <si>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</si>
  <si>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</si>
  <si>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</si>
  <si>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</si>
  <si>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</si>
  <si>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</si>
  <si>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</si>
  <si>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</si>
  <si>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</si>
  <si>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</si>
  <si>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</si>
  <si>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</si>
  <si>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</si>
  <si>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</si>
  <si>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</si>
  <si>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</si>
  <si>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</si>
  <si>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</si>
  <si>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</si>
  <si>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</si>
  <si>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</si>
  <si>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</si>
  <si>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</si>
  <si>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</si>
  <si>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</si>
  <si>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</si>
  <si>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</si>
  <si>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</si>
  <si>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</si>
  <si>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</si>
  <si>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</si>
  <si>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</si>
  <si>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</si>
  <si>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</si>
  <si>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</si>
  <si>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</si>
  <si>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</si>
  <si>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</si>
  <si>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</si>
  <si>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</si>
  <si>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</si>
  <si>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</si>
  <si>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</si>
  <si>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</si>
  <si>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</si>
  <si>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</si>
  <si>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</si>
  <si>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</si>
  <si>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</si>
  <si>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</si>
  <si>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</si>
  <si>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</si>
  <si>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</si>
  <si>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</si>
  <si>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</si>
  <si>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</si>
  <si>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</si>
  <si>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</si>
  <si>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</si>
  <si>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</si>
  <si>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</si>
  <si>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</si>
  <si>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</si>
  <si>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</si>
  <si>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</si>
  <si>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</si>
  <si>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</si>
  <si>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</si>
  <si>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</si>
  <si>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</si>
  <si>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</si>
  <si>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</si>
  <si>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</si>
  <si>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</si>
  <si>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</si>
  <si>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</si>
  <si>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</si>
  <si>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</si>
  <si>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</si>
  <si>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</si>
  <si>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</si>
  <si>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</si>
  <si>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</si>
  <si>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</si>
  <si>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</si>
  <si>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</si>
  <si>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</si>
  <si>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</si>
  <si>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</si>
  <si>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</si>
  <si>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</si>
  <si>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</si>
  <si>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</si>
  <si>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</si>
  <si>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</si>
  <si>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</si>
  <si>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</si>
  <si>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</si>
  <si>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</si>
  <si>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</si>
  <si>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</si>
  <si>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</si>
  <si>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</si>
  <si>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</si>
  <si>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</si>
  <si>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</si>
  <si>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</si>
  <si>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</si>
  <si>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</si>
  <si>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</si>
  <si>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</si>
  <si>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</si>
  <si>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</si>
  <si>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</si>
  <si>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</si>
  <si>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</si>
  <si>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</si>
  <si>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</si>
  <si>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</si>
  <si>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</si>
  <si>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</si>
  <si>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</si>
  <si>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</si>
  <si>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</si>
  <si>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</si>
  <si>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</si>
  <si>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</si>
  <si>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</si>
  <si>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</si>
  <si>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</si>
  <si>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</si>
  <si>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</si>
  <si>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</si>
  <si>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</si>
  <si>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</si>
  <si>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</si>
  <si>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</si>
  <si>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</si>
  <si>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</si>
  <si>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</si>
  <si>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</si>
  <si>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</si>
  <si>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</si>
  <si>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</si>
  <si>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</si>
  <si>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</si>
  <si>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</si>
  <si>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</si>
  <si>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</si>
  <si>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</si>
  <si>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</si>
  <si>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</si>
  <si>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</si>
  <si>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</si>
  <si>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</si>
  <si>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</si>
  <si>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</si>
  <si>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</si>
  <si>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</si>
  <si>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</si>
  <si>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</si>
  <si>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</si>
  <si>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</si>
  <si>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</si>
  <si>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</si>
  <si>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</si>
  <si>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</si>
  <si>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</si>
  <si>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</si>
  <si>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</si>
  <si>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</si>
  <si>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</si>
  <si>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</si>
  <si>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</si>
  <si>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</si>
  <si>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</si>
  <si>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</si>
  <si>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</si>
  <si>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</si>
  <si>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</si>
  <si>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</si>
  <si>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</si>
  <si>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</si>
  <si>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</si>
  <si>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</si>
  <si>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</si>
  <si>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</si>
  <si>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</si>
  <si>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</si>
  <si>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</si>
  <si>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</si>
  <si>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</si>
  <si>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</si>
  <si>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</si>
  <si>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</si>
  <si>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</si>
  <si>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</si>
  <si>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</si>
  <si>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</si>
  <si>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</si>
  <si>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</si>
  <si>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</si>
  <si>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</si>
  <si>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</si>
  <si>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</si>
  <si>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</si>
  <si>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</si>
  <si>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</si>
  <si>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</si>
  <si>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</si>
  <si>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</si>
  <si>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</si>
  <si>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</si>
  <si>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</si>
  <si>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</si>
  <si>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</si>
  <si>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</si>
  <si>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</si>
  <si>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</si>
  <si>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</si>
  <si>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</si>
  <si>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</si>
  <si>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</si>
  <si>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</si>
  <si>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</si>
  <si>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</si>
  <si>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</si>
  <si>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</si>
  <si>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</si>
  <si>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</si>
  <si>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</si>
  <si>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</si>
  <si>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</si>
  <si>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</si>
  <si>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</si>
  <si>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</si>
  <si>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</si>
  <si>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</si>
  <si>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</si>
  <si>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</si>
  <si>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</si>
  <si>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</si>
  <si>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</si>
  <si>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</si>
  <si>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</si>
  <si>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</si>
  <si>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</si>
  <si>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</si>
  <si>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</si>
  <si>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</si>
  <si>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</si>
  <si>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</si>
  <si>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</si>
  <si>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</si>
  <si>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</si>
  <si>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</si>
  <si>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</si>
  <si>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</si>
  <si>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</si>
  <si>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</si>
  <si>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</si>
  <si>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</si>
  <si>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</si>
  <si>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</si>
  <si>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</si>
  <si>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</si>
  <si>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</si>
  <si>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</si>
  <si>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</si>
  <si>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</si>
  <si>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</si>
  <si>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</si>
  <si>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</si>
  <si>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</si>
  <si>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</si>
  <si>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</si>
  <si>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</si>
  <si>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</si>
  <si>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</si>
  <si>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</si>
  <si>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</si>
  <si>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</si>
  <si>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</si>
  <si>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</si>
  <si>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</si>
  <si>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</si>
  <si>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</si>
  <si>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</si>
  <si>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</si>
  <si>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</si>
  <si>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</si>
  <si>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</si>
  <si>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</si>
  <si>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</si>
  <si>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</si>
  <si>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</si>
  <si>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</si>
  <si>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</si>
  <si>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</si>
  <si>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</si>
  <si>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</si>
  <si>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</si>
  <si>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</si>
  <si>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</si>
  <si>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</si>
  <si>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</si>
  <si>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</si>
  <si>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</si>
  <si>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</si>
  <si>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</si>
  <si>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</si>
  <si>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</si>
  <si>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</si>
  <si>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</si>
  <si>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</si>
  <si>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</si>
  <si>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</si>
  <si>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</si>
  <si>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</si>
  <si>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</si>
  <si>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</si>
  <si>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</si>
  <si>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</si>
  <si>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</si>
  <si>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</si>
  <si>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</si>
  <si>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</si>
  <si>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</si>
  <si>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</si>
  <si>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</si>
  <si>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</si>
  <si>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</si>
  <si>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</si>
  <si>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</si>
  <si>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</si>
  <si>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</si>
  <si>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</si>
  <si>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</si>
  <si>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</si>
  <si>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</si>
  <si>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</si>
  <si>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</si>
  <si>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</si>
  <si>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</si>
  <si>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</si>
  <si>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</si>
  <si>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</si>
  <si>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</si>
  <si>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</si>
  <si>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</si>
  <si>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</si>
  <si>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</si>
  <si>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</si>
  <si>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</si>
  <si>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</si>
  <si>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</si>
  <si>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</si>
  <si>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</si>
  <si>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</si>
  <si>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</si>
  <si>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</si>
  <si>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</si>
  <si>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</si>
  <si>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</si>
  <si>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</si>
  <si>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</si>
  <si>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</si>
  <si>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</si>
  <si>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</si>
  <si>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</si>
  <si>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</si>
  <si>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</si>
  <si>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</si>
  <si>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</si>
  <si>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</si>
  <si>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</si>
  <si>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</si>
  <si>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</si>
  <si>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</si>
  <si>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</si>
  <si>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</si>
  <si>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</si>
  <si>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</si>
  <si>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</si>
  <si>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</si>
  <si>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</si>
  <si>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</si>
  <si>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</si>
  <si>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</si>
  <si>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</si>
  <si>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</si>
  <si>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</si>
  <si>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</si>
  <si>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</si>
  <si>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</si>
  <si>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</si>
  <si>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</si>
  <si>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</si>
  <si>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</si>
  <si>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</si>
  <si>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</si>
  <si>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</si>
  <si>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</si>
  <si>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</si>
  <si>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</si>
  <si>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</si>
  <si>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</si>
  <si>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</si>
  <si>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</si>
  <si>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</si>
  <si>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</si>
  <si>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</si>
  <si>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</si>
  <si>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</si>
  <si>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</si>
  <si>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</si>
  <si>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</si>
  <si>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</si>
  <si>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</si>
  <si>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</si>
  <si>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</si>
  <si>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</si>
  <si>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</si>
  <si>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</si>
  <si>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</si>
  <si>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</si>
  <si>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</si>
  <si>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</si>
  <si>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</si>
  <si>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</si>
  <si>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</si>
  <si>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</si>
  <si>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</si>
  <si>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</si>
  <si>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</si>
  <si>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</si>
  <si>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</si>
  <si>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</si>
  <si>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</si>
  <si>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</si>
  <si>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</si>
  <si>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</si>
  <si>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</si>
  <si>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</si>
  <si>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</si>
  <si>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</si>
  <si>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</si>
  <si>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</si>
  <si>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</si>
  <si>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</si>
  <si>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</si>
  <si>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</si>
  <si>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</si>
  <si>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</si>
  <si>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</si>
  <si>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</si>
  <si>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</si>
  <si>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</si>
  <si>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</si>
  <si>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</si>
  <si>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</si>
  <si>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</si>
  <si>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</si>
  <si>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</si>
  <si>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</si>
  <si>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</si>
  <si>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</si>
  <si>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</si>
  <si>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</si>
  <si>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</si>
  <si>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</si>
  <si>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</si>
  <si>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</si>
  <si>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</si>
  <si>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</si>
  <si>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</si>
  <si>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</si>
  <si>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</si>
  <si>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</si>
  <si>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</si>
  <si>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</si>
  <si>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</si>
  <si>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</si>
  <si>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</si>
  <si>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</si>
  <si>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</si>
  <si>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</si>
  <si>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</si>
  <si>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</si>
  <si>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</si>
  <si>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</si>
  <si>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</si>
  <si>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</si>
  <si>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</si>
  <si>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</si>
  <si>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</si>
  <si>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</si>
  <si>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</si>
  <si>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</si>
  <si>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</si>
  <si>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</si>
  <si>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</si>
  <si>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</si>
  <si>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</si>
  <si>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</si>
  <si>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</si>
  <si>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</si>
  <si>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</si>
  <si>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</si>
  <si>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</si>
  <si>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</si>
  <si>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</si>
  <si>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</si>
  <si>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</si>
  <si>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</si>
  <si>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</si>
  <si>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</si>
  <si>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</si>
  <si>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</si>
  <si>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</si>
  <si>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</si>
  <si>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</si>
  <si>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</si>
  <si>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</si>
  <si>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</si>
  <si>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</si>
  <si>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</si>
  <si>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</si>
  <si>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</si>
  <si>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</si>
  <si>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</si>
  <si>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</si>
  <si>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</si>
  <si>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</si>
  <si>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</si>
  <si>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</si>
  <si>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</si>
  <si>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</si>
  <si>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</si>
  <si>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</si>
  <si>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</si>
  <si>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</si>
  <si>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</si>
  <si>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</si>
  <si>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</si>
  <si>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</si>
  <si>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</si>
  <si>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</si>
  <si>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</si>
  <si>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</si>
  <si>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</si>
  <si>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</si>
  <si>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</si>
  <si>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</si>
  <si>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</si>
  <si>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</si>
  <si>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</si>
  <si>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</si>
  <si>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</si>
  <si>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</si>
  <si>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</si>
  <si>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</si>
  <si>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</si>
  <si>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</si>
  <si>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</si>
  <si>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</si>
  <si>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</si>
  <si>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</si>
  <si>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</si>
  <si>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</si>
  <si>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</si>
  <si>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</si>
  <si>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</si>
  <si>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</si>
  <si>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</si>
  <si>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</si>
  <si>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</si>
  <si>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</si>
  <si>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</si>
  <si>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</si>
  <si>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</si>
  <si>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</si>
  <si>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</si>
  <si>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</si>
  <si>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</si>
  <si>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</si>
  <si>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</si>
  <si>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</si>
  <si>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</si>
  <si>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</si>
  <si>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</si>
  <si>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</si>
  <si>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</si>
  <si>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</si>
  <si>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</si>
  <si>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</si>
  <si>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</si>
  <si>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</si>
  <si>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</si>
  <si>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</si>
  <si>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</si>
  <si>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</si>
  <si>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</si>
  <si>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</si>
  <si>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</si>
  <si>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</si>
  <si>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</si>
  <si>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</si>
  <si>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</si>
  <si>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</si>
  <si>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</si>
  <si>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</si>
  <si>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</si>
  <si>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</si>
  <si>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</si>
  <si>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</si>
  <si>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</si>
  <si>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</si>
  <si>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</si>
  <si>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</si>
  <si>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</si>
  <si>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</si>
  <si>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</si>
  <si>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</si>
  <si>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</si>
  <si>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</si>
  <si>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</si>
  <si>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</si>
  <si>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</si>
  <si>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</si>
  <si>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</si>
  <si>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</si>
  <si>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</si>
  <si>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</si>
  <si>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</si>
  <si>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</si>
  <si>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</si>
  <si>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</si>
  <si>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</si>
  <si>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</si>
  <si>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</si>
  <si>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</si>
  <si>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</si>
  <si>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</si>
  <si>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</si>
  <si>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</si>
  <si>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</si>
  <si>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</si>
  <si>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</si>
  <si>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</si>
  <si>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</si>
  <si>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</si>
  <si>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</si>
  <si>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</si>
  <si>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</si>
  <si>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</si>
  <si>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</si>
  <si>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</si>
  <si>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</si>
  <si>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</si>
  <si>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</si>
  <si>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</si>
  <si>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</si>
  <si>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</si>
  <si>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</si>
  <si>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</si>
  <si>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</si>
  <si>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</si>
  <si>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</si>
  <si>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</si>
  <si>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</si>
  <si>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</si>
  <si>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</si>
  <si>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</si>
  <si>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</si>
  <si>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</si>
  <si>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</si>
  <si>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</si>
  <si>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</si>
  <si>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</si>
  <si>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</si>
  <si>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</si>
  <si>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</si>
  <si>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</si>
  <si>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</si>
  <si>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</si>
  <si>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</si>
  <si>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</si>
  <si>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</si>
  <si>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</si>
  <si>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</si>
  <si>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</si>
  <si>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</si>
  <si>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</si>
  <si>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</si>
  <si>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</si>
  <si>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</si>
  <si>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</si>
  <si>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</si>
  <si>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</si>
  <si>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</si>
  <si>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</si>
  <si>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</si>
  <si>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</si>
  <si>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</si>
  <si>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</si>
  <si>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</si>
  <si>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</si>
  <si>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</si>
  <si>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</si>
  <si>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</si>
  <si>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</si>
  <si>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</si>
  <si>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</si>
  <si>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</si>
  <si>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</si>
  <si>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</si>
  <si>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</si>
  <si>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</si>
  <si>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</si>
  <si>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</si>
  <si>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</si>
  <si>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</si>
  <si>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</si>
  <si>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</si>
  <si>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</si>
  <si>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</si>
  <si>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</si>
  <si>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</si>
  <si>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</si>
  <si>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</si>
  <si>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</si>
  <si>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</si>
  <si>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</si>
  <si>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</si>
  <si>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</si>
  <si>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</si>
  <si>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</si>
  <si>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</si>
  <si>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</si>
  <si>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</si>
  <si>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</si>
  <si>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</si>
  <si>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</si>
  <si>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</si>
  <si>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</si>
  <si>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</si>
  <si>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</si>
  <si>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</si>
  <si>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</si>
  <si>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</si>
  <si>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</si>
  <si>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</si>
  <si>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</si>
  <si>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</si>
  <si>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</si>
  <si>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</si>
  <si>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</si>
  <si>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</si>
  <si>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</si>
  <si>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</si>
  <si>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</si>
  <si>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</si>
  <si>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</si>
  <si>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</si>
  <si>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</si>
  <si>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</si>
  <si>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</si>
  <si>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</si>
  <si>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</si>
  <si>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</si>
  <si>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</si>
  <si>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</si>
  <si>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</si>
  <si>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</si>
  <si>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</si>
  <si>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</si>
  <si>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</si>
  <si>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</si>
  <si>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</si>
  <si>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</si>
  <si>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</si>
  <si>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</si>
  <si>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</si>
  <si>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</si>
  <si>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</si>
  <si>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</si>
  <si>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</si>
  <si>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</si>
  <si>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</si>
  <si>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</si>
  <si>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</si>
  <si>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</si>
  <si>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</si>
  <si>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</si>
  <si>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</si>
  <si>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</si>
  <si>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</si>
  <si>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</si>
  <si>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</si>
  <si>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</si>
  <si>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</si>
  <si>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</si>
  <si>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</si>
  <si>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</si>
  <si>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</si>
  <si>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</si>
  <si>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</si>
  <si>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</si>
  <si>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</si>
  <si>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</si>
  <si>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</si>
  <si>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</si>
  <si>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</si>
  <si>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</si>
  <si>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</si>
  <si>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</si>
  <si>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</si>
  <si>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</si>
  <si>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</si>
  <si>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</si>
  <si>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</si>
  <si>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</si>
  <si>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</si>
  <si>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</si>
  <si>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</si>
  <si>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</si>
  <si>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</si>
  <si>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</si>
  <si>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</si>
  <si>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</si>
  <si>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</si>
  <si>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</si>
  <si>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</si>
  <si>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</si>
  <si>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</si>
  <si>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</si>
  <si>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</si>
  <si>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</si>
  <si>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</si>
  <si>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</si>
  <si>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</si>
  <si>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</si>
  <si>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</si>
  <si>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</si>
  <si>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</si>
  <si>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</si>
  <si>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</si>
  <si>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</si>
  <si>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</si>
  <si>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</si>
  <si>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</si>
  <si>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</si>
  <si>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</si>
  <si>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</si>
  <si>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</si>
  <si>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</si>
  <si>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</si>
  <si>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</si>
  <si>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</si>
  <si>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</si>
  <si>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</si>
  <si>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</si>
  <si>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</si>
  <si>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</si>
  <si>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</si>
  <si>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</si>
  <si>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</si>
  <si>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</si>
  <si>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</si>
  <si>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</si>
  <si>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</si>
  <si>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</si>
  <si>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</si>
  <si>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</si>
  <si>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</si>
  <si>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</si>
  <si>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</si>
  <si>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</si>
  <si>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</si>
  <si>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</si>
  <si>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</si>
  <si>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</si>
  <si>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</si>
  <si>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</si>
  <si>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</si>
  <si>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</si>
  <si>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</si>
  <si>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</si>
  <si>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</si>
  <si>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</si>
  <si>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</si>
  <si>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</si>
  <si>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</si>
  <si>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</si>
  <si>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</si>
  <si>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</si>
  <si>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</si>
  <si>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</si>
  <si>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</si>
  <si>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</si>
  <si>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</si>
  <si>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</si>
  <si>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</si>
  <si>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</si>
  <si>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</si>
  <si>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</si>
  <si>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</si>
  <si>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</si>
  <si>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</si>
  <si>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</si>
  <si>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</si>
  <si>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</si>
  <si>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</si>
  <si>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</si>
  <si>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</si>
  <si>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</si>
  <si>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</si>
  <si>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</si>
  <si>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</si>
  <si>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</si>
  <si>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</si>
  <si>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</si>
  <si>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</si>
  <si>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</si>
  <si>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</si>
  <si>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</si>
  <si>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</si>
  <si>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</si>
  <si>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</si>
  <si>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</si>
  <si>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</si>
  <si>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</si>
  <si>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</si>
  <si>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</si>
  <si>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</si>
  <si>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</si>
  <si>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</si>
  <si>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</si>
  <si>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</si>
  <si>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</si>
  <si>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</si>
  <si>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</si>
  <si>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</si>
  <si>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</si>
  <si>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</si>
  <si>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</si>
  <si>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</si>
  <si>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</si>
  <si>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</si>
  <si>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</si>
  <si>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</si>
  <si>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</si>
  <si>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</si>
  <si>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</si>
  <si>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</si>
  <si>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</si>
  <si>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</si>
  <si>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</si>
  <si>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</si>
  <si>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</si>
  <si>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</si>
  <si>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</si>
  <si>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</si>
  <si>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</si>
  <si>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</si>
  <si>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</si>
  <si>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</si>
  <si>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</si>
  <si>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</si>
  <si>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</si>
  <si>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</si>
  <si>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</si>
  <si>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</si>
  <si>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</si>
  <si>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</si>
  <si>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</si>
  <si>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</si>
  <si>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</si>
  <si>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</si>
  <si>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</si>
  <si>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</si>
  <si>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</si>
  <si>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</si>
  <si>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</si>
  <si>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</si>
  <si>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</si>
  <si>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</si>
  <si>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</si>
  <si>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</si>
  <si>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</si>
  <si>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</si>
  <si>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</si>
  <si>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</si>
  <si>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</si>
  <si>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</si>
  <si>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</si>
  <si>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</si>
  <si>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</si>
  <si>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</si>
  <si>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</si>
  <si>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</si>
  <si>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</si>
  <si>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</si>
  <si>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</si>
  <si>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</si>
  <si>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</si>
  <si>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</si>
  <si>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</si>
  <si>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</si>
  <si>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</si>
  <si>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</si>
  <si>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</si>
  <si>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</si>
  <si>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</si>
  <si>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</si>
  <si>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</si>
  <si>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</si>
  <si>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</si>
  <si>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</si>
  <si>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</si>
  <si>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</si>
  <si>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</si>
  <si>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</si>
  <si>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</si>
  <si>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</si>
  <si>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</si>
  <si>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</si>
  <si>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</si>
  <si>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</si>
  <si>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</si>
  <si>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</si>
  <si>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</si>
  <si>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</si>
  <si>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</si>
  <si>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</si>
  <si>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</si>
  <si>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</si>
  <si>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</si>
  <si>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</si>
  <si>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</si>
  <si>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</si>
  <si>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</si>
  <si>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</si>
  <si>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</si>
  <si>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</si>
  <si>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</si>
  <si>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</si>
  <si>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</si>
  <si>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</si>
  <si>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</si>
  <si>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</si>
  <si>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</si>
  <si>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</si>
  <si>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</si>
  <si>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</si>
  <si>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</si>
  <si>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</si>
  <si>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</si>
  <si>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</si>
  <si>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</si>
  <si>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</si>
  <si>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</si>
  <si>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</si>
  <si>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</si>
  <si>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</si>
  <si>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</si>
  <si>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</si>
  <si>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</si>
  <si>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</si>
  <si>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</si>
  <si>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</si>
  <si>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</si>
  <si>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</si>
  <si>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</si>
  <si>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</si>
  <si>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</si>
  <si>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</si>
  <si>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</si>
  <si>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</si>
  <si>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</si>
  <si>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</si>
  <si>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</si>
  <si>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</si>
  <si>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</si>
  <si>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</si>
  <si>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</si>
  <si>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</si>
  <si>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</si>
  <si>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</si>
  <si>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</si>
  <si>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</si>
  <si>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</si>
  <si>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</si>
  <si>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</si>
  <si>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</si>
  <si>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</si>
  <si>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</si>
  <si>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</si>
  <si>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</si>
  <si>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</si>
  <si>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</si>
  <si>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</si>
  <si>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</si>
  <si>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</si>
  <si>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</si>
  <si>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</si>
  <si>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</si>
  <si>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</si>
  <si>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</si>
  <si>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</si>
  <si>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</si>
  <si>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</si>
  <si>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</si>
  <si>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</si>
  <si>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</si>
  <si>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</si>
  <si>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</si>
  <si>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</si>
  <si>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</si>
  <si>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</si>
  <si>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</si>
  <si>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</si>
  <si>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</si>
  <si>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</si>
  <si>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</si>
  <si>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</si>
  <si>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</si>
  <si>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</si>
  <si>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</si>
  <si>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</si>
  <si>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</si>
  <si>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</si>
  <si>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</si>
  <si>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</si>
  <si>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</si>
  <si>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</si>
  <si>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</si>
  <si>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</si>
  <si>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</si>
  <si>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</si>
  <si>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</si>
  <si>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</si>
  <si>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</si>
  <si>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</si>
  <si>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</si>
  <si>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</si>
  <si>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</si>
  <si>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</si>
  <si>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</si>
  <si>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</si>
  <si>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</si>
  <si>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</si>
  <si>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</si>
  <si>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</si>
  <si>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</si>
  <si>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</si>
  <si>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</si>
  <si>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</si>
  <si>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</si>
  <si>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</si>
  <si>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</si>
  <si>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</si>
  <si>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</si>
  <si>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</si>
  <si>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</si>
  <si>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</si>
  <si>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</si>
  <si>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</si>
  <si>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</si>
  <si>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</si>
  <si>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</si>
  <si>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</si>
  <si>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</si>
  <si>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</si>
  <si>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</si>
  <si>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</si>
  <si>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</si>
  <si>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</si>
  <si>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</si>
  <si>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</si>
  <si>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</si>
  <si>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</si>
  <si>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</si>
  <si>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</si>
  <si>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</si>
  <si>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</si>
  <si>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</si>
  <si>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</si>
  <si>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</si>
  <si>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</si>
  <si>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</si>
  <si>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</si>
  <si>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</si>
  <si>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</si>
  <si>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</si>
  <si>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</si>
  <si>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</si>
  <si>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</si>
  <si>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</si>
  <si>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</si>
  <si>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</si>
  <si>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</si>
  <si>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</si>
  <si>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</si>
  <si>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</si>
  <si>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</si>
  <si>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</si>
  <si>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</si>
  <si>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</si>
  <si>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</si>
  <si>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</si>
  <si>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</si>
  <si>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</si>
  <si>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</si>
  <si>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</si>
  <si>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</si>
  <si>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</si>
  <si>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</si>
  <si>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</si>
  <si>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</si>
  <si>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</si>
  <si>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</si>
  <si>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</si>
  <si>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</si>
  <si>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</si>
  <si>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</si>
  <si>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</si>
  <si>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</si>
  <si>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</si>
  <si>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</si>
  <si>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</si>
  <si>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</si>
  <si>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</si>
  <si>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</si>
  <si>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</si>
  <si>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</si>
  <si>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</si>
  <si>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</si>
  <si>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</si>
  <si>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</si>
  <si>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</si>
  <si>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</si>
  <si>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</si>
  <si>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</si>
  <si>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</si>
  <si>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</si>
  <si>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</si>
  <si>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</si>
  <si>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</si>
  <si>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</si>
  <si>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</si>
  <si>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</si>
  <si>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</si>
  <si>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</si>
  <si>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</si>
  <si>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</si>
  <si>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</si>
  <si>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</si>
  <si>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</si>
  <si>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</si>
  <si>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</si>
  <si>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</si>
  <si>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</si>
  <si>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</si>
  <si>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</si>
  <si>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</si>
  <si>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</si>
  <si>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</si>
  <si>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</si>
  <si>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</si>
  <si>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</si>
  <si>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</si>
  <si>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</si>
  <si>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</si>
  <si>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</si>
  <si>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</si>
  <si>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</si>
  <si>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</si>
  <si>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</si>
  <si>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</si>
  <si>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</si>
  <si>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</si>
  <si>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</si>
  <si>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</si>
  <si>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</si>
  <si>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</si>
  <si>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</si>
  <si>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</si>
  <si>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</si>
  <si>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</si>
  <si>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</si>
  <si>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</si>
  <si>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</si>
  <si>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</si>
  <si>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</si>
  <si>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</si>
  <si>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</si>
  <si>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</si>
  <si>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</si>
  <si>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</si>
  <si>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</si>
  <si>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</si>
  <si>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</si>
  <si>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</si>
  <si>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</si>
  <si>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</si>
  <si>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</si>
  <si>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</si>
  <si>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</si>
  <si>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</si>
  <si>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</si>
  <si>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</si>
  <si>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</si>
  <si>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</si>
  <si>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</si>
  <si>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</si>
  <si>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</si>
  <si>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</si>
  <si>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</si>
  <si>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</si>
  <si>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</si>
  <si>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</si>
  <si>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</si>
  <si>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</si>
  <si>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</si>
  <si>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</si>
  <si>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</si>
  <si>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</si>
  <si>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</si>
  <si>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</si>
  <si>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</si>
  <si>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</si>
  <si>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</si>
  <si>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</si>
  <si>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</si>
  <si>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</si>
  <si>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</si>
  <si>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</si>
  <si>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</si>
  <si>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</si>
  <si>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</si>
  <si>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</si>
  <si>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</si>
  <si>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</si>
  <si>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</si>
  <si>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</si>
  <si>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</si>
  <si>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</si>
  <si>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</si>
  <si>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</si>
  <si>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</si>
  <si>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</si>
  <si>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</si>
  <si>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</si>
  <si>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</si>
  <si>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</si>
  <si>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</si>
  <si>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</si>
  <si>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</si>
  <si>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</si>
  <si>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</si>
  <si>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</si>
  <si>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</si>
  <si>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</si>
  <si>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</si>
  <si>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</si>
  <si>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</si>
  <si>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</si>
  <si>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</si>
  <si>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</si>
  <si>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</si>
  <si>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</si>
  <si>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</si>
  <si>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</si>
  <si>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</si>
  <si>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</si>
  <si>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</si>
  <si>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</si>
  <si>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</si>
  <si>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</si>
  <si>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</si>
  <si>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</si>
  <si>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</si>
  <si>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</si>
  <si>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</si>
  <si>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</si>
  <si>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</si>
  <si>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</si>
  <si>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</si>
  <si>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</si>
  <si>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</si>
  <si>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</si>
  <si>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</si>
  <si>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</si>
  <si>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</si>
  <si>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</si>
  <si>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</si>
  <si>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</si>
  <si>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</si>
  <si>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</si>
  <si>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</si>
  <si>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</si>
  <si>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</si>
  <si>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</si>
  <si>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</si>
  <si>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</si>
  <si>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</si>
  <si>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</si>
  <si>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</si>
  <si>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</si>
  <si>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</si>
  <si>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</si>
  <si>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</si>
  <si>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</si>
  <si>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</si>
  <si>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</si>
  <si>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</si>
  <si>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</si>
  <si>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</si>
  <si>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</si>
  <si>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</si>
  <si>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</si>
  <si>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</si>
  <si>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</si>
  <si>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</si>
  <si>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</si>
  <si>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</si>
  <si>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</si>
  <si>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</si>
  <si>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</si>
  <si>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</si>
  <si>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</si>
  <si>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</si>
  <si>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</si>
  <si>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</si>
  <si>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</si>
  <si>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</si>
  <si>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</si>
  <si>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</si>
  <si>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</si>
  <si>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</si>
  <si>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</si>
  <si>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</si>
  <si>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</si>
  <si>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</si>
  <si>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</si>
  <si>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</si>
  <si>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</si>
  <si>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</si>
  <si>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</si>
  <si>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</si>
  <si>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</si>
  <si>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</si>
  <si>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</si>
  <si>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</si>
  <si>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</si>
  <si>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</si>
  <si>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</si>
  <si>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</si>
  <si>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</si>
  <si>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</si>
  <si>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</si>
  <si>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</si>
  <si>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</si>
  <si>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</si>
  <si>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</si>
  <si>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</si>
  <si>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</si>
  <si>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</si>
  <si>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</si>
  <si>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</si>
  <si>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</si>
  <si>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</si>
  <si>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</si>
  <si>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</si>
  <si>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</si>
  <si>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</si>
  <si>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</si>
  <si>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</si>
  <si>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</si>
  <si>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</si>
  <si>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</si>
  <si>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</si>
  <si>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</si>
  <si>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</si>
  <si>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</si>
  <si>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</si>
  <si>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</si>
  <si>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</si>
  <si>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</si>
  <si>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</si>
  <si>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</si>
  <si>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</si>
  <si>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</si>
  <si>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</si>
  <si>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</si>
  <si>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</si>
  <si>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</si>
  <si>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</si>
  <si>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</si>
  <si>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</si>
  <si>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</si>
  <si>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</si>
  <si>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</si>
  <si>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</si>
  <si>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</si>
  <si>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</si>
  <si>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</si>
  <si>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</si>
  <si>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</si>
  <si>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</si>
  <si>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</si>
  <si>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</si>
  <si>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</si>
  <si>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</si>
  <si>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</si>
  <si>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</si>
  <si>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</si>
  <si>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</si>
  <si>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</si>
  <si>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</si>
  <si>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</si>
  <si>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</si>
  <si>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</si>
  <si>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</si>
  <si>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</si>
  <si>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</si>
  <si>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</si>
  <si>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</si>
  <si>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</si>
  <si>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</si>
  <si>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</si>
  <si>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</si>
  <si>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</si>
  <si>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</si>
  <si>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</si>
  <si>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</si>
  <si>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</si>
  <si>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</si>
  <si>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</si>
  <si>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</si>
  <si>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</si>
  <si>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</si>
  <si>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</si>
  <si>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</si>
  <si>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</si>
  <si>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</si>
  <si>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</si>
  <si>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</si>
  <si>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</si>
  <si>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</si>
  <si>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</si>
  <si>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</si>
  <si>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</si>
  <si>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</si>
  <si>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</si>
  <si>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</si>
  <si>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</si>
  <si>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</si>
  <si>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</si>
  <si>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</si>
  <si>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</si>
  <si>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</si>
  <si>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</si>
  <si>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</si>
  <si>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</si>
  <si>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</si>
  <si>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</si>
  <si>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</si>
  <si>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</si>
  <si>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</si>
  <si>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</si>
  <si>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</si>
  <si>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</si>
  <si>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</si>
  <si>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</si>
  <si>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</si>
  <si>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</si>
  <si>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</si>
  <si>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</si>
  <si>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</si>
  <si>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</si>
  <si>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</si>
  <si>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</si>
  <si>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</si>
  <si>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</si>
  <si>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</si>
  <si>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</si>
  <si>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</si>
  <si>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</si>
  <si>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</si>
  <si>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</si>
  <si>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</si>
  <si>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</si>
  <si>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</si>
  <si>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</si>
  <si>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</si>
  <si>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</si>
  <si>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</si>
  <si>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</si>
  <si>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</si>
  <si>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</si>
  <si>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</si>
  <si>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</si>
  <si>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</si>
  <si>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</si>
  <si>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</si>
  <si>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</si>
  <si>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</si>
  <si>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</si>
  <si>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</si>
  <si>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</si>
  <si>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</si>
  <si>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</si>
  <si>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</si>
  <si>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</si>
  <si>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</si>
  <si>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</si>
  <si>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</si>
  <si>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</si>
  <si>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</si>
  <si>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</si>
  <si>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</si>
  <si>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</si>
  <si>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</si>
  <si>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</si>
  <si>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</si>
  <si>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</si>
  <si>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</si>
  <si>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</si>
  <si>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</si>
  <si>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</si>
  <si>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</si>
  <si>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</si>
  <si>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</si>
  <si>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</si>
  <si>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</si>
  <si>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</si>
  <si>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</si>
  <si>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</si>
  <si>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</si>
  <si>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</si>
  <si>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</si>
  <si>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</si>
  <si>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</si>
  <si>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</si>
  <si>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</si>
  <si>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</si>
  <si>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</si>
  <si>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</si>
  <si>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</si>
  <si>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</si>
  <si>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</si>
  <si>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</si>
  <si>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</si>
  <si>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</si>
  <si>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</si>
  <si>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</si>
  <si>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</si>
  <si>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</si>
  <si>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</si>
  <si>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</si>
  <si>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</si>
  <si>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</si>
  <si>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</si>
  <si>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</si>
  <si>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</si>
  <si>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</si>
  <si>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</si>
  <si>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</si>
  <si>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</si>
  <si>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</si>
  <si>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</si>
  <si>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</si>
  <si>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</si>
  <si>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</si>
  <si>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</si>
  <si>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</si>
  <si>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</si>
  <si>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</si>
  <si>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</si>
  <si>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</si>
  <si>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</si>
  <si>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</si>
  <si>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</si>
  <si>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</si>
  <si>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</si>
  <si>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</si>
  <si>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</si>
  <si>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</si>
  <si>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</si>
  <si>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</si>
  <si>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</si>
  <si>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</si>
  <si>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</si>
  <si>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</si>
  <si>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</si>
  <si>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</si>
  <si>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</si>
  <si>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</si>
  <si>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</si>
  <si>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</si>
  <si>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</si>
  <si>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</si>
  <si>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</si>
  <si>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</si>
  <si>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</si>
  <si>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</si>
  <si>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</si>
  <si>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</si>
  <si>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</si>
  <si>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</si>
  <si>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</si>
  <si>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</si>
  <si>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</si>
  <si>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</si>
  <si>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</si>
  <si>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</si>
  <si>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</si>
  <si>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</si>
  <si>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</si>
  <si>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</si>
  <si>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</si>
  <si>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</si>
  <si>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</si>
  <si>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</si>
  <si>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</si>
  <si>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</si>
  <si>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</si>
  <si>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</si>
  <si>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</si>
  <si>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</si>
  <si>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</si>
  <si>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</si>
  <si>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</si>
  <si>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</si>
  <si>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</si>
  <si>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</si>
  <si>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</si>
  <si>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</si>
  <si>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</si>
  <si>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</si>
  <si>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</si>
  <si>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</si>
  <si>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</si>
  <si>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</si>
  <si>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</si>
  <si>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</si>
  <si>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</si>
  <si>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</si>
  <si>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</si>
  <si>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</si>
  <si>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</si>
  <si>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</si>
  <si>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</si>
  <si>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</si>
  <si>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</si>
  <si>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</si>
  <si>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</si>
  <si>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</si>
  <si>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</si>
  <si>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</si>
  <si>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</si>
  <si>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</si>
  <si>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</si>
  <si>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</si>
  <si>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</si>
  <si>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</si>
  <si>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</si>
  <si>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</si>
  <si>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</si>
  <si>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</si>
  <si>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</si>
  <si>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</si>
  <si>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</si>
  <si>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</si>
  <si>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</si>
  <si>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</si>
  <si>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</si>
  <si>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</si>
  <si>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</si>
  <si>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</si>
  <si>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</si>
  <si>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</si>
  <si>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</si>
  <si>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</si>
  <si>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</si>
  <si>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</si>
  <si>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</si>
  <si>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</si>
  <si>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</si>
  <si>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</si>
  <si>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</si>
  <si>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</si>
  <si>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</si>
  <si>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</si>
  <si>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</si>
  <si>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</si>
  <si>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</si>
  <si>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</si>
  <si>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</si>
  <si>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</si>
  <si>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</si>
  <si>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</si>
  <si>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</si>
  <si>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</si>
  <si>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</si>
  <si>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</si>
  <si>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</si>
  <si>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</si>
  <si>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</si>
  <si>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</si>
  <si>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</si>
  <si>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</si>
  <si>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</si>
  <si>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</si>
  <si>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</si>
  <si>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</si>
  <si>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</si>
  <si>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</si>
  <si>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</si>
  <si>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</si>
  <si>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</si>
  <si>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</si>
  <si>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</si>
  <si>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</si>
  <si>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</si>
  <si>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</si>
  <si>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</si>
  <si>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</si>
  <si>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</si>
  <si>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</si>
  <si>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</si>
  <si>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</si>
  <si>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</si>
  <si>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</si>
  <si>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</si>
  <si>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</si>
  <si>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</si>
  <si>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</si>
  <si>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</si>
  <si>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</si>
  <si>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</si>
  <si>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</si>
  <si>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</si>
  <si>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</si>
  <si>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</si>
  <si>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</si>
  <si>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</si>
  <si>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</si>
  <si>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</si>
  <si>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</si>
  <si>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</si>
  <si>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</si>
  <si>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</si>
  <si>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</si>
  <si>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</si>
  <si>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</si>
  <si>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</si>
  <si>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</si>
  <si>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</si>
  <si>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</si>
  <si>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</si>
  <si>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</si>
  <si>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</si>
  <si>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</si>
  <si>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</si>
  <si>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</si>
  <si>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</si>
  <si>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</si>
  <si>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</si>
  <si>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</si>
  <si>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</si>
  <si>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</si>
  <si>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</si>
  <si>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</si>
  <si>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</si>
  <si>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</si>
  <si>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</si>
  <si>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</si>
  <si>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</si>
  <si>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</si>
  <si>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</si>
  <si>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</si>
  <si>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</si>
  <si>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</si>
  <si>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</si>
  <si>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</si>
  <si>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</si>
  <si>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</si>
  <si>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</si>
  <si>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</si>
  <si>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</si>
  <si>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</si>
  <si>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</si>
  <si>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</si>
  <si>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</si>
  <si>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</si>
  <si>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</si>
  <si>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</si>
  <si>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</si>
  <si>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</si>
  <si>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</si>
  <si>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</si>
  <si>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</si>
  <si>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</si>
  <si>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</si>
  <si>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</si>
  <si>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</si>
  <si>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</si>
  <si>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</si>
  <si>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</si>
  <si>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</si>
  <si>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</si>
  <si>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</si>
  <si>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</si>
  <si>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</si>
  <si>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</si>
  <si>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</si>
  <si>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</si>
  <si>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</si>
  <si>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</si>
  <si>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</si>
  <si>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</si>
  <si>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</si>
  <si>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</si>
  <si>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</si>
  <si>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</si>
  <si>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</si>
  <si>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</si>
  <si>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</si>
  <si>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</si>
  <si>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</si>
  <si>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</si>
  <si>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</si>
  <si>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</si>
  <si>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</si>
  <si>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</si>
  <si>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</si>
  <si>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</si>
  <si>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</si>
  <si>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</si>
  <si>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</si>
  <si>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</si>
  <si>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</si>
  <si>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</si>
  <si>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</si>
  <si>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</si>
  <si>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</si>
  <si>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</si>
  <si>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</si>
  <si>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</si>
  <si>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</si>
  <si>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</si>
  <si>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</si>
  <si>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</si>
  <si>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</si>
  <si>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</si>
  <si>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</si>
  <si>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</si>
  <si>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</si>
  <si>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</si>
  <si>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</si>
  <si>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</si>
  <si>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</si>
  <si>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</si>
  <si>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</si>
  <si>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</si>
  <si>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</si>
  <si>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</si>
  <si>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</si>
  <si>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</si>
  <si>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</si>
  <si>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</si>
  <si>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</si>
  <si>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</si>
  <si>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</si>
  <si>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</si>
  <si>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</si>
  <si>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</si>
  <si>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</si>
  <si>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</si>
  <si>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</si>
  <si>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</si>
  <si>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</si>
  <si>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</si>
  <si>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</si>
  <si>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</si>
  <si>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</si>
  <si>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</si>
  <si>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</si>
  <si>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</si>
  <si>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</si>
  <si>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</si>
  <si>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</si>
  <si>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</si>
  <si>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</si>
  <si>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</si>
  <si>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</si>
  <si>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</si>
  <si>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</si>
  <si>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</si>
  <si>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</si>
  <si>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</si>
  <si>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</si>
  <si>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</si>
  <si>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</si>
  <si>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</si>
  <si>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</si>
  <si>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</si>
  <si>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</si>
  <si>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</si>
  <si>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</si>
  <si>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</si>
  <si>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</si>
  <si>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</si>
  <si>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</si>
  <si>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</si>
  <si>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</si>
  <si>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</si>
  <si>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</si>
  <si>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</si>
  <si>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</si>
  <si>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</si>
  <si>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</si>
  <si>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</si>
  <si>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</si>
  <si>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</si>
  <si>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</si>
  <si>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</si>
  <si>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</si>
  <si>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</si>
  <si>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</si>
  <si>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</si>
  <si>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</si>
  <si>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</si>
  <si>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</si>
  <si>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</si>
  <si>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</si>
  <si>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</si>
  <si>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</si>
  <si>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</si>
  <si>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</si>
  <si>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</si>
  <si>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</si>
  <si>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</si>
  <si>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</si>
  <si>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</si>
  <si>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</si>
  <si>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</si>
  <si>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</si>
  <si>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</si>
  <si>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</si>
  <si>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</si>
  <si>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</si>
  <si>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</si>
  <si>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</si>
  <si>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</si>
  <si>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</si>
  <si>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</si>
  <si>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</si>
  <si>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</si>
  <si>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</si>
  <si>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</si>
  <si>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</si>
  <si>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</si>
  <si>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</si>
  <si>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</si>
  <si>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</si>
  <si>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</si>
  <si>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</si>
  <si>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</si>
  <si>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</si>
  <si>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</si>
  <si>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</si>
  <si>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</si>
  <si>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</si>
  <si>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</si>
  <si>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</si>
  <si>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</si>
  <si>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</si>
  <si>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</si>
  <si>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</si>
  <si>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</si>
  <si>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</si>
  <si>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</si>
  <si>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</si>
  <si>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</si>
  <si>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</si>
  <si>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</si>
  <si>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</si>
  <si>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</si>
  <si>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</si>
  <si>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</si>
  <si>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</si>
  <si>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</si>
  <si>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</si>
  <si>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</si>
  <si>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</si>
  <si>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</si>
  <si>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</si>
  <si>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</si>
  <si>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</si>
  <si>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</si>
  <si>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</si>
  <si>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</si>
  <si>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</si>
  <si>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</si>
  <si>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</si>
  <si>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</si>
  <si>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</si>
  <si>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</si>
  <si>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</si>
  <si>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</si>
  <si>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</si>
  <si>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</si>
  <si>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</si>
  <si>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</si>
  <si>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</si>
  <si>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</si>
  <si>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</si>
  <si>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</si>
  <si>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</si>
  <si>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</si>
  <si>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</si>
  <si>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</si>
  <si>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</si>
  <si>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</si>
  <si>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</si>
  <si>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</si>
  <si>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</si>
  <si>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</si>
  <si>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</si>
  <si>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</si>
  <si>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</si>
  <si>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</si>
  <si>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</si>
  <si>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</si>
  <si>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</si>
  <si>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</si>
  <si>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</si>
  <si>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</si>
  <si>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</si>
  <si>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</si>
  <si>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</si>
  <si>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</si>
  <si>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</si>
  <si>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</si>
  <si>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</si>
  <si>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</si>
  <si>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</si>
  <si>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</si>
  <si>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</si>
  <si>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</si>
  <si>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</si>
  <si>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</si>
  <si>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</si>
  <si>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</si>
  <si>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</si>
  <si>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</si>
  <si>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</si>
  <si>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</si>
  <si>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</si>
  <si>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</si>
  <si>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</si>
  <si>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</si>
  <si>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</si>
  <si>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</si>
  <si>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</si>
  <si>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</si>
  <si>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</si>
  <si>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</si>
  <si>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</si>
  <si>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</si>
  <si>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</si>
  <si>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</si>
  <si>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</si>
  <si>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</si>
  <si>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</si>
  <si>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</si>
  <si>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</si>
  <si>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</si>
  <si>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</si>
  <si>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</si>
  <si>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</si>
  <si>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</si>
  <si>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</si>
  <si>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</si>
  <si>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</si>
  <si>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</si>
  <si>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</si>
  <si>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</si>
  <si>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</si>
  <si>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</si>
  <si>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</si>
  <si>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</si>
  <si>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</si>
  <si>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</si>
  <si>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</si>
  <si>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</si>
  <si>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</si>
  <si>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</si>
  <si>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</si>
  <si>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</si>
  <si>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</si>
  <si>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</si>
  <si>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</si>
  <si>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</si>
  <si>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</si>
  <si>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</si>
  <si>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</si>
  <si>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</si>
  <si>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</si>
  <si>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</si>
  <si>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</si>
  <si>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</si>
  <si>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</si>
  <si>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</si>
  <si>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</si>
  <si>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</si>
  <si>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</si>
  <si>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</si>
  <si>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</si>
  <si>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</si>
  <si>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</si>
  <si>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</si>
  <si>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</si>
  <si>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</si>
  <si>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</si>
  <si>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</si>
  <si>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</si>
  <si>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</si>
  <si>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</si>
  <si>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</si>
  <si>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</si>
  <si>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</si>
  <si>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</si>
  <si>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</si>
  <si>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</si>
  <si>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</si>
  <si>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</si>
  <si>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</si>
  <si>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</si>
  <si>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</si>
  <si>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</si>
  <si>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</si>
  <si>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</si>
  <si>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</si>
  <si>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</si>
  <si>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</si>
  <si>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</si>
  <si>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</si>
  <si>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</si>
  <si>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</si>
  <si>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</si>
  <si>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</si>
  <si>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</si>
  <si>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</si>
  <si>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</si>
  <si>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</si>
  <si>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</si>
  <si>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</si>
  <si>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</si>
  <si>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</si>
  <si>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</si>
  <si>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</si>
  <si>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</si>
  <si>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</si>
  <si>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</si>
  <si>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</si>
  <si>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</si>
  <si>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</si>
  <si>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</si>
  <si>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</si>
  <si>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</si>
  <si>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</si>
  <si>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</si>
  <si>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</si>
  <si>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</si>
  <si>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</si>
  <si>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</si>
  <si>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</si>
  <si>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</si>
  <si>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</si>
  <si>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</si>
  <si>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</si>
  <si>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</si>
  <si>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</si>
  <si>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</si>
  <si>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</si>
  <si>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</si>
  <si>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</si>
  <si>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</si>
  <si>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</si>
  <si>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</si>
  <si>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</si>
  <si>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</si>
  <si>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</si>
  <si>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</si>
  <si>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</si>
  <si>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</si>
  <si>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</si>
  <si>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</si>
  <si>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</si>
  <si>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</si>
  <si>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</si>
  <si>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</si>
  <si>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</si>
  <si>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</si>
  <si>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</si>
  <si>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</si>
  <si>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</si>
  <si>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</si>
  <si>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</si>
  <si>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</si>
  <si>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</si>
  <si>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</si>
  <si>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</si>
  <si>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</si>
  <si>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</si>
  <si>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</si>
  <si>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</si>
  <si>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</si>
  <si>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</si>
  <si>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</si>
  <si>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</si>
  <si>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</si>
  <si>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</si>
  <si>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</si>
  <si>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</si>
  <si>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</si>
  <si>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</si>
  <si>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</si>
  <si>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</si>
  <si>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</si>
  <si>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</si>
  <si>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</si>
  <si>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</si>
  <si>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</si>
  <si>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</si>
  <si>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</si>
  <si>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</si>
  <si>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</si>
  <si>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</si>
  <si>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</si>
  <si>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</si>
  <si>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</si>
  <si>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</si>
  <si>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</si>
  <si>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</si>
  <si>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</si>
  <si>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</si>
  <si>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</si>
  <si>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</si>
  <si>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</si>
  <si>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</si>
  <si>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</si>
  <si>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</si>
  <si>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</si>
  <si>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</si>
  <si>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</si>
  <si>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</si>
  <si>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</si>
  <si>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</si>
  <si>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</si>
  <si>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</si>
  <si>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</si>
  <si>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</si>
  <si>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</si>
  <si>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</si>
  <si>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</si>
  <si>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</si>
  <si>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</si>
  <si>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</si>
  <si>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</si>
  <si>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</si>
  <si>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</si>
  <si>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</si>
  <si>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</si>
  <si>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</si>
  <si>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</si>
  <si>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</si>
  <si>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</si>
  <si>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</si>
  <si>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</si>
  <si>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</si>
  <si>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</si>
  <si>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</si>
  <si>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</si>
  <si>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</si>
  <si>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</si>
  <si>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</si>
  <si>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</si>
  <si>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</si>
  <si>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</si>
  <si>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</si>
  <si>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</si>
  <si>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</si>
  <si>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</si>
  <si>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</si>
  <si>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</si>
  <si>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</si>
  <si>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</si>
  <si>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</si>
  <si>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</si>
  <si>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</si>
  <si>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</si>
  <si>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</si>
  <si>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</si>
  <si>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</si>
  <si>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</si>
  <si>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</si>
  <si>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</si>
  <si>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</si>
  <si>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</si>
  <si>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</si>
  <si>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</si>
  <si>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</si>
  <si>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</si>
  <si>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</si>
  <si>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</si>
  <si>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</si>
  <si>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</si>
  <si>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</si>
  <si>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</si>
  <si>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</si>
  <si>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</si>
  <si>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</si>
  <si>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</si>
  <si>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</si>
  <si>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</si>
  <si>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</si>
  <si>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</si>
  <si>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</si>
  <si>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</si>
  <si>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</si>
  <si>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</si>
  <si>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</si>
  <si>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</si>
  <si>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</si>
  <si>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</si>
  <si>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</si>
  <si>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</si>
  <si>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</si>
  <si>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</si>
  <si>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</si>
  <si>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</si>
  <si>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</si>
  <si>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</si>
  <si>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</si>
  <si>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</si>
  <si>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</si>
  <si>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</si>
  <si>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</si>
  <si>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</si>
  <si>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</si>
  <si>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</si>
  <si>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</si>
  <si>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</si>
  <si>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</si>
  <si>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</si>
  <si>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</si>
  <si>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</si>
  <si>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</si>
  <si>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</si>
  <si>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</si>
  <si>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</si>
  <si>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</si>
  <si>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</si>
  <si>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</si>
  <si>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وغدیر 52 تا 1303</t>
  </si>
  <si>
    <t>9/8/1401</t>
  </si>
  <si>
    <t>وغدیر 42859 تا 1300</t>
  </si>
  <si>
    <t>10/8/1401</t>
  </si>
  <si>
    <t>وغدیر 20018 تا 1340</t>
  </si>
  <si>
    <t>11/8/1401</t>
  </si>
  <si>
    <t>وغدیر 272476 تا 1339</t>
  </si>
  <si>
    <t>14/8/1401</t>
  </si>
  <si>
    <t>وسپه 529565 تا 354</t>
  </si>
  <si>
    <t>ومهان 1007763 تا 414.8</t>
  </si>
  <si>
    <t>بدهی به رضا 14/8/1401</t>
  </si>
  <si>
    <t>15/8/1401</t>
  </si>
  <si>
    <t>بدهی مهدی به رضا 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</si>
  <si>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</si>
  <si>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</si>
  <si>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</si>
  <si>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</si>
  <si>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</si>
  <si>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</si>
  <si>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</si>
  <si>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</si>
  <si>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</si>
  <si>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</si>
  <si>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</si>
  <si>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</si>
  <si>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</si>
  <si>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</si>
  <si>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</si>
  <si>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</si>
  <si>
    <t>21/8/1401</t>
  </si>
  <si>
    <t>ومهان 213861 تا 448</t>
  </si>
  <si>
    <t>ومهان 248653 تا 448</t>
  </si>
  <si>
    <t>22/8/1401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</si>
</sst>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240</v>
      </c>
      <c r="J2">
        <f>H2/D2</f>
        <v>7.1216617210682482</v>
      </c>
      <c r="K2">
        <f>(H2-D2)/50</f>
        <v>4.1260000000000003</v>
      </c>
    </row>
    <row r="3" spans="1:11">
      <c r="A3" s="32" t="s">
        <v>4793</v>
      </c>
      <c r="B3" s="298">
        <v>2100</v>
      </c>
      <c r="C3" s="298">
        <v>1350</v>
      </c>
      <c r="D3" s="298">
        <v>4000</v>
      </c>
      <c r="E3" s="298">
        <v>3000</v>
      </c>
      <c r="F3" s="298"/>
      <c r="G3" s="298"/>
      <c r="H3" s="298">
        <v>17000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10800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3356</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14455</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3100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workbookViewId="0">
      <selection activeCell="G16" sqref="G16"/>
    </sheetView>
  </sheetViews>
  <sheetFormatPr defaultRowHeight="15"/>
  <cols>
    <col min="1" max="1" width="24.7109375" bestFit="1" customWidth="1"/>
    <col min="2" max="2" width="14.28515625" bestFit="1" customWidth="1"/>
    <col min="3" max="3" width="16.5703125" style="484" customWidth="1"/>
    <col min="4" max="4" width="16.5703125" style="484" bestFit="1" customWidth="1"/>
    <col min="5" max="5" width="25" style="484"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6992</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17000</v>
      </c>
      <c r="O12" s="325">
        <f t="shared" si="4"/>
        <v>63.166520769230772</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10800</v>
      </c>
      <c r="O13" s="325">
        <f t="shared" si="4"/>
        <v>3.1050904615384614</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3100</v>
      </c>
      <c r="O14" s="325">
        <f t="shared" si="4"/>
        <v>39.684515799145302</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240</v>
      </c>
      <c r="O18" s="325">
        <f t="shared" si="4"/>
        <v>4.7534644307692311</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6993</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909.84956945623924</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3356</v>
      </c>
      <c r="P7" s="325">
        <f t="shared" si="4"/>
        <v>44.455936574029558</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2481.0390216926799</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3356</v>
      </c>
      <c r="L12" s="327">
        <f t="shared" si="1"/>
        <v>11.388647526666666</v>
      </c>
      <c r="M12" s="325">
        <f t="shared" si="6"/>
        <v>3356</v>
      </c>
      <c r="N12" s="327">
        <f t="shared" si="2"/>
        <v>11.388647526666666</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1070.3381932672332</v>
      </c>
      <c r="M16" s="330" t="s">
        <v>4406</v>
      </c>
      <c r="N16" s="335">
        <f>SUM(N2:N14)</f>
        <v>1280.0983056422333</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0.41108502225533911</v>
      </c>
      <c r="M18" s="330" t="s">
        <v>4973</v>
      </c>
      <c r="N18" s="335">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240</v>
      </c>
      <c r="L2" s="400">
        <f>B2*K2/$M$1</f>
        <v>294.71333333333331</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6494.2994608391609</v>
      </c>
      <c r="L4" s="400">
        <f>B4*K4/$M$1</f>
        <v>2472.9571461595651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4394.5889784510091</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0.33336450966942954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240</v>
      </c>
      <c r="L15" s="397">
        <f t="shared" ref="L15:L23" si="4">B15*K15/$M$14</f>
        <v>529.21481481481476</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14455</v>
      </c>
      <c r="L16" s="397">
        <f t="shared" si="4"/>
        <v>2125.5205088997532</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17000</v>
      </c>
      <c r="L18" s="397">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10800</v>
      </c>
      <c r="L22" s="397">
        <f t="shared" si="4"/>
        <v>216.98231573333334</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6494.2994608391609</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5600</v>
      </c>
      <c r="C13" s="32">
        <f>(B13-B12)*100/B12</f>
        <v>15.894039735099337</v>
      </c>
      <c r="D13" s="231">
        <v>40000</v>
      </c>
      <c r="E13" s="32">
        <f>B13*1000/D13</f>
        <v>140</v>
      </c>
      <c r="F13" s="18">
        <v>12000002</v>
      </c>
      <c r="G13" s="202">
        <f>B13*1000*1000/F13</f>
        <v>466.66658888890186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8"/>
  <sheetViews>
    <sheetView topLeftCell="K24" zoomScale="85" zoomScaleNormal="85" workbookViewId="0">
      <selection activeCell="P45" sqref="P4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f>O35+2200</f>
        <v>2200</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T111</f>
        <v>1500</v>
      </c>
      <c r="U20" s="166" t="s">
        <v>4256</v>
      </c>
      <c r="V20" s="166">
        <v>192.1</v>
      </c>
      <c r="W20" s="166">
        <f t="shared" ref="W20:W51" si="6">V20*(1+$S$107+$R$15*T20/36500)</f>
        <v>416.06649534246577</v>
      </c>
      <c r="X20" s="32">
        <f t="shared" ref="X20:X26" si="7">W20*(1+$X$19/100)</f>
        <v>424.38782524931509</v>
      </c>
      <c r="Y20" s="32">
        <f t="shared" ref="Y20:Y26" si="8">W20*(1+$Y$19/100)</f>
        <v>432.7091551561644</v>
      </c>
      <c r="Z20" s="113">
        <v>48028</v>
      </c>
      <c r="AA20" s="113"/>
      <c r="AI20" s="97">
        <v>1</v>
      </c>
      <c r="AJ20" s="111" t="s">
        <v>1071</v>
      </c>
      <c r="AK20" s="111">
        <v>18000000</v>
      </c>
      <c r="AL20" s="97">
        <v>1</v>
      </c>
      <c r="AM20" s="97">
        <f>AM21+AL20</f>
        <v>1452</v>
      </c>
      <c r="AN20" s="111">
        <f t="shared" ref="AN20:AN61" si="9">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500"/>
      <c r="R21" s="167">
        <v>1353959</v>
      </c>
      <c r="S21" s="166" t="s">
        <v>4363</v>
      </c>
      <c r="T21" s="193">
        <f>T20-59</f>
        <v>1441</v>
      </c>
      <c r="U21" s="19" t="s">
        <v>4395</v>
      </c>
      <c r="V21" s="166">
        <v>192.2</v>
      </c>
      <c r="W21" s="166">
        <f t="shared" si="6"/>
        <v>407.58405917808221</v>
      </c>
      <c r="X21" s="32">
        <f t="shared" si="7"/>
        <v>415.73574036164388</v>
      </c>
      <c r="Y21" s="32">
        <f t="shared" si="8"/>
        <v>423.88742154520554</v>
      </c>
      <c r="Z21" s="113">
        <v>7012</v>
      </c>
      <c r="AA21" s="113"/>
      <c r="AI21" s="97">
        <v>2</v>
      </c>
      <c r="AJ21" s="111" t="s">
        <v>1073</v>
      </c>
      <c r="AK21" s="111">
        <v>2500000</v>
      </c>
      <c r="AL21" s="97">
        <v>1</v>
      </c>
      <c r="AM21" s="97">
        <f t="shared" ref="AM21:AM60" si="10">AM22+AL21</f>
        <v>1451</v>
      </c>
      <c r="AN21" s="111">
        <f t="shared" si="9"/>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2"/>
      <c r="L22" s="115"/>
      <c r="M22" s="205" t="s">
        <v>6801</v>
      </c>
      <c r="N22" s="223">
        <f>O22*P22</f>
        <v>272012800</v>
      </c>
      <c r="O22" s="501">
        <v>170008</v>
      </c>
      <c r="P22" s="502">
        <f>P43</f>
        <v>1600</v>
      </c>
      <c r="Q22" s="500">
        <f>N22*100/$P$52</f>
        <v>2.0570529016644001</v>
      </c>
      <c r="R22" s="167">
        <v>1614398</v>
      </c>
      <c r="S22" s="166" t="s">
        <v>4369</v>
      </c>
      <c r="T22" s="166">
        <f>T21-3</f>
        <v>1438</v>
      </c>
      <c r="U22" s="19" t="s">
        <v>5535</v>
      </c>
      <c r="V22" s="166">
        <v>184.6</v>
      </c>
      <c r="W22" s="166">
        <f t="shared" si="6"/>
        <v>391.04247890410954</v>
      </c>
      <c r="X22" s="32">
        <f t="shared" si="7"/>
        <v>398.86332848219172</v>
      </c>
      <c r="Y22" s="32">
        <f t="shared" si="8"/>
        <v>406.68417806027395</v>
      </c>
      <c r="Z22" s="113">
        <v>8705</v>
      </c>
      <c r="AA22" s="113"/>
      <c r="AI22" s="97">
        <v>3</v>
      </c>
      <c r="AJ22" s="111" t="s">
        <v>1082</v>
      </c>
      <c r="AK22" s="111">
        <v>8000000</v>
      </c>
      <c r="AL22" s="97">
        <v>1</v>
      </c>
      <c r="AM22" s="97">
        <f t="shared" si="10"/>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2"/>
      <c r="L23" s="115"/>
      <c r="M23" s="205" t="s">
        <v>6802</v>
      </c>
      <c r="N23" s="223">
        <f>O23*P23</f>
        <v>5086908</v>
      </c>
      <c r="O23" s="501">
        <v>11457</v>
      </c>
      <c r="P23" s="502">
        <f>P44</f>
        <v>444</v>
      </c>
      <c r="Q23" s="500">
        <f>N23*100/$P$52</f>
        <v>3.8468920807770264E-2</v>
      </c>
      <c r="R23" s="167">
        <v>133576</v>
      </c>
      <c r="S23" s="166" t="s">
        <v>4432</v>
      </c>
      <c r="T23" s="192">
        <f>T22-22</f>
        <v>1416</v>
      </c>
      <c r="U23" s="166" t="s">
        <v>4433</v>
      </c>
      <c r="V23" s="166">
        <v>166.2</v>
      </c>
      <c r="W23" s="166">
        <f t="shared" si="6"/>
        <v>349.26042082191782</v>
      </c>
      <c r="X23" s="32">
        <f t="shared" si="7"/>
        <v>356.24562923835617</v>
      </c>
      <c r="Y23" s="32">
        <f t="shared" si="8"/>
        <v>363.23083765479453</v>
      </c>
      <c r="Z23" s="120">
        <v>800</v>
      </c>
      <c r="AA23" s="94"/>
      <c r="AI23" s="97">
        <v>4</v>
      </c>
      <c r="AJ23" s="111" t="s">
        <v>4017</v>
      </c>
      <c r="AK23" s="111">
        <v>-79552</v>
      </c>
      <c r="AL23" s="97">
        <v>1</v>
      </c>
      <c r="AM23" s="97">
        <f t="shared" si="10"/>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L57</f>
        <v>218088543.59600925</v>
      </c>
      <c r="G24" s="93">
        <f t="shared" si="0"/>
        <v>62217801.785929382</v>
      </c>
      <c r="H24" s="11"/>
      <c r="I24" s="94"/>
      <c r="J24" s="94"/>
      <c r="K24" s="202"/>
      <c r="L24" s="115"/>
      <c r="M24" s="202"/>
      <c r="N24" s="202"/>
      <c r="O24" s="496"/>
      <c r="P24" s="196"/>
      <c r="Q24" s="497"/>
      <c r="R24" s="167">
        <v>220803</v>
      </c>
      <c r="S24" s="166" t="s">
        <v>4181</v>
      </c>
      <c r="T24" s="192">
        <f>T23-1</f>
        <v>1415</v>
      </c>
      <c r="U24" s="166" t="s">
        <v>4439</v>
      </c>
      <c r="V24" s="166">
        <v>166</v>
      </c>
      <c r="W24" s="166">
        <f t="shared" si="6"/>
        <v>348.71278904109596</v>
      </c>
      <c r="X24" s="32">
        <f t="shared" si="7"/>
        <v>355.68704482191788</v>
      </c>
      <c r="Y24" s="32">
        <f t="shared" si="8"/>
        <v>362.6613006027398</v>
      </c>
      <c r="Z24" s="120">
        <v>1326</v>
      </c>
      <c r="AA24" s="94"/>
      <c r="AI24" s="97">
        <v>5</v>
      </c>
      <c r="AJ24" s="111" t="s">
        <v>1094</v>
      </c>
      <c r="AK24" s="111">
        <v>165500</v>
      </c>
      <c r="AL24" s="97">
        <v>12</v>
      </c>
      <c r="AM24" s="97">
        <f t="shared" si="10"/>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2"/>
      <c r="L25" s="115"/>
      <c r="M25" s="192" t="s">
        <v>6722</v>
      </c>
      <c r="N25" s="117">
        <v>273</v>
      </c>
      <c r="O25" s="503"/>
      <c r="P25" s="504"/>
      <c r="Q25" s="505"/>
      <c r="R25" s="167">
        <v>1023940</v>
      </c>
      <c r="S25" s="166" t="s">
        <v>4440</v>
      </c>
      <c r="T25" s="192">
        <f>T24-2</f>
        <v>1413</v>
      </c>
      <c r="U25" s="166" t="s">
        <v>4446</v>
      </c>
      <c r="V25" s="166">
        <v>160.19999999999999</v>
      </c>
      <c r="W25" s="166">
        <f t="shared" si="6"/>
        <v>336.2830619178082</v>
      </c>
      <c r="X25" s="32">
        <f t="shared" si="7"/>
        <v>343.00872315616436</v>
      </c>
      <c r="Y25" s="32">
        <f t="shared" si="8"/>
        <v>349.73438439452053</v>
      </c>
      <c r="Z25" s="120">
        <v>6362</v>
      </c>
      <c r="AA25" s="94" t="s">
        <v>25</v>
      </c>
      <c r="AI25" s="97">
        <v>6</v>
      </c>
      <c r="AJ25" s="111" t="s">
        <v>1119</v>
      </c>
      <c r="AK25" s="111">
        <v>-28830327</v>
      </c>
      <c r="AL25" s="97">
        <v>6</v>
      </c>
      <c r="AM25" s="97">
        <f t="shared" si="10"/>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2"/>
      <c r="L26" s="115"/>
      <c r="M26" s="192" t="s">
        <v>6723</v>
      </c>
      <c r="N26" s="117">
        <f>O26*P26</f>
        <v>92873600</v>
      </c>
      <c r="O26" s="503">
        <v>58046</v>
      </c>
      <c r="P26" s="504">
        <f>P43</f>
        <v>1600</v>
      </c>
      <c r="Q26" s="505">
        <f>N26*100/$P$52</f>
        <v>0.70234161174775178</v>
      </c>
      <c r="R26" s="167">
        <v>168846</v>
      </c>
      <c r="S26" s="166" t="s">
        <v>3654</v>
      </c>
      <c r="T26" s="192">
        <f>T25-28</f>
        <v>1385</v>
      </c>
      <c r="U26" s="166" t="s">
        <v>4515</v>
      </c>
      <c r="V26" s="166">
        <v>172.2</v>
      </c>
      <c r="W26" s="166">
        <f t="shared" si="6"/>
        <v>357.77404273972599</v>
      </c>
      <c r="X26" s="32">
        <f t="shared" si="7"/>
        <v>364.9295235945205</v>
      </c>
      <c r="Y26" s="32">
        <f t="shared" si="8"/>
        <v>372.08500444931502</v>
      </c>
      <c r="Z26" s="120">
        <v>976</v>
      </c>
      <c r="AA26" s="94"/>
      <c r="AI26" s="97">
        <v>7</v>
      </c>
      <c r="AJ26" s="111" t="s">
        <v>1144</v>
      </c>
      <c r="AK26" s="111">
        <v>18500000</v>
      </c>
      <c r="AL26" s="97">
        <v>1</v>
      </c>
      <c r="AM26" s="97">
        <f t="shared" si="10"/>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2"/>
      <c r="L27" s="115"/>
      <c r="M27" s="192" t="s">
        <v>6724</v>
      </c>
      <c r="N27" s="117">
        <f>O27*P27</f>
        <v>754890576</v>
      </c>
      <c r="O27" s="503">
        <v>1700204</v>
      </c>
      <c r="P27" s="504">
        <f>P44</f>
        <v>444</v>
      </c>
      <c r="Q27" s="505">
        <f>N27*100/$P$52</f>
        <v>5.7087381542335898</v>
      </c>
      <c r="R27" s="167">
        <v>1563192</v>
      </c>
      <c r="S27" s="202" t="s">
        <v>4606</v>
      </c>
      <c r="T27" s="192">
        <f>T26-33</f>
        <v>1352</v>
      </c>
      <c r="U27" s="202" t="s">
        <v>4607</v>
      </c>
      <c r="V27" s="202">
        <v>168.8</v>
      </c>
      <c r="W27" s="202">
        <f t="shared" si="6"/>
        <v>346.43679561643836</v>
      </c>
      <c r="X27" s="32">
        <f t="shared" ref="X27:X40" si="12">W27*(1+$X$19/100)</f>
        <v>353.36553152876712</v>
      </c>
      <c r="Y27" s="32">
        <f t="shared" ref="Y27:Y40" si="13">W27*(1+$Y$19/100)</f>
        <v>360.29426744109588</v>
      </c>
      <c r="Z27" s="120">
        <v>9222</v>
      </c>
      <c r="AA27" s="94"/>
      <c r="AI27" s="97">
        <v>8</v>
      </c>
      <c r="AJ27" s="111" t="s">
        <v>1153</v>
      </c>
      <c r="AK27" s="111">
        <v>-18550000</v>
      </c>
      <c r="AL27" s="97">
        <v>1</v>
      </c>
      <c r="AM27" s="97">
        <f t="shared" si="10"/>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2"/>
      <c r="L28" s="115"/>
      <c r="M28" s="192" t="s">
        <v>6935</v>
      </c>
      <c r="N28" s="117">
        <f>O28*P28</f>
        <v>0</v>
      </c>
      <c r="O28" s="503">
        <v>0</v>
      </c>
      <c r="P28" s="504">
        <f>P47</f>
        <v>950</v>
      </c>
      <c r="Q28" s="505"/>
      <c r="R28" s="167">
        <v>1204691</v>
      </c>
      <c r="S28" s="202" t="s">
        <v>4807</v>
      </c>
      <c r="T28" s="192">
        <f>T27-76</f>
        <v>1276</v>
      </c>
      <c r="U28" s="202" t="s">
        <v>4808</v>
      </c>
      <c r="V28" s="202">
        <v>218.5</v>
      </c>
      <c r="W28" s="202">
        <f t="shared" si="6"/>
        <v>435.69977534246578</v>
      </c>
      <c r="X28" s="32">
        <f t="shared" si="12"/>
        <v>444.41377084931509</v>
      </c>
      <c r="Y28" s="32">
        <f t="shared" si="13"/>
        <v>453.12776635616444</v>
      </c>
      <c r="Z28" s="120">
        <v>5488</v>
      </c>
      <c r="AA28" s="94"/>
      <c r="AI28" s="97">
        <v>9</v>
      </c>
      <c r="AJ28" s="111" t="s">
        <v>1160</v>
      </c>
      <c r="AK28" s="111">
        <v>-64961</v>
      </c>
      <c r="AL28" s="97">
        <v>5</v>
      </c>
      <c r="AM28" s="97">
        <f t="shared" si="10"/>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2"/>
      <c r="L29" s="115"/>
      <c r="M29" s="202"/>
      <c r="N29" s="111"/>
      <c r="O29" s="496"/>
      <c r="P29" s="291"/>
      <c r="Q29" s="497"/>
      <c r="R29" s="167">
        <v>15011877</v>
      </c>
      <c r="S29" s="202" t="s">
        <v>4810</v>
      </c>
      <c r="T29" s="192">
        <f>T28-3</f>
        <v>1273</v>
      </c>
      <c r="U29" s="202" t="s">
        <v>4814</v>
      </c>
      <c r="V29" s="202">
        <v>197.1</v>
      </c>
      <c r="W29" s="202">
        <f t="shared" si="6"/>
        <v>392.57352000000003</v>
      </c>
      <c r="X29" s="32">
        <f t="shared" si="12"/>
        <v>400.42499040000001</v>
      </c>
      <c r="Y29" s="32">
        <f t="shared" si="13"/>
        <v>408.27646080000005</v>
      </c>
      <c r="Z29" s="120">
        <v>75812</v>
      </c>
      <c r="AA29" s="94"/>
      <c r="AI29" s="97">
        <v>10</v>
      </c>
      <c r="AJ29" s="111" t="s">
        <v>1176</v>
      </c>
      <c r="AK29" s="111">
        <v>6400000</v>
      </c>
      <c r="AL29" s="97">
        <v>1</v>
      </c>
      <c r="AM29" s="97">
        <f t="shared" si="10"/>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2"/>
      <c r="L30" s="115"/>
      <c r="M30" s="206" t="s">
        <v>6946</v>
      </c>
      <c r="N30" s="207">
        <v>357</v>
      </c>
      <c r="O30" s="506" t="s">
        <v>901</v>
      </c>
      <c r="P30" s="206" t="s">
        <v>3892</v>
      </c>
      <c r="Q30" s="208"/>
      <c r="R30" s="167">
        <v>7046042.5001907032</v>
      </c>
      <c r="S30" s="202" t="s">
        <v>4821</v>
      </c>
      <c r="T30" s="192">
        <f>T29-5</f>
        <v>1268</v>
      </c>
      <c r="U30" s="202" t="s">
        <v>5501</v>
      </c>
      <c r="V30" s="202">
        <v>194.4</v>
      </c>
      <c r="W30" s="202">
        <f t="shared" si="6"/>
        <v>386.45015671232881</v>
      </c>
      <c r="X30" s="32">
        <f t="shared" si="12"/>
        <v>394.17915984657537</v>
      </c>
      <c r="Y30" s="32">
        <f t="shared" si="13"/>
        <v>401.908162980822</v>
      </c>
      <c r="Z30" s="120">
        <v>36073</v>
      </c>
      <c r="AA30" s="94"/>
      <c r="AI30" s="97">
        <v>11</v>
      </c>
      <c r="AJ30" s="111" t="s">
        <v>4018</v>
      </c>
      <c r="AK30" s="111">
        <v>-170000</v>
      </c>
      <c r="AL30" s="97">
        <v>5</v>
      </c>
      <c r="AM30" s="97">
        <f t="shared" si="10"/>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2"/>
      <c r="L31" s="115"/>
      <c r="M31" s="206" t="s">
        <v>4473</v>
      </c>
      <c r="N31" s="207">
        <f t="shared" ref="N31:N35" si="14">O31*P31</f>
        <v>0</v>
      </c>
      <c r="O31" s="506">
        <v>0</v>
      </c>
      <c r="P31" s="206">
        <v>795</v>
      </c>
      <c r="Q31" s="208"/>
      <c r="R31" s="167">
        <v>5368238</v>
      </c>
      <c r="S31" s="202" t="s">
        <v>5507</v>
      </c>
      <c r="T31" s="192">
        <f>T30-465</f>
        <v>803</v>
      </c>
      <c r="U31" s="202" t="s">
        <v>5508</v>
      </c>
      <c r="V31" s="202">
        <v>1843</v>
      </c>
      <c r="W31" s="202">
        <f t="shared" si="6"/>
        <v>3006.3016000000002</v>
      </c>
      <c r="X31" s="32">
        <f t="shared" si="12"/>
        <v>3066.4276320000004</v>
      </c>
      <c r="Y31" s="32">
        <f t="shared" si="13"/>
        <v>3126.5536640000005</v>
      </c>
      <c r="Z31">
        <v>2902</v>
      </c>
      <c r="AB31" s="94"/>
      <c r="AI31" s="97">
        <v>12</v>
      </c>
      <c r="AJ31" s="111" t="s">
        <v>1196</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2" t="s">
        <v>6598</v>
      </c>
      <c r="L32" s="115">
        <f>-'فروردین 98'!D176</f>
        <v>3846463</v>
      </c>
      <c r="M32" s="206" t="s">
        <v>4248</v>
      </c>
      <c r="N32" s="207">
        <f t="shared" si="14"/>
        <v>2475227200</v>
      </c>
      <c r="O32" s="506">
        <f>SUM(Z20:Z74)</f>
        <v>1547017</v>
      </c>
      <c r="P32" s="206">
        <f>P43</f>
        <v>1600</v>
      </c>
      <c r="Q32" s="208">
        <f>N32*100/$P$52</f>
        <v>18.718506239554348</v>
      </c>
      <c r="R32" s="167">
        <v>40195775</v>
      </c>
      <c r="S32" s="202" t="s">
        <v>5509</v>
      </c>
      <c r="T32" s="192">
        <f>T31-3</f>
        <v>800</v>
      </c>
      <c r="U32" s="202" t="s">
        <v>5510</v>
      </c>
      <c r="V32" s="202">
        <v>1751</v>
      </c>
      <c r="W32" s="202">
        <f t="shared" si="6"/>
        <v>2852.2015013698633</v>
      </c>
      <c r="X32" s="32">
        <f t="shared" si="12"/>
        <v>2909.2455313972605</v>
      </c>
      <c r="Y32" s="32">
        <f t="shared" si="13"/>
        <v>2966.2895614246581</v>
      </c>
      <c r="Z32">
        <v>22871</v>
      </c>
      <c r="AI32" s="97">
        <v>13</v>
      </c>
      <c r="AJ32" s="111" t="s">
        <v>1205</v>
      </c>
      <c r="AK32" s="111">
        <v>-52015</v>
      </c>
      <c r="AL32" s="97">
        <v>16</v>
      </c>
      <c r="AM32" s="97">
        <f t="shared" si="10"/>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2" t="s">
        <v>4393</v>
      </c>
      <c r="L33" s="115">
        <f>-X161</f>
        <v>211735708.59600925</v>
      </c>
      <c r="M33" s="206" t="s">
        <v>5224</v>
      </c>
      <c r="N33" s="207">
        <f t="shared" si="14"/>
        <v>992474976</v>
      </c>
      <c r="O33" s="506">
        <f>SUM(AB20:AB74)</f>
        <v>2235304</v>
      </c>
      <c r="P33" s="206">
        <f>P44</f>
        <v>444</v>
      </c>
      <c r="Q33" s="208">
        <f>N33*100/$P$52</f>
        <v>7.5054318370683513</v>
      </c>
      <c r="R33" s="167">
        <v>16176504</v>
      </c>
      <c r="S33" s="202" t="s">
        <v>5511</v>
      </c>
      <c r="T33" s="192">
        <f>T32-1</f>
        <v>799</v>
      </c>
      <c r="U33" s="202" t="s">
        <v>5512</v>
      </c>
      <c r="V33" s="202">
        <v>1730</v>
      </c>
      <c r="W33" s="202">
        <f t="shared" si="6"/>
        <v>2816.6675068493155</v>
      </c>
      <c r="X33" s="32">
        <f t="shared" si="12"/>
        <v>2873.0008569863016</v>
      </c>
      <c r="Y33" s="32">
        <f t="shared" si="13"/>
        <v>2929.3342071232883</v>
      </c>
      <c r="Z33">
        <v>9316</v>
      </c>
      <c r="AA33" t="s">
        <v>25</v>
      </c>
      <c r="AB33" s="94"/>
      <c r="AI33" s="97">
        <v>14</v>
      </c>
      <c r="AJ33" s="111" t="s">
        <v>3671</v>
      </c>
      <c r="AK33" s="111">
        <v>20017400</v>
      </c>
      <c r="AL33" s="97">
        <v>0</v>
      </c>
      <c r="AM33" s="97">
        <f t="shared" si="10"/>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2"/>
      <c r="L34" s="115"/>
      <c r="M34" s="206" t="s">
        <v>6947</v>
      </c>
      <c r="N34" s="207">
        <f t="shared" si="14"/>
        <v>1256092354</v>
      </c>
      <c r="O34" s="506">
        <f>SUM(AA20:AA74)</f>
        <v>3086222</v>
      </c>
      <c r="P34" s="206">
        <f>P45</f>
        <v>407</v>
      </c>
      <c r="Q34" s="208">
        <f>N34*100/$P$52</f>
        <v>9.4989957147390385</v>
      </c>
      <c r="R34" s="167">
        <v>47880291</v>
      </c>
      <c r="S34" s="202" t="s">
        <v>5518</v>
      </c>
      <c r="T34" s="192">
        <f>T33-8</f>
        <v>791</v>
      </c>
      <c r="U34" s="202" t="s">
        <v>5522</v>
      </c>
      <c r="V34" s="202">
        <v>1737.1</v>
      </c>
      <c r="W34" s="202">
        <f t="shared" si="6"/>
        <v>2817.5666816438356</v>
      </c>
      <c r="X34" s="32">
        <f t="shared" si="12"/>
        <v>2873.9180152767126</v>
      </c>
      <c r="Y34" s="32">
        <f t="shared" si="13"/>
        <v>2930.2693489095891</v>
      </c>
      <c r="Z34">
        <v>27461</v>
      </c>
      <c r="AB34" s="94"/>
      <c r="AI34" s="97">
        <v>15</v>
      </c>
      <c r="AJ34" s="111" t="s">
        <v>3671</v>
      </c>
      <c r="AK34" s="111">
        <v>1014466</v>
      </c>
      <c r="AL34" s="97">
        <v>12</v>
      </c>
      <c r="AM34" s="97">
        <f t="shared" si="10"/>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2" t="s">
        <v>883</v>
      </c>
      <c r="L35" s="115">
        <v>4800000</v>
      </c>
      <c r="M35" s="206"/>
      <c r="N35" s="207">
        <f t="shared" si="14"/>
        <v>0</v>
      </c>
      <c r="O35" s="506">
        <v>0</v>
      </c>
      <c r="P35" s="206"/>
      <c r="Q35" s="208">
        <f>N35*100/$P$52</f>
        <v>0</v>
      </c>
      <c r="R35" s="167">
        <v>48859908</v>
      </c>
      <c r="S35" s="202" t="s">
        <v>5521</v>
      </c>
      <c r="T35" s="192">
        <f>T34-1</f>
        <v>790</v>
      </c>
      <c r="U35" s="202" t="s">
        <v>5525</v>
      </c>
      <c r="V35" s="202">
        <v>1730.1</v>
      </c>
      <c r="W35" s="202">
        <f t="shared" si="6"/>
        <v>2804.8855200000003</v>
      </c>
      <c r="X35" s="32">
        <f t="shared" si="12"/>
        <v>2860.9832304000001</v>
      </c>
      <c r="Y35" s="32">
        <f t="shared" si="13"/>
        <v>2917.0809408000005</v>
      </c>
      <c r="Z35">
        <v>28136</v>
      </c>
      <c r="AA35" t="s">
        <v>25</v>
      </c>
      <c r="AB35" s="94" t="s">
        <v>25</v>
      </c>
      <c r="AI35" s="97">
        <v>16</v>
      </c>
      <c r="AJ35" s="111" t="s">
        <v>1107</v>
      </c>
      <c r="AK35" s="111">
        <v>360000</v>
      </c>
      <c r="AL35" s="97">
        <v>2</v>
      </c>
      <c r="AM35" s="97">
        <f t="shared" si="10"/>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2"/>
      <c r="L36" s="115"/>
      <c r="M36" s="202"/>
      <c r="N36" s="111"/>
      <c r="O36" s="496"/>
      <c r="P36" s="495"/>
      <c r="Q36" s="497"/>
      <c r="R36" s="167">
        <v>38191823</v>
      </c>
      <c r="S36" s="202" t="s">
        <v>5523</v>
      </c>
      <c r="T36" s="192">
        <f>T35-1</f>
        <v>789</v>
      </c>
      <c r="U36" s="202" t="s">
        <v>5524</v>
      </c>
      <c r="V36" s="202">
        <v>1646</v>
      </c>
      <c r="W36" s="202">
        <f t="shared" si="6"/>
        <v>2667.2776109589045</v>
      </c>
      <c r="X36" s="32">
        <f t="shared" si="12"/>
        <v>2720.6231631780825</v>
      </c>
      <c r="Y36" s="32">
        <f t="shared" si="13"/>
        <v>2773.9687153972609</v>
      </c>
      <c r="Z36">
        <v>23117</v>
      </c>
      <c r="AB36" s="94"/>
      <c r="AI36" s="97">
        <v>17</v>
      </c>
      <c r="AJ36" s="111" t="s">
        <v>3731</v>
      </c>
      <c r="AK36" s="111">
        <v>-350000</v>
      </c>
      <c r="AL36" s="97">
        <v>0</v>
      </c>
      <c r="AM36" s="97">
        <f t="shared" si="10"/>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2" t="s">
        <v>6931</v>
      </c>
      <c r="L37" s="115">
        <v>-33000000</v>
      </c>
      <c r="M37" s="186" t="s">
        <v>4388</v>
      </c>
      <c r="N37" s="185">
        <v>169</v>
      </c>
      <c r="O37" s="507"/>
      <c r="P37" s="508"/>
      <c r="Q37" s="509"/>
      <c r="R37" s="167">
        <v>70173463</v>
      </c>
      <c r="S37" s="202" t="s">
        <v>5526</v>
      </c>
      <c r="T37" s="192">
        <f>T36-3</f>
        <v>786</v>
      </c>
      <c r="U37" s="202" t="s">
        <v>5530</v>
      </c>
      <c r="V37" s="202">
        <v>1674.7</v>
      </c>
      <c r="W37" s="202">
        <f t="shared" si="6"/>
        <v>2709.9307167123293</v>
      </c>
      <c r="X37" s="32">
        <f t="shared" si="12"/>
        <v>2764.1293310465758</v>
      </c>
      <c r="Y37" s="32">
        <f t="shared" si="13"/>
        <v>2818.3279453808227</v>
      </c>
      <c r="Z37">
        <v>41747</v>
      </c>
      <c r="AA37" t="s">
        <v>25</v>
      </c>
      <c r="AB37" s="94"/>
      <c r="AI37" s="97">
        <v>18</v>
      </c>
      <c r="AJ37" s="111" t="s">
        <v>3731</v>
      </c>
      <c r="AK37" s="111">
        <v>1000</v>
      </c>
      <c r="AL37" s="97">
        <v>1</v>
      </c>
      <c r="AM37" s="97">
        <f t="shared" si="10"/>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2"/>
      <c r="L38" s="202"/>
      <c r="M38" s="186" t="s">
        <v>4370</v>
      </c>
      <c r="N38" s="185">
        <f>O38*P38</f>
        <v>444502400</v>
      </c>
      <c r="O38" s="507">
        <f>SUM(Z80:Z101)</f>
        <v>277814</v>
      </c>
      <c r="P38" s="508">
        <f>P43</f>
        <v>1600</v>
      </c>
      <c r="Q38" s="509"/>
      <c r="R38" s="167">
        <v>23283294</v>
      </c>
      <c r="S38" s="202" t="s">
        <v>5528</v>
      </c>
      <c r="T38" s="192">
        <f>T37-2</f>
        <v>784</v>
      </c>
      <c r="U38" s="202" t="s">
        <v>5529</v>
      </c>
      <c r="V38" s="202">
        <v>1663</v>
      </c>
      <c r="W38" s="202">
        <f t="shared" si="6"/>
        <v>2688.446805479452</v>
      </c>
      <c r="X38" s="32">
        <f t="shared" si="12"/>
        <v>2742.215741589041</v>
      </c>
      <c r="Y38" s="32">
        <f t="shared" si="13"/>
        <v>2795.9846776986301</v>
      </c>
      <c r="Z38">
        <v>13949</v>
      </c>
      <c r="AA38" t="s">
        <v>25</v>
      </c>
      <c r="AB38" s="94"/>
      <c r="AI38" s="97">
        <v>19</v>
      </c>
      <c r="AJ38" s="111" t="s">
        <v>3735</v>
      </c>
      <c r="AK38" s="111">
        <v>33610000</v>
      </c>
      <c r="AL38" s="97">
        <v>4</v>
      </c>
      <c r="AM38" s="97">
        <f t="shared" si="10"/>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35" t="s">
        <v>7022</v>
      </c>
      <c r="L39" s="115">
        <v>25000000</v>
      </c>
      <c r="M39" s="186" t="s">
        <v>5224</v>
      </c>
      <c r="N39" s="185">
        <f>O39*P39</f>
        <v>36761868</v>
      </c>
      <c r="O39" s="507">
        <f>SUM(AB81:AB101)</f>
        <v>82797</v>
      </c>
      <c r="P39" s="508">
        <f>P44</f>
        <v>444</v>
      </c>
      <c r="Q39" s="509"/>
      <c r="R39" s="167">
        <v>1611237.824</v>
      </c>
      <c r="S39" s="202" t="s">
        <v>5531</v>
      </c>
      <c r="T39" s="192">
        <f>T38-1</f>
        <v>783</v>
      </c>
      <c r="U39" s="202" t="s">
        <v>5536</v>
      </c>
      <c r="V39" s="202">
        <v>1580</v>
      </c>
      <c r="W39" s="202">
        <f t="shared" si="6"/>
        <v>2553.0549041095892</v>
      </c>
      <c r="X39" s="32">
        <f t="shared" si="12"/>
        <v>2604.1160021917808</v>
      </c>
      <c r="Y39" s="32">
        <f t="shared" si="13"/>
        <v>2655.1771002739729</v>
      </c>
      <c r="Z39">
        <v>1016</v>
      </c>
      <c r="AB39" s="94" t="s">
        <v>25</v>
      </c>
      <c r="AC39" s="94"/>
      <c r="AD39" s="94"/>
      <c r="AE39" s="94"/>
      <c r="AI39" s="97">
        <v>20</v>
      </c>
      <c r="AJ39" s="111" t="s">
        <v>4019</v>
      </c>
      <c r="AK39" s="111">
        <v>-15600000</v>
      </c>
      <c r="AL39" s="97">
        <v>3</v>
      </c>
      <c r="AM39" s="97">
        <f t="shared" si="10"/>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2"/>
      <c r="L40" s="202"/>
      <c r="M40" s="186" t="s">
        <v>4618</v>
      </c>
      <c r="N40" s="185">
        <f>O40*P40</f>
        <v>16638160</v>
      </c>
      <c r="O40" s="507">
        <f>SUM(AA81:AA101)</f>
        <v>40880</v>
      </c>
      <c r="P40" s="508">
        <f>P45</f>
        <v>407</v>
      </c>
      <c r="Q40" s="509"/>
      <c r="R40" s="167">
        <v>563902380</v>
      </c>
      <c r="S40" s="202" t="s">
        <v>5538</v>
      </c>
      <c r="T40" s="192">
        <f>T39-5</f>
        <v>778</v>
      </c>
      <c r="U40" s="202" t="s">
        <v>5540</v>
      </c>
      <c r="V40" s="202">
        <v>1560.1</v>
      </c>
      <c r="W40" s="202">
        <f t="shared" si="6"/>
        <v>2514.9153939726025</v>
      </c>
      <c r="X40" s="32">
        <f t="shared" si="12"/>
        <v>2565.2137018520548</v>
      </c>
      <c r="Y40" s="32">
        <f t="shared" si="13"/>
        <v>2615.5120097315066</v>
      </c>
      <c r="Z40">
        <v>154970</v>
      </c>
      <c r="AA40" s="113"/>
      <c r="AC40" s="94"/>
      <c r="AD40" s="94"/>
      <c r="AE40" s="94"/>
      <c r="AI40" s="97">
        <v>21</v>
      </c>
      <c r="AJ40" s="111" t="s">
        <v>3749</v>
      </c>
      <c r="AK40" s="111">
        <v>7500000</v>
      </c>
      <c r="AL40" s="97">
        <v>4</v>
      </c>
      <c r="AM40" s="97">
        <f t="shared" si="10"/>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2"/>
      <c r="L41" s="115"/>
      <c r="M41" s="291"/>
      <c r="N41" s="291"/>
      <c r="O41" s="291"/>
      <c r="P41" s="291"/>
      <c r="Q41" s="510"/>
      <c r="R41" s="167"/>
      <c r="S41" s="202" t="s">
        <v>6172</v>
      </c>
      <c r="T41" s="192">
        <f>-196</f>
        <v>-196</v>
      </c>
      <c r="U41" s="202" t="s">
        <v>6826</v>
      </c>
      <c r="V41" s="202">
        <v>1343</v>
      </c>
      <c r="W41" s="202">
        <f t="shared" si="6"/>
        <v>1161.485271232877</v>
      </c>
      <c r="X41" s="32">
        <f>W41*(1+$X$19/100)</f>
        <v>1184.7149766575346</v>
      </c>
      <c r="Y41" s="32">
        <f>W41*(1+$Y$19/100)</f>
        <v>1207.9446820821922</v>
      </c>
      <c r="Z41" s="120"/>
      <c r="AA41" s="120"/>
      <c r="AB41" s="94">
        <v>33018</v>
      </c>
      <c r="AC41" s="94"/>
      <c r="AD41" s="94"/>
      <c r="AE41" s="94"/>
      <c r="AI41" s="97">
        <v>22</v>
      </c>
      <c r="AJ41" s="111" t="s">
        <v>4020</v>
      </c>
      <c r="AK41" s="111">
        <v>-98000</v>
      </c>
      <c r="AL41" s="97">
        <v>1</v>
      </c>
      <c r="AM41" s="97">
        <f t="shared" si="10"/>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2"/>
      <c r="L42" s="115"/>
      <c r="M42" s="194" t="s">
        <v>6903</v>
      </c>
      <c r="N42" s="513">
        <v>326</v>
      </c>
      <c r="O42" s="181"/>
      <c r="P42" s="194" t="s">
        <v>25</v>
      </c>
      <c r="Q42" s="180">
        <f>N42*100/$P$52</f>
        <v>2.4653223890294667E-6</v>
      </c>
      <c r="R42" s="167"/>
      <c r="S42" s="202" t="s">
        <v>6173</v>
      </c>
      <c r="T42" s="192">
        <f>T41-1</f>
        <v>-197</v>
      </c>
      <c r="U42" s="202" t="s">
        <v>6825</v>
      </c>
      <c r="V42" s="202">
        <v>1350.4</v>
      </c>
      <c r="W42" s="202">
        <f t="shared" si="6"/>
        <v>1166.8491923287675</v>
      </c>
      <c r="X42" s="32">
        <f>W42*(1+$X$19/100)</f>
        <v>1190.1861761753428</v>
      </c>
      <c r="Y42" s="32">
        <f>W42*(1+$Y$19/100)</f>
        <v>1213.5231600219181</v>
      </c>
      <c r="Z42" s="120"/>
      <c r="AA42" s="120"/>
      <c r="AB42" s="363">
        <v>74758</v>
      </c>
      <c r="AC42" s="113"/>
      <c r="AD42" s="113"/>
      <c r="AE42" s="113"/>
      <c r="AF42" s="113"/>
      <c r="AG42" s="113"/>
      <c r="AI42" s="97">
        <v>23</v>
      </c>
      <c r="AJ42" s="111" t="s">
        <v>4014</v>
      </c>
      <c r="AK42" s="111">
        <v>-26000000</v>
      </c>
      <c r="AL42" s="97">
        <v>0</v>
      </c>
      <c r="AM42" s="97">
        <f t="shared" si="10"/>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451" t="s">
        <v>6911</v>
      </c>
      <c r="K43" s="202" t="s">
        <v>7007</v>
      </c>
      <c r="L43" s="115">
        <v>-3600000</v>
      </c>
      <c r="M43" s="194" t="s">
        <v>4133</v>
      </c>
      <c r="N43" s="181">
        <f>O43*P43</f>
        <v>2553600000</v>
      </c>
      <c r="O43" s="514">
        <f>SUM(Z111:Z143)</f>
        <v>1596000</v>
      </c>
      <c r="P43" s="194">
        <v>1600</v>
      </c>
      <c r="Q43" s="180">
        <f>N43*100/$P$52</f>
        <v>19.311187891489713</v>
      </c>
      <c r="R43" s="167"/>
      <c r="S43" s="202" t="s">
        <v>6841</v>
      </c>
      <c r="T43" s="192">
        <f>T111-1353</f>
        <v>147</v>
      </c>
      <c r="U43" s="202" t="s">
        <v>6842</v>
      </c>
      <c r="V43" s="202">
        <v>536</v>
      </c>
      <c r="W43" s="202">
        <f t="shared" si="6"/>
        <v>604.59037808219182</v>
      </c>
      <c r="X43" s="32">
        <f t="shared" ref="X43:X60" si="15">W43*(1+$X$19/100)</f>
        <v>616.68218564383562</v>
      </c>
      <c r="Y43" s="32">
        <f t="shared" ref="Y43:Y60" si="16">W43*(1+$Y$19/100)</f>
        <v>628.77399320547954</v>
      </c>
      <c r="Z43" s="120"/>
      <c r="AA43" s="120"/>
      <c r="AB43" s="421">
        <v>432257</v>
      </c>
      <c r="AC43" s="113"/>
      <c r="AD43" s="113"/>
      <c r="AE43" s="113"/>
      <c r="AF43" s="113"/>
      <c r="AG43" s="113"/>
      <c r="AI43" s="97">
        <v>24</v>
      </c>
      <c r="AJ43" s="111" t="s">
        <v>4014</v>
      </c>
      <c r="AK43" s="111">
        <v>25000000</v>
      </c>
      <c r="AL43" s="97">
        <v>1</v>
      </c>
      <c r="AM43" s="97">
        <f t="shared" si="10"/>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451" t="s">
        <v>6915</v>
      </c>
      <c r="K44" s="202" t="s">
        <v>6995</v>
      </c>
      <c r="L44" s="115">
        <f>-862*P49</f>
        <v>-31721600</v>
      </c>
      <c r="M44" s="194" t="s">
        <v>5224</v>
      </c>
      <c r="N44" s="181">
        <f t="shared" ref="N44:N47" si="17">O44*P44</f>
        <v>3643035096</v>
      </c>
      <c r="O44" s="514">
        <f>SUM(AB111:AB143)</f>
        <v>8205034</v>
      </c>
      <c r="P44" s="194">
        <v>444</v>
      </c>
      <c r="Q44" s="180">
        <f>N44*100/$P$52</f>
        <v>27.549864988309547</v>
      </c>
      <c r="R44" s="167"/>
      <c r="S44" s="202" t="s">
        <v>6884</v>
      </c>
      <c r="T44" s="192">
        <f>T111-1397</f>
        <v>103</v>
      </c>
      <c r="U44" s="202" t="s">
        <v>6885</v>
      </c>
      <c r="V44" s="202">
        <v>431</v>
      </c>
      <c r="W44" s="202">
        <f t="shared" si="6"/>
        <v>471.60610410958913</v>
      </c>
      <c r="X44" s="32">
        <f t="shared" si="15"/>
        <v>481.03822619178089</v>
      </c>
      <c r="Y44" s="32">
        <f t="shared" si="16"/>
        <v>490.47034827397272</v>
      </c>
      <c r="Z44" s="120"/>
      <c r="AA44" s="120"/>
      <c r="AB44" s="421">
        <v>160268</v>
      </c>
      <c r="AC44" s="113"/>
      <c r="AD44" s="113"/>
      <c r="AE44" s="113" t="s">
        <v>25</v>
      </c>
      <c r="AF44" s="113"/>
      <c r="AG44" s="113"/>
      <c r="AI44" s="97">
        <v>25</v>
      </c>
      <c r="AJ44" s="111" t="s">
        <v>4015</v>
      </c>
      <c r="AK44" s="111">
        <v>110000</v>
      </c>
      <c r="AL44" s="97">
        <v>1</v>
      </c>
      <c r="AM44" s="97">
        <f t="shared" si="10"/>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451" t="s">
        <v>6933</v>
      </c>
      <c r="K45" s="450" t="s">
        <v>6916</v>
      </c>
      <c r="L45" s="115">
        <f>-50*P48</f>
        <v>-79000000</v>
      </c>
      <c r="M45" s="194" t="s">
        <v>4618</v>
      </c>
      <c r="N45" s="181">
        <f t="shared" si="17"/>
        <v>1064903697</v>
      </c>
      <c r="O45" s="514">
        <v>2616471</v>
      </c>
      <c r="P45" s="194">
        <v>407</v>
      </c>
      <c r="Q45" s="180">
        <f>N45*100/$P$52</f>
        <v>8.0531623508415677</v>
      </c>
      <c r="R45" s="167"/>
      <c r="S45" s="202" t="s">
        <v>6886</v>
      </c>
      <c r="T45" s="192">
        <f>T111-1398</f>
        <v>102</v>
      </c>
      <c r="U45" s="202" t="s">
        <v>6887</v>
      </c>
      <c r="V45" s="202">
        <v>428.2</v>
      </c>
      <c r="W45" s="202">
        <f t="shared" si="6"/>
        <v>468.21382356164384</v>
      </c>
      <c r="X45" s="32">
        <f t="shared" si="15"/>
        <v>477.5781000328767</v>
      </c>
      <c r="Y45" s="32">
        <f t="shared" si="16"/>
        <v>486.94237650410963</v>
      </c>
      <c r="Z45" s="120"/>
      <c r="AA45" s="120"/>
      <c r="AB45" s="443">
        <v>1000</v>
      </c>
      <c r="AC45" s="113"/>
      <c r="AD45" s="113" t="s">
        <v>25</v>
      </c>
      <c r="AE45" s="113" t="s">
        <v>25</v>
      </c>
      <c r="AF45" s="113"/>
      <c r="AG45" s="113" t="s">
        <v>25</v>
      </c>
      <c r="AI45" s="97">
        <v>26</v>
      </c>
      <c r="AJ45" s="111" t="s">
        <v>3764</v>
      </c>
      <c r="AK45" s="111">
        <v>380000</v>
      </c>
      <c r="AL45" s="97">
        <v>7</v>
      </c>
      <c r="AM45" s="97">
        <f t="shared" si="10"/>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35" t="s">
        <v>6905</v>
      </c>
      <c r="L46" s="115">
        <f>-10*P48</f>
        <v>-15800000</v>
      </c>
      <c r="M46" s="194" t="s">
        <v>5238</v>
      </c>
      <c r="N46" s="181">
        <f t="shared" si="17"/>
        <v>113223438</v>
      </c>
      <c r="O46" s="514">
        <v>568962</v>
      </c>
      <c r="P46" s="194">
        <v>199</v>
      </c>
      <c r="Q46" s="180">
        <f>N46*100/$P$52</f>
        <v>0.85623397749782115</v>
      </c>
      <c r="R46" s="167"/>
      <c r="S46" s="202" t="s">
        <v>6888</v>
      </c>
      <c r="T46" s="192">
        <f>T111-1400</f>
        <v>100</v>
      </c>
      <c r="U46" s="202" t="s">
        <v>6889</v>
      </c>
      <c r="V46" s="202">
        <v>430.1</v>
      </c>
      <c r="W46" s="202">
        <f t="shared" si="6"/>
        <v>469.63149260273974</v>
      </c>
      <c r="X46" s="32">
        <f t="shared" si="15"/>
        <v>479.02412245479456</v>
      </c>
      <c r="Y46" s="32">
        <f t="shared" si="16"/>
        <v>488.41675230684933</v>
      </c>
      <c r="Z46" s="120"/>
      <c r="AA46" s="120"/>
      <c r="AB46" s="444">
        <v>70974</v>
      </c>
      <c r="AC46" s="113"/>
      <c r="AD46" s="113"/>
      <c r="AE46" s="113"/>
      <c r="AF46" s="113"/>
      <c r="AG46" s="113"/>
      <c r="AI46" s="97">
        <v>27</v>
      </c>
      <c r="AJ46" s="111" t="s">
        <v>3850</v>
      </c>
      <c r="AK46" s="111">
        <v>450000</v>
      </c>
      <c r="AL46" s="97">
        <v>6</v>
      </c>
      <c r="AM46" s="97">
        <f t="shared" si="10"/>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2" t="s">
        <v>6899</v>
      </c>
      <c r="L47" s="115">
        <f>-200*P49</f>
        <v>-7360000</v>
      </c>
      <c r="M47" s="194" t="s">
        <v>6934</v>
      </c>
      <c r="N47" s="181">
        <f t="shared" si="17"/>
        <v>0</v>
      </c>
      <c r="O47" s="514">
        <v>0</v>
      </c>
      <c r="P47" s="194">
        <v>950</v>
      </c>
      <c r="Q47" s="180"/>
      <c r="R47" s="167"/>
      <c r="S47" s="202" t="s">
        <v>6893</v>
      </c>
      <c r="T47" s="192">
        <f>T111-1401</f>
        <v>99</v>
      </c>
      <c r="U47" s="202" t="s">
        <v>6894</v>
      </c>
      <c r="V47" s="202">
        <v>425</v>
      </c>
      <c r="W47" s="202">
        <f t="shared" si="6"/>
        <v>463.73671232876717</v>
      </c>
      <c r="X47" s="32">
        <f t="shared" si="15"/>
        <v>473.01144657534252</v>
      </c>
      <c r="Y47" s="32">
        <f t="shared" si="16"/>
        <v>482.28618082191787</v>
      </c>
      <c r="Z47" s="120"/>
      <c r="AA47" s="120"/>
      <c r="AB47" s="444">
        <v>237106</v>
      </c>
      <c r="AC47" s="113"/>
      <c r="AD47" s="113"/>
      <c r="AE47" s="113" t="s">
        <v>25</v>
      </c>
      <c r="AF47" s="113"/>
      <c r="AG47" s="113"/>
      <c r="AI47" s="97">
        <v>28</v>
      </c>
      <c r="AJ47" s="111" t="s">
        <v>3874</v>
      </c>
      <c r="AK47" s="111">
        <v>2800000</v>
      </c>
      <c r="AL47" s="97">
        <v>1</v>
      </c>
      <c r="AM47" s="97">
        <f t="shared" si="10"/>
        <v>1358</v>
      </c>
      <c r="AN47" s="111">
        <f t="shared" si="9"/>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586</v>
      </c>
      <c r="J48" s="112"/>
      <c r="K48" s="202" t="s">
        <v>7009</v>
      </c>
      <c r="L48" s="115">
        <v>-4200000</v>
      </c>
      <c r="M48" s="515" t="s">
        <v>1049</v>
      </c>
      <c r="N48" s="181">
        <f>O48*P48</f>
        <v>0</v>
      </c>
      <c r="O48" s="514">
        <v>0</v>
      </c>
      <c r="P48" s="181">
        <v>1580000</v>
      </c>
      <c r="Q48" s="180"/>
      <c r="R48" s="167"/>
      <c r="S48" s="202" t="s">
        <v>6895</v>
      </c>
      <c r="T48" s="192">
        <f>T111-1402</f>
        <v>98</v>
      </c>
      <c r="U48" s="202" t="s">
        <v>6896</v>
      </c>
      <c r="V48" s="202">
        <v>418.8</v>
      </c>
      <c r="W48" s="202">
        <f t="shared" si="6"/>
        <v>456.65034082191789</v>
      </c>
      <c r="X48" s="32">
        <f t="shared" si="15"/>
        <v>465.78334763835625</v>
      </c>
      <c r="Y48" s="32">
        <f t="shared" si="16"/>
        <v>474.9163544547946</v>
      </c>
      <c r="Z48" s="120"/>
      <c r="AA48" s="120"/>
      <c r="AB48" s="443">
        <v>114172</v>
      </c>
      <c r="AC48" s="113" t="s">
        <v>25</v>
      </c>
      <c r="AD48" s="113"/>
      <c r="AE48" s="113"/>
      <c r="AF48" s="113"/>
      <c r="AG48" s="113"/>
      <c r="AI48" s="97">
        <v>29</v>
      </c>
      <c r="AJ48" s="111" t="s">
        <v>3875</v>
      </c>
      <c r="AK48" s="111">
        <v>-1500000</v>
      </c>
      <c r="AL48" s="97">
        <v>0</v>
      </c>
      <c r="AM48" s="97">
        <f t="shared" si="10"/>
        <v>1357</v>
      </c>
      <c r="AN48" s="111">
        <f t="shared" si="9"/>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97"/>
      <c r="L49" s="97"/>
      <c r="M49" s="515" t="s">
        <v>5012</v>
      </c>
      <c r="N49" s="181">
        <f>O49*P49</f>
        <v>0</v>
      </c>
      <c r="O49" s="514">
        <v>0</v>
      </c>
      <c r="P49" s="194">
        <v>36800</v>
      </c>
      <c r="Q49" s="180"/>
      <c r="R49" s="167"/>
      <c r="S49" s="202" t="s">
        <v>6900</v>
      </c>
      <c r="T49" s="192">
        <f>T111-1408</f>
        <v>92</v>
      </c>
      <c r="U49" s="202" t="s">
        <v>6901</v>
      </c>
      <c r="V49" s="202">
        <v>273.3</v>
      </c>
      <c r="W49" s="202">
        <f t="shared" si="6"/>
        <v>296.74240109589044</v>
      </c>
      <c r="X49" s="32">
        <f t="shared" si="15"/>
        <v>302.67724911780823</v>
      </c>
      <c r="Y49" s="32">
        <f t="shared" si="16"/>
        <v>308.61209713972607</v>
      </c>
      <c r="Z49" s="120"/>
      <c r="AA49" s="120">
        <v>659428</v>
      </c>
      <c r="AB49" s="449"/>
      <c r="AD49" t="s">
        <v>25</v>
      </c>
      <c r="AE49" t="s">
        <v>25</v>
      </c>
      <c r="AG49" s="113"/>
      <c r="AI49" s="97">
        <v>30</v>
      </c>
      <c r="AJ49" s="111" t="s">
        <v>3875</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02"/>
      <c r="L50" s="115"/>
      <c r="M50" s="194" t="s">
        <v>1115</v>
      </c>
      <c r="N50" s="181">
        <v>14908</v>
      </c>
      <c r="O50" s="194">
        <v>1</v>
      </c>
      <c r="P50" s="194" t="s">
        <v>25</v>
      </c>
      <c r="Q50" s="180"/>
      <c r="R50" s="167"/>
      <c r="S50" s="202" t="s">
        <v>6921</v>
      </c>
      <c r="T50" s="192">
        <f>T111-1425</f>
        <v>75</v>
      </c>
      <c r="U50" s="202" t="s">
        <v>6922</v>
      </c>
      <c r="V50" s="202">
        <v>425</v>
      </c>
      <c r="W50" s="202">
        <f t="shared" si="6"/>
        <v>455.91205479452066</v>
      </c>
      <c r="X50" s="32">
        <f t="shared" si="15"/>
        <v>465.03029589041108</v>
      </c>
      <c r="Y50" s="32">
        <f t="shared" si="16"/>
        <v>474.14853698630151</v>
      </c>
      <c r="Z50" s="120"/>
      <c r="AA50" s="120"/>
      <c r="AB50" s="452">
        <v>10182</v>
      </c>
      <c r="AI50" s="97">
        <v>31</v>
      </c>
      <c r="AJ50" s="111" t="s">
        <v>3899</v>
      </c>
      <c r="AK50" s="111">
        <v>-8299612</v>
      </c>
      <c r="AL50" s="97">
        <v>2</v>
      </c>
      <c r="AM50" s="97">
        <f t="shared" si="10"/>
        <v>1354</v>
      </c>
      <c r="AN50" s="111">
        <f t="shared" si="9"/>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2"/>
      <c r="L51" s="202"/>
      <c r="M51" s="194" t="s">
        <v>1116</v>
      </c>
      <c r="N51" s="181">
        <v>5282</v>
      </c>
      <c r="O51" s="194"/>
      <c r="P51" s="194" t="s">
        <v>25</v>
      </c>
      <c r="Q51" s="180"/>
      <c r="R51" s="167"/>
      <c r="S51" s="202" t="s">
        <v>6925</v>
      </c>
      <c r="T51" s="192">
        <f>T111-1430</f>
        <v>70</v>
      </c>
      <c r="U51" s="202" t="s">
        <v>6926</v>
      </c>
      <c r="V51" s="202">
        <v>418</v>
      </c>
      <c r="W51" s="202">
        <f t="shared" si="6"/>
        <v>446.79962739726034</v>
      </c>
      <c r="X51" s="32">
        <f t="shared" si="15"/>
        <v>455.73561994520554</v>
      </c>
      <c r="Y51" s="32">
        <f t="shared" si="16"/>
        <v>464.67161249315075</v>
      </c>
      <c r="Z51" s="120"/>
      <c r="AA51" s="120"/>
      <c r="AB51" s="453">
        <v>1324</v>
      </c>
      <c r="AI51" s="97">
        <v>32</v>
      </c>
      <c r="AJ51" s="111" t="s">
        <v>3894</v>
      </c>
      <c r="AK51" s="111">
        <v>5000000</v>
      </c>
      <c r="AL51" s="97">
        <v>14</v>
      </c>
      <c r="AM51" s="97">
        <f t="shared" si="10"/>
        <v>1352</v>
      </c>
      <c r="AN51" s="111">
        <f t="shared" si="9"/>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K52" s="202"/>
      <c r="L52" s="115"/>
      <c r="M52" s="511"/>
      <c r="N52" s="512"/>
      <c r="P52" s="315">
        <f>(N45+N46+N44+N43+N42+N35+N34+N33+N32+N31+N30+N27+N26+N25+N23+N22+N21)</f>
        <v>13223422683</v>
      </c>
      <c r="Q52" s="189"/>
      <c r="R52" s="167"/>
      <c r="S52" s="202" t="s">
        <v>6932</v>
      </c>
      <c r="T52" s="192">
        <f>T111-1436</f>
        <v>64</v>
      </c>
      <c r="U52" s="202" t="s">
        <v>6959</v>
      </c>
      <c r="V52" s="202">
        <v>429</v>
      </c>
      <c r="W52" s="202">
        <f t="shared" ref="W52:W75" si="18">V52*(1+$S$107+$R$15*T52/36500)</f>
        <v>456.58293698630138</v>
      </c>
      <c r="X52" s="32">
        <f t="shared" si="15"/>
        <v>465.71459572602743</v>
      </c>
      <c r="Y52" s="32">
        <f t="shared" si="16"/>
        <v>474.84625446575347</v>
      </c>
      <c r="Z52" s="120"/>
      <c r="AA52" s="120"/>
      <c r="AB52" s="455">
        <v>214960</v>
      </c>
      <c r="AI52" s="97">
        <v>33</v>
      </c>
      <c r="AJ52" s="111" t="s">
        <v>954</v>
      </c>
      <c r="AK52" s="111">
        <v>-90000</v>
      </c>
      <c r="AL52" s="97">
        <v>1</v>
      </c>
      <c r="AM52" s="97">
        <f t="shared" si="10"/>
        <v>1338</v>
      </c>
      <c r="AN52" s="111">
        <f t="shared" si="9"/>
        <v>-120420000</v>
      </c>
      <c r="AO52" s="97"/>
      <c r="AR52" s="94"/>
      <c r="AS52" s="94"/>
      <c r="AT52" s="94"/>
    </row>
    <row r="53" spans="1:48" ht="30">
      <c r="A53" s="61">
        <v>1400</v>
      </c>
      <c r="B53" s="11">
        <v>51</v>
      </c>
      <c r="C53" s="44">
        <f t="shared" si="4"/>
        <v>5327274.4119174667</v>
      </c>
      <c r="D53" s="3">
        <f t="shared" si="5"/>
        <v>4327498.2551603541</v>
      </c>
      <c r="E53" s="3">
        <f t="shared" si="11"/>
        <v>531175300.80017978</v>
      </c>
      <c r="F53" s="3"/>
      <c r="G53" s="11"/>
      <c r="H53" s="97"/>
      <c r="I53" s="189"/>
      <c r="K53" s="71" t="s">
        <v>5446</v>
      </c>
      <c r="L53" s="115"/>
      <c r="M53" s="166" t="s">
        <v>4376</v>
      </c>
      <c r="N53" s="111">
        <f>-X154</f>
        <v>-128096195.1628852</v>
      </c>
      <c r="O53" s="40"/>
      <c r="P53" s="122" t="s">
        <v>6827</v>
      </c>
      <c r="Q53" s="435" t="s">
        <v>6828</v>
      </c>
      <c r="R53" s="167"/>
      <c r="S53" s="202" t="s">
        <v>6858</v>
      </c>
      <c r="T53" s="192">
        <f>T111-1451</f>
        <v>49</v>
      </c>
      <c r="U53" s="202" t="s">
        <v>6952</v>
      </c>
      <c r="V53" s="202">
        <v>1384</v>
      </c>
      <c r="W53" s="202">
        <f t="shared" si="18"/>
        <v>1457.0600328767123</v>
      </c>
      <c r="X53" s="32">
        <f t="shared" si="15"/>
        <v>1486.2012335342465</v>
      </c>
      <c r="Y53" s="32">
        <f t="shared" si="16"/>
        <v>1515.3424341917807</v>
      </c>
      <c r="Z53" s="120">
        <v>704711</v>
      </c>
      <c r="AA53" s="120"/>
      <c r="AB53" s="459"/>
      <c r="AI53" s="97">
        <v>34</v>
      </c>
      <c r="AJ53" s="111" t="s">
        <v>4016</v>
      </c>
      <c r="AK53" s="111">
        <v>5600000</v>
      </c>
      <c r="AL53" s="97">
        <v>4</v>
      </c>
      <c r="AM53" s="97">
        <f t="shared" si="10"/>
        <v>1337</v>
      </c>
      <c r="AN53" s="111">
        <f t="shared" si="9"/>
        <v>7487200000</v>
      </c>
      <c r="AO53" s="97"/>
    </row>
    <row r="54" spans="1:48" ht="45">
      <c r="A54" s="61">
        <v>1400</v>
      </c>
      <c r="B54" s="11">
        <v>52</v>
      </c>
      <c r="C54" s="47">
        <f t="shared" si="4"/>
        <v>5380547.1560366414</v>
      </c>
      <c r="D54" s="3">
        <f t="shared" si="5"/>
        <v>4370773.2377119577</v>
      </c>
      <c r="E54" s="3">
        <f t="shared" si="11"/>
        <v>542808580.73450804</v>
      </c>
      <c r="F54" s="3"/>
      <c r="G54" s="11"/>
      <c r="H54" s="97"/>
      <c r="I54" s="189"/>
      <c r="K54" s="235" t="s">
        <v>5465</v>
      </c>
      <c r="L54" s="115">
        <v>-1605910</v>
      </c>
      <c r="M54" s="166"/>
      <c r="N54" s="111"/>
      <c r="O54" s="40"/>
      <c r="P54" s="315">
        <f>P52/P43</f>
        <v>8264639.1768749999</v>
      </c>
      <c r="Q54" s="315">
        <f>P52/P44</f>
        <v>29782483.520270269</v>
      </c>
      <c r="R54" s="167"/>
      <c r="S54" s="202" t="s">
        <v>6962</v>
      </c>
      <c r="T54" s="192">
        <f>T111-1472</f>
        <v>28</v>
      </c>
      <c r="U54" s="202" t="s">
        <v>6963</v>
      </c>
      <c r="V54" s="202">
        <v>400</v>
      </c>
      <c r="W54" s="202">
        <f t="shared" si="18"/>
        <v>414.67178082191782</v>
      </c>
      <c r="X54" s="32">
        <f t="shared" si="15"/>
        <v>422.96521643835621</v>
      </c>
      <c r="Y54" s="32">
        <f t="shared" si="16"/>
        <v>431.25865205479454</v>
      </c>
      <c r="Z54" s="120"/>
      <c r="AA54" s="120"/>
      <c r="AB54" s="473">
        <v>509459</v>
      </c>
      <c r="AI54" s="97">
        <v>35</v>
      </c>
      <c r="AJ54" s="111" t="s">
        <v>3944</v>
      </c>
      <c r="AK54" s="111">
        <v>750000</v>
      </c>
      <c r="AL54" s="97">
        <v>2</v>
      </c>
      <c r="AM54" s="97">
        <f t="shared" si="10"/>
        <v>1333</v>
      </c>
      <c r="AN54" s="111">
        <f t="shared" si="9"/>
        <v>999750000</v>
      </c>
      <c r="AO54" s="97"/>
    </row>
    <row r="55" spans="1:48">
      <c r="A55" s="61">
        <v>1400</v>
      </c>
      <c r="B55" s="11">
        <v>53</v>
      </c>
      <c r="C55" s="47">
        <f t="shared" si="4"/>
        <v>5434352.6275970079</v>
      </c>
      <c r="D55" s="3">
        <f t="shared" si="5"/>
        <v>4414480.970089077</v>
      </c>
      <c r="E55" s="3">
        <f t="shared" si="11"/>
        <v>554684624.00670612</v>
      </c>
      <c r="F55" s="3"/>
      <c r="G55" s="11"/>
      <c r="H55" s="97"/>
      <c r="I55" s="189"/>
      <c r="K55" s="202"/>
      <c r="L55" s="115"/>
      <c r="M55" s="166"/>
      <c r="N55" s="111"/>
      <c r="O55" s="40"/>
      <c r="P55" s="315">
        <f>O22+O26+O32+O43</f>
        <v>3371071</v>
      </c>
      <c r="Q55" s="315">
        <f>O23+O27+O33+O44</f>
        <v>12151999</v>
      </c>
      <c r="R55" s="167"/>
      <c r="S55" s="202" t="s">
        <v>6962</v>
      </c>
      <c r="T55" s="192">
        <f>T111-1472</f>
        <v>28</v>
      </c>
      <c r="U55" s="202" t="s">
        <v>6964</v>
      </c>
      <c r="V55" s="202">
        <v>380</v>
      </c>
      <c r="W55" s="202">
        <f t="shared" si="18"/>
        <v>393.93819178082197</v>
      </c>
      <c r="X55" s="32">
        <f t="shared" si="15"/>
        <v>401.81695561643841</v>
      </c>
      <c r="Y55" s="32">
        <f t="shared" si="16"/>
        <v>409.69571945205485</v>
      </c>
      <c r="Z55" s="120"/>
      <c r="AA55" s="120">
        <v>180797</v>
      </c>
      <c r="AB55" s="472"/>
      <c r="AI55" s="169">
        <v>36</v>
      </c>
      <c r="AJ55" s="168" t="s">
        <v>3954</v>
      </c>
      <c r="AK55" s="168">
        <v>-4242000</v>
      </c>
      <c r="AL55" s="169">
        <v>2</v>
      </c>
      <c r="AM55" s="169">
        <f t="shared" si="10"/>
        <v>1331</v>
      </c>
      <c r="AN55" s="168">
        <f t="shared" si="9"/>
        <v>-5646102000</v>
      </c>
      <c r="AO55" s="169" t="s">
        <v>4025</v>
      </c>
    </row>
    <row r="56" spans="1:48">
      <c r="A56" s="61">
        <v>1400</v>
      </c>
      <c r="B56" s="11">
        <v>54</v>
      </c>
      <c r="C56" s="47">
        <f t="shared" si="4"/>
        <v>5488696.1538729779</v>
      </c>
      <c r="D56" s="3">
        <f t="shared" si="5"/>
        <v>4458625.7797899675</v>
      </c>
      <c r="E56" s="3">
        <f t="shared" si="11"/>
        <v>566808386.86092329</v>
      </c>
      <c r="F56" s="3"/>
      <c r="G56" s="11"/>
      <c r="H56" s="97"/>
      <c r="I56" s="189"/>
      <c r="J56" s="476"/>
      <c r="K56" s="202"/>
      <c r="L56" s="115"/>
      <c r="M56" s="166"/>
      <c r="N56" s="111">
        <f>SUM(N16:N55)</f>
        <v>13597626022.837114</v>
      </c>
      <c r="O56" s="40"/>
      <c r="P56" s="454">
        <f>P55/P54</f>
        <v>0.40789088644456212</v>
      </c>
      <c r="Q56" s="454">
        <f>Q55/Q54</f>
        <v>0.40802503900419262</v>
      </c>
      <c r="R56" s="167"/>
      <c r="S56" s="202" t="s">
        <v>6966</v>
      </c>
      <c r="T56" s="192">
        <f>T111-1473</f>
        <v>27</v>
      </c>
      <c r="U56" s="202" t="s">
        <v>6967</v>
      </c>
      <c r="V56" s="202">
        <v>377.6</v>
      </c>
      <c r="W56" s="202">
        <f t="shared" si="18"/>
        <v>391.16049534246582</v>
      </c>
      <c r="X56" s="32">
        <f t="shared" si="15"/>
        <v>398.98370524931516</v>
      </c>
      <c r="Y56" s="32">
        <f t="shared" si="16"/>
        <v>406.80691515616445</v>
      </c>
      <c r="Z56" s="120"/>
      <c r="AA56" s="120">
        <v>18855</v>
      </c>
      <c r="AB56" s="474"/>
      <c r="AI56" s="97">
        <v>37</v>
      </c>
      <c r="AJ56" s="111" t="s">
        <v>3954</v>
      </c>
      <c r="AK56" s="111">
        <v>4100000</v>
      </c>
      <c r="AL56" s="97">
        <v>0</v>
      </c>
      <c r="AM56" s="97">
        <f t="shared" si="10"/>
        <v>1329</v>
      </c>
      <c r="AN56" s="111">
        <f t="shared" si="9"/>
        <v>5448900000</v>
      </c>
      <c r="AO56" s="97"/>
    </row>
    <row r="57" spans="1:48">
      <c r="A57" s="61">
        <v>1400</v>
      </c>
      <c r="B57" s="11">
        <v>55</v>
      </c>
      <c r="C57" s="48">
        <f t="shared" si="4"/>
        <v>5543583.1154117081</v>
      </c>
      <c r="D57" s="3">
        <f t="shared" si="5"/>
        <v>4503212.0375878671</v>
      </c>
      <c r="E57" s="3">
        <f t="shared" si="11"/>
        <v>579184925.67596567</v>
      </c>
      <c r="F57" s="3"/>
      <c r="G57" s="11"/>
      <c r="H57" s="97"/>
      <c r="I57" s="189"/>
      <c r="K57" s="202" t="s">
        <v>573</v>
      </c>
      <c r="L57" s="111">
        <f>SUM(L16:L41)</f>
        <v>218088543.59600925</v>
      </c>
      <c r="M57" s="166"/>
      <c r="N57" s="111">
        <f>N16+N17</f>
        <v>141053</v>
      </c>
      <c r="O57" s="40"/>
      <c r="P57" s="454" t="s">
        <v>25</v>
      </c>
      <c r="Q57" s="454"/>
      <c r="R57" s="167"/>
      <c r="S57" s="202" t="s">
        <v>6965</v>
      </c>
      <c r="T57" s="192">
        <f>T111-1473</f>
        <v>27</v>
      </c>
      <c r="U57" s="202" t="s">
        <v>6968</v>
      </c>
      <c r="V57" s="202">
        <v>400.9</v>
      </c>
      <c r="W57" s="202">
        <f t="shared" si="18"/>
        <v>415.29725260273977</v>
      </c>
      <c r="X57" s="32">
        <f t="shared" si="15"/>
        <v>423.6031976547946</v>
      </c>
      <c r="Y57" s="32">
        <f t="shared" si="16"/>
        <v>431.90914270684937</v>
      </c>
      <c r="Z57" s="120"/>
      <c r="AA57" s="120"/>
      <c r="AB57" s="474">
        <v>161906</v>
      </c>
      <c r="AI57" s="97">
        <v>38</v>
      </c>
      <c r="AJ57" s="111" t="s">
        <v>3960</v>
      </c>
      <c r="AK57" s="111">
        <v>4100000</v>
      </c>
      <c r="AL57" s="97">
        <v>1</v>
      </c>
      <c r="AM57" s="97">
        <f t="shared" si="10"/>
        <v>1329</v>
      </c>
      <c r="AN57" s="111">
        <f t="shared" si="9"/>
        <v>5448900000</v>
      </c>
      <c r="AO57" s="97"/>
    </row>
    <row r="58" spans="1:48" ht="18.75">
      <c r="A58" s="61">
        <v>1400</v>
      </c>
      <c r="B58" s="11">
        <v>56</v>
      </c>
      <c r="C58" s="48">
        <f t="shared" si="4"/>
        <v>5599018.9465658255</v>
      </c>
      <c r="D58" s="3">
        <f t="shared" si="5"/>
        <v>4548244.1579637462</v>
      </c>
      <c r="E58" s="3">
        <f t="shared" si="11"/>
        <v>591819398.97808707</v>
      </c>
      <c r="F58" s="3"/>
      <c r="G58" s="11"/>
      <c r="H58" s="97"/>
      <c r="I58" s="314"/>
      <c r="K58" s="202" t="s">
        <v>574</v>
      </c>
      <c r="L58" s="111">
        <f>L16+L17+L33</f>
        <v>216442080.59600925</v>
      </c>
      <c r="M58" s="111"/>
      <c r="N58" s="166"/>
      <c r="O58" s="40"/>
      <c r="P58" s="315"/>
      <c r="Q58" s="315"/>
      <c r="R58" s="167"/>
      <c r="S58" s="202" t="s">
        <v>6969</v>
      </c>
      <c r="T58" s="192">
        <f>T111-1478</f>
        <v>22</v>
      </c>
      <c r="U58" s="202" t="s">
        <v>6970</v>
      </c>
      <c r="V58" s="202">
        <v>369.1</v>
      </c>
      <c r="W58" s="202">
        <f t="shared" si="18"/>
        <v>380.93951452054802</v>
      </c>
      <c r="X58" s="32">
        <f t="shared" si="15"/>
        <v>388.55830481095899</v>
      </c>
      <c r="Y58" s="32">
        <f t="shared" si="16"/>
        <v>396.17709510136996</v>
      </c>
      <c r="Z58" s="120"/>
      <c r="AA58" s="120">
        <v>739584</v>
      </c>
      <c r="AB58" s="475"/>
      <c r="AI58" s="97">
        <v>39</v>
      </c>
      <c r="AJ58" s="111" t="s">
        <v>3969</v>
      </c>
      <c r="AK58" s="111">
        <v>790000</v>
      </c>
      <c r="AL58" s="97">
        <v>15</v>
      </c>
      <c r="AM58" s="97">
        <f t="shared" si="10"/>
        <v>1328</v>
      </c>
      <c r="AN58" s="111">
        <f t="shared" si="9"/>
        <v>1049120000</v>
      </c>
      <c r="AO58" s="97"/>
    </row>
    <row r="59" spans="1:48">
      <c r="A59" s="61">
        <v>1400</v>
      </c>
      <c r="B59" s="11">
        <v>57</v>
      </c>
      <c r="C59" s="48">
        <f t="shared" si="4"/>
        <v>5655009.1360314842</v>
      </c>
      <c r="D59" s="3">
        <f t="shared" si="5"/>
        <v>4593726.5995433833</v>
      </c>
      <c r="E59" s="3">
        <f t="shared" si="11"/>
        <v>604717069.49413705</v>
      </c>
      <c r="F59" s="3"/>
      <c r="G59" s="11"/>
      <c r="H59" s="11"/>
      <c r="K59" s="54" t="s">
        <v>689</v>
      </c>
      <c r="L59" s="111">
        <f>L57+N7</f>
        <v>318088543.59600925</v>
      </c>
      <c r="O59" s="40"/>
      <c r="P59" s="315" t="s">
        <v>25</v>
      </c>
      <c r="Q59" s="315"/>
      <c r="R59" s="167"/>
      <c r="S59" s="202" t="s">
        <v>6971</v>
      </c>
      <c r="T59" s="192">
        <f>T111-1479</f>
        <v>21</v>
      </c>
      <c r="U59" s="202" t="s">
        <v>6972</v>
      </c>
      <c r="V59" s="202">
        <v>395.3</v>
      </c>
      <c r="W59" s="202">
        <f t="shared" si="18"/>
        <v>407.67668054794524</v>
      </c>
      <c r="X59" s="32">
        <f t="shared" si="15"/>
        <v>415.83021415890414</v>
      </c>
      <c r="Y59" s="32">
        <f t="shared" si="16"/>
        <v>423.98374776986304</v>
      </c>
      <c r="Z59" s="120"/>
      <c r="AA59" s="120"/>
      <c r="AB59" s="476">
        <v>59</v>
      </c>
      <c r="AC59" s="94"/>
      <c r="AD59" s="94"/>
      <c r="AI59" s="169">
        <v>40</v>
      </c>
      <c r="AJ59" s="168" t="s">
        <v>4000</v>
      </c>
      <c r="AK59" s="168">
        <v>-3865000</v>
      </c>
      <c r="AL59" s="169">
        <v>6</v>
      </c>
      <c r="AM59" s="169">
        <f t="shared" si="10"/>
        <v>1313</v>
      </c>
      <c r="AN59" s="170">
        <f t="shared" si="9"/>
        <v>-5074745000</v>
      </c>
      <c r="AO59" s="169" t="s">
        <v>4026</v>
      </c>
    </row>
    <row r="60" spans="1:48">
      <c r="A60" s="61">
        <v>1400</v>
      </c>
      <c r="B60" s="11">
        <v>58</v>
      </c>
      <c r="C60" s="3">
        <f t="shared" si="4"/>
        <v>5711559.227391799</v>
      </c>
      <c r="D60" s="3">
        <f t="shared" si="5"/>
        <v>4639663.8655388169</v>
      </c>
      <c r="E60" s="3">
        <f t="shared" si="11"/>
        <v>617883306.24587286</v>
      </c>
      <c r="F60" s="3"/>
      <c r="G60" s="11"/>
      <c r="H60" s="11"/>
      <c r="J60" s="471"/>
      <c r="M60" s="25"/>
      <c r="O60" s="40"/>
      <c r="P60" s="315"/>
      <c r="Q60" s="315"/>
      <c r="R60" s="167"/>
      <c r="S60" s="202" t="s">
        <v>6977</v>
      </c>
      <c r="T60" s="192">
        <f>T111-1484</f>
        <v>16</v>
      </c>
      <c r="U60" s="202" t="s">
        <v>6978</v>
      </c>
      <c r="V60" s="202">
        <v>379</v>
      </c>
      <c r="W60" s="202">
        <f t="shared" si="18"/>
        <v>389.41263561643837</v>
      </c>
      <c r="X60" s="32">
        <f t="shared" si="15"/>
        <v>397.20088832876712</v>
      </c>
      <c r="Y60" s="32">
        <f t="shared" si="16"/>
        <v>404.98914104109593</v>
      </c>
      <c r="Z60" s="120"/>
      <c r="AA60" s="120">
        <v>48513</v>
      </c>
      <c r="AB60" s="477"/>
      <c r="AC60" s="94"/>
      <c r="AD60" s="94"/>
      <c r="AI60" s="20">
        <v>41</v>
      </c>
      <c r="AJ60" s="115" t="s">
        <v>4030</v>
      </c>
      <c r="AK60" s="115">
        <v>18800000</v>
      </c>
      <c r="AL60" s="20">
        <v>3</v>
      </c>
      <c r="AM60" s="97">
        <f t="shared" si="10"/>
        <v>1307</v>
      </c>
      <c r="AN60" s="111">
        <f t="shared" si="9"/>
        <v>24571600000</v>
      </c>
      <c r="AO60" s="20"/>
    </row>
    <row r="61" spans="1:48">
      <c r="A61" s="61">
        <v>1400</v>
      </c>
      <c r="B61" s="11">
        <v>59</v>
      </c>
      <c r="C61" s="3">
        <f t="shared" si="4"/>
        <v>5768674.819665717</v>
      </c>
      <c r="D61" s="3">
        <f t="shared" si="5"/>
        <v>4686060.5041942047</v>
      </c>
      <c r="E61" s="3">
        <f t="shared" si="11"/>
        <v>631323586.68626177</v>
      </c>
      <c r="F61" s="3"/>
      <c r="G61" s="11"/>
      <c r="H61" s="11"/>
      <c r="O61" s="40"/>
      <c r="P61" s="315"/>
      <c r="Q61" s="315"/>
      <c r="R61" s="167"/>
      <c r="S61" s="202" t="s">
        <v>6979</v>
      </c>
      <c r="T61" s="192">
        <f>T111-1485</f>
        <v>15</v>
      </c>
      <c r="U61" s="202" t="s">
        <v>6980</v>
      </c>
      <c r="V61" s="202">
        <v>379</v>
      </c>
      <c r="W61" s="202">
        <f t="shared" si="18"/>
        <v>389.121895890411</v>
      </c>
      <c r="X61" s="32">
        <f t="shared" ref="X61:X75" si="19">W61*(1+$X$19/100)</f>
        <v>396.90433380821923</v>
      </c>
      <c r="Y61" s="32">
        <f t="shared" ref="Y61:Y75" si="20">W61*(1+$Y$19/100)</f>
        <v>404.68677172602747</v>
      </c>
      <c r="Z61" s="120"/>
      <c r="AA61" s="120">
        <v>28529</v>
      </c>
      <c r="AB61" s="478"/>
      <c r="AC61" s="94"/>
      <c r="AD61" s="94"/>
      <c r="AI61" s="20">
        <v>42</v>
      </c>
      <c r="AJ61" s="115" t="s">
        <v>4046</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1"/>
        <v>645043498.87861323</v>
      </c>
      <c r="F62" s="3"/>
      <c r="G62" s="11"/>
      <c r="H62" s="11"/>
      <c r="O62" s="40" t="s">
        <v>7023</v>
      </c>
      <c r="P62" s="315">
        <v>8314333</v>
      </c>
      <c r="Q62" s="315">
        <v>29627913</v>
      </c>
      <c r="R62" s="167"/>
      <c r="S62" s="202" t="s">
        <v>6981</v>
      </c>
      <c r="T62" s="192">
        <f>T111-1486</f>
        <v>14</v>
      </c>
      <c r="U62" s="202" t="s">
        <v>6982</v>
      </c>
      <c r="V62" s="202">
        <v>373</v>
      </c>
      <c r="W62" s="202">
        <f t="shared" si="18"/>
        <v>382.67551780821924</v>
      </c>
      <c r="X62" s="32">
        <f t="shared" si="19"/>
        <v>390.32902816438366</v>
      </c>
      <c r="Y62" s="32">
        <f t="shared" si="20"/>
        <v>397.98253852054802</v>
      </c>
      <c r="Z62" s="120"/>
      <c r="AA62" s="120">
        <v>77406</v>
      </c>
      <c r="AB62" s="478"/>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t="s">
        <v>7017</v>
      </c>
      <c r="P63" s="315">
        <v>8403580</v>
      </c>
      <c r="Q63" s="315">
        <v>29345833</v>
      </c>
      <c r="R63" s="167"/>
      <c r="S63" s="202" t="s">
        <v>6983</v>
      </c>
      <c r="T63" s="192">
        <f>T111-1487</f>
        <v>13</v>
      </c>
      <c r="U63" s="202" t="s">
        <v>6984</v>
      </c>
      <c r="V63" s="202">
        <v>375</v>
      </c>
      <c r="W63" s="202">
        <f t="shared" si="18"/>
        <v>384.43972602739728</v>
      </c>
      <c r="X63" s="32">
        <f t="shared" si="19"/>
        <v>392.12852054794524</v>
      </c>
      <c r="Y63" s="32">
        <f t="shared" si="20"/>
        <v>399.8173150684932</v>
      </c>
      <c r="Z63" s="120"/>
      <c r="AA63" s="120">
        <v>98205</v>
      </c>
      <c r="AB63" s="479"/>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21">K64*$L$72</f>
        <v>12482000000</v>
      </c>
      <c r="M64" s="204">
        <f>N32+N38+N43</f>
        <v>5473329600</v>
      </c>
      <c r="N64" s="181">
        <f t="shared" ref="N64:N69" si="22">L64-M64</f>
        <v>7008670400</v>
      </c>
      <c r="O64" s="40" t="s">
        <v>7012</v>
      </c>
      <c r="P64" s="315">
        <v>8322637</v>
      </c>
      <c r="Q64" s="315">
        <v>29697683</v>
      </c>
      <c r="R64" s="167"/>
      <c r="S64" s="202" t="s">
        <v>6987</v>
      </c>
      <c r="T64" s="192">
        <f>T111-1488</f>
        <v>12</v>
      </c>
      <c r="U64" s="202" t="s">
        <v>6988</v>
      </c>
      <c r="V64" s="202">
        <v>375</v>
      </c>
      <c r="W64" s="202">
        <f t="shared" si="18"/>
        <v>384.15205479452061</v>
      </c>
      <c r="X64" s="32">
        <f t="shared" si="19"/>
        <v>391.83509589041103</v>
      </c>
      <c r="Y64" s="32">
        <f t="shared" si="20"/>
        <v>399.51813698630144</v>
      </c>
      <c r="Z64" s="120"/>
      <c r="AA64" s="120">
        <v>127565</v>
      </c>
      <c r="AB64" s="480"/>
      <c r="AC64" s="94" t="s">
        <v>25</v>
      </c>
      <c r="AD64" s="94"/>
      <c r="AI64" s="20">
        <v>45</v>
      </c>
      <c r="AJ64" s="115" t="s">
        <v>4065</v>
      </c>
      <c r="AK64" s="115">
        <v>1300000</v>
      </c>
      <c r="AL64" s="20">
        <v>0</v>
      </c>
      <c r="AM64" s="97">
        <f>AM65+AL64</f>
        <v>1297</v>
      </c>
      <c r="AN64" s="111">
        <f t="shared" ref="AN64:AN95" si="23">AK64*AM64</f>
        <v>1686100000</v>
      </c>
      <c r="AO64" s="20"/>
    </row>
    <row r="65" spans="1:41">
      <c r="J65" s="32" t="s">
        <v>5224</v>
      </c>
      <c r="K65" s="202">
        <v>254</v>
      </c>
      <c r="L65" s="1">
        <f t="shared" si="21"/>
        <v>4013200000</v>
      </c>
      <c r="M65" s="1">
        <f>N44+N39+N33</f>
        <v>4672271940</v>
      </c>
      <c r="N65" s="111">
        <f t="shared" si="22"/>
        <v>-659071940</v>
      </c>
      <c r="O65" s="40" t="s">
        <v>7004</v>
      </c>
      <c r="P65" s="315">
        <v>8421820</v>
      </c>
      <c r="Q65" s="315">
        <v>29013455</v>
      </c>
      <c r="R65" s="167"/>
      <c r="S65" s="202" t="s">
        <v>6989</v>
      </c>
      <c r="T65" s="192">
        <f>T111-1492</f>
        <v>8</v>
      </c>
      <c r="U65" s="202" t="s">
        <v>6990</v>
      </c>
      <c r="V65" s="202">
        <v>365</v>
      </c>
      <c r="W65" s="202">
        <f t="shared" si="18"/>
        <v>372.78800000000001</v>
      </c>
      <c r="X65" s="32">
        <f t="shared" si="19"/>
        <v>380.24376000000001</v>
      </c>
      <c r="Y65" s="32">
        <f t="shared" si="20"/>
        <v>387.69952000000001</v>
      </c>
      <c r="Z65" s="120"/>
      <c r="AA65" s="120">
        <v>492426</v>
      </c>
      <c r="AB65" s="481"/>
      <c r="AD65" s="94"/>
      <c r="AI65" s="20">
        <v>45</v>
      </c>
      <c r="AJ65" s="115" t="s">
        <v>4065</v>
      </c>
      <c r="AK65" s="115">
        <v>995000</v>
      </c>
      <c r="AL65" s="20">
        <v>2</v>
      </c>
      <c r="AM65" s="97">
        <f t="shared" ref="AM65:AM92" si="24">AM66+AL65</f>
        <v>1297</v>
      </c>
      <c r="AN65" s="111">
        <f t="shared" si="23"/>
        <v>1290515000</v>
      </c>
      <c r="AO65" s="20"/>
    </row>
    <row r="66" spans="1:41">
      <c r="J66" s="203" t="s">
        <v>4334</v>
      </c>
      <c r="K66" s="194">
        <v>0</v>
      </c>
      <c r="L66" s="204">
        <f t="shared" si="21"/>
        <v>0</v>
      </c>
      <c r="M66" s="204">
        <v>1</v>
      </c>
      <c r="N66" s="181">
        <f t="shared" si="22"/>
        <v>-1</v>
      </c>
      <c r="O66" s="40" t="s">
        <v>7000</v>
      </c>
      <c r="P66" s="315">
        <v>8492243</v>
      </c>
      <c r="Q66" s="315">
        <v>28413102</v>
      </c>
      <c r="R66" s="167"/>
      <c r="S66" s="202" t="s">
        <v>6991</v>
      </c>
      <c r="T66" s="192">
        <f>T111-1494</f>
        <v>6</v>
      </c>
      <c r="U66" s="202" t="s">
        <v>7005</v>
      </c>
      <c r="V66" s="202">
        <v>354</v>
      </c>
      <c r="W66" s="202">
        <f t="shared" si="18"/>
        <v>361.01016986301369</v>
      </c>
      <c r="X66" s="32">
        <f t="shared" si="19"/>
        <v>368.23037326027395</v>
      </c>
      <c r="Y66" s="32">
        <f t="shared" si="20"/>
        <v>375.45057665753427</v>
      </c>
      <c r="Z66" s="120"/>
      <c r="AA66" s="120">
        <v>529565</v>
      </c>
      <c r="AB66" s="482"/>
      <c r="AD66" s="94"/>
      <c r="AI66" s="20">
        <v>46</v>
      </c>
      <c r="AJ66" s="115" t="s">
        <v>4074</v>
      </c>
      <c r="AK66" s="115">
        <v>13000000</v>
      </c>
      <c r="AL66" s="20">
        <v>2</v>
      </c>
      <c r="AM66" s="97">
        <f t="shared" si="24"/>
        <v>1295</v>
      </c>
      <c r="AN66" s="111">
        <f t="shared" si="23"/>
        <v>16835000000</v>
      </c>
      <c r="AO66" s="20"/>
    </row>
    <row r="67" spans="1:41">
      <c r="A67" t="s">
        <v>25</v>
      </c>
      <c r="F67" t="s">
        <v>305</v>
      </c>
      <c r="G67" t="s">
        <v>4060</v>
      </c>
      <c r="I67" s="94" t="s">
        <v>6103</v>
      </c>
      <c r="J67" s="253" t="s">
        <v>5245</v>
      </c>
      <c r="K67" s="186">
        <v>0</v>
      </c>
      <c r="L67" s="254">
        <f t="shared" si="21"/>
        <v>0</v>
      </c>
      <c r="M67" s="254">
        <f>N30+N37+N42</f>
        <v>852</v>
      </c>
      <c r="N67" s="185">
        <f t="shared" si="22"/>
        <v>-852</v>
      </c>
      <c r="O67" s="40" t="s">
        <v>6983</v>
      </c>
      <c r="P67" s="315">
        <v>8503989</v>
      </c>
      <c r="Q67" s="315">
        <v>28837784</v>
      </c>
      <c r="R67" s="167"/>
      <c r="S67" s="202" t="s">
        <v>6996</v>
      </c>
      <c r="T67" s="192">
        <f>T111-1499</f>
        <v>1</v>
      </c>
      <c r="U67" s="202" t="s">
        <v>6997</v>
      </c>
      <c r="V67" s="202">
        <v>1303</v>
      </c>
      <c r="W67" s="202">
        <f t="shared" si="18"/>
        <v>1323.8051616438356</v>
      </c>
      <c r="X67" s="32">
        <f t="shared" si="19"/>
        <v>1350.2812648767124</v>
      </c>
      <c r="Y67" s="32">
        <f t="shared" si="20"/>
        <v>1376.7573681095892</v>
      </c>
      <c r="Z67" s="120">
        <v>52</v>
      </c>
      <c r="AA67" s="120"/>
      <c r="AB67" s="485"/>
      <c r="AD67" s="94"/>
      <c r="AI67" s="20">
        <v>47</v>
      </c>
      <c r="AJ67" s="115" t="s">
        <v>4087</v>
      </c>
      <c r="AK67" s="115">
        <v>-3100000</v>
      </c>
      <c r="AL67" s="20">
        <v>3</v>
      </c>
      <c r="AM67" s="97">
        <f t="shared" si="24"/>
        <v>1293</v>
      </c>
      <c r="AN67" s="111">
        <f t="shared" si="23"/>
        <v>-4008300000</v>
      </c>
      <c r="AO67" s="20"/>
    </row>
    <row r="68" spans="1:41">
      <c r="F68" t="s">
        <v>4061</v>
      </c>
      <c r="G68" t="s">
        <v>4064</v>
      </c>
      <c r="I68" s="120" t="s">
        <v>6104</v>
      </c>
      <c r="J68" s="203" t="s">
        <v>306</v>
      </c>
      <c r="K68" s="194">
        <v>0</v>
      </c>
      <c r="L68" s="204">
        <f t="shared" si="21"/>
        <v>0</v>
      </c>
      <c r="M68" s="204">
        <f>N34+N35+N40+N45+N46</f>
        <v>2450857649</v>
      </c>
      <c r="N68" s="181">
        <f>L68-M68</f>
        <v>-2450857649</v>
      </c>
      <c r="O68" s="40" t="s">
        <v>6981</v>
      </c>
      <c r="P68" s="315">
        <v>8454346</v>
      </c>
      <c r="Q68" s="315">
        <v>28322059</v>
      </c>
      <c r="R68" s="167"/>
      <c r="S68" s="202" t="s">
        <v>6998</v>
      </c>
      <c r="T68" s="192">
        <f>T111-1500</f>
        <v>0</v>
      </c>
      <c r="U68" s="202" t="s">
        <v>6999</v>
      </c>
      <c r="V68" s="202">
        <v>1300</v>
      </c>
      <c r="W68" s="202">
        <f t="shared" si="18"/>
        <v>1319.7600000000002</v>
      </c>
      <c r="X68" s="32">
        <f t="shared" si="19"/>
        <v>1346.1552000000001</v>
      </c>
      <c r="Y68" s="32">
        <f t="shared" si="20"/>
        <v>1372.5504000000003</v>
      </c>
      <c r="Z68" s="120">
        <v>42859</v>
      </c>
      <c r="AA68" s="120"/>
      <c r="AB68" s="486"/>
      <c r="AD68" s="94"/>
      <c r="AI68" s="20">
        <v>48</v>
      </c>
      <c r="AJ68" s="115" t="s">
        <v>4102</v>
      </c>
      <c r="AK68" s="115">
        <v>45640000</v>
      </c>
      <c r="AL68" s="20">
        <v>1</v>
      </c>
      <c r="AM68" s="97">
        <f t="shared" si="24"/>
        <v>1290</v>
      </c>
      <c r="AN68" s="111">
        <f t="shared" si="23"/>
        <v>58875600000</v>
      </c>
      <c r="AO68" s="20"/>
    </row>
    <row r="69" spans="1:41">
      <c r="F69" t="s">
        <v>4062</v>
      </c>
      <c r="G69" t="s">
        <v>4063</v>
      </c>
      <c r="I69" s="112" t="s">
        <v>6105</v>
      </c>
      <c r="J69" s="231" t="s">
        <v>6727</v>
      </c>
      <c r="K69" s="188">
        <v>-243</v>
      </c>
      <c r="L69" s="232">
        <f t="shared" si="21"/>
        <v>-3839400000</v>
      </c>
      <c r="M69" s="232">
        <v>0</v>
      </c>
      <c r="N69" s="84">
        <f t="shared" si="22"/>
        <v>-3839400000</v>
      </c>
      <c r="O69" s="40" t="s">
        <v>6962</v>
      </c>
      <c r="P69" s="315">
        <v>8586134</v>
      </c>
      <c r="Q69" s="315">
        <v>28298912</v>
      </c>
      <c r="R69" s="167"/>
      <c r="S69" s="202" t="s">
        <v>7000</v>
      </c>
      <c r="T69" s="192">
        <f>T111-1501</f>
        <v>-1</v>
      </c>
      <c r="U69" s="202" t="s">
        <v>7001</v>
      </c>
      <c r="V69" s="202">
        <v>1340</v>
      </c>
      <c r="W69" s="202">
        <f t="shared" si="18"/>
        <v>1359.3400547945207</v>
      </c>
      <c r="X69" s="32">
        <f t="shared" si="19"/>
        <v>1386.5268558904111</v>
      </c>
      <c r="Y69" s="32">
        <f t="shared" si="20"/>
        <v>1413.7136569863017</v>
      </c>
      <c r="Z69" s="120">
        <v>20018</v>
      </c>
      <c r="AA69" s="120"/>
      <c r="AB69" s="491"/>
      <c r="AD69" s="94"/>
      <c r="AI69" s="20">
        <v>49</v>
      </c>
      <c r="AJ69" s="115" t="s">
        <v>4106</v>
      </c>
      <c r="AK69" s="115">
        <v>33500000</v>
      </c>
      <c r="AL69" s="20">
        <v>1</v>
      </c>
      <c r="AM69" s="97">
        <f t="shared" si="24"/>
        <v>1289</v>
      </c>
      <c r="AN69" s="111">
        <f t="shared" si="23"/>
        <v>43181500000</v>
      </c>
      <c r="AO69" s="20"/>
    </row>
    <row r="70" spans="1:41">
      <c r="I70" s="120" t="s">
        <v>6111</v>
      </c>
      <c r="J70" s="32"/>
      <c r="K70" s="202"/>
      <c r="L70" s="1"/>
      <c r="M70" s="1"/>
      <c r="N70" s="111"/>
      <c r="O70" s="40" t="s">
        <v>6958</v>
      </c>
      <c r="P70" s="315">
        <v>8610051</v>
      </c>
      <c r="Q70" s="315">
        <v>28757587</v>
      </c>
      <c r="R70" s="167" t="s">
        <v>25</v>
      </c>
      <c r="S70" s="202" t="s">
        <v>7002</v>
      </c>
      <c r="T70" s="192">
        <f>T111-1502</f>
        <v>-2</v>
      </c>
      <c r="U70" s="202" t="s">
        <v>7003</v>
      </c>
      <c r="V70" s="202">
        <v>1339</v>
      </c>
      <c r="W70" s="202">
        <f t="shared" si="18"/>
        <v>1357.2984438356166</v>
      </c>
      <c r="X70" s="32">
        <f t="shared" si="19"/>
        <v>1384.444412712329</v>
      </c>
      <c r="Y70" s="32">
        <f t="shared" si="20"/>
        <v>1411.5903815890413</v>
      </c>
      <c r="Z70" s="120">
        <v>254088</v>
      </c>
      <c r="AA70" s="120"/>
      <c r="AB70" s="486"/>
      <c r="AI70" s="20">
        <v>50</v>
      </c>
      <c r="AJ70" s="115" t="s">
        <v>4111</v>
      </c>
      <c r="AK70" s="115">
        <v>12000000</v>
      </c>
      <c r="AL70" s="20">
        <v>1</v>
      </c>
      <c r="AM70" s="97">
        <f t="shared" si="24"/>
        <v>1288</v>
      </c>
      <c r="AN70" s="115">
        <f t="shared" si="23"/>
        <v>15456000000</v>
      </c>
      <c r="AO70" s="20"/>
    </row>
    <row r="71" spans="1:41">
      <c r="J71" s="203" t="s">
        <v>4942</v>
      </c>
      <c r="K71" s="194">
        <f>SUM(K64:K69)</f>
        <v>801</v>
      </c>
      <c r="L71" s="204"/>
      <c r="M71" s="204"/>
      <c r="N71" s="181"/>
      <c r="O71" s="40" t="s">
        <v>6955</v>
      </c>
      <c r="P71" s="315">
        <v>8513365</v>
      </c>
      <c r="Q71" s="315">
        <v>28095606</v>
      </c>
      <c r="R71" s="167"/>
      <c r="S71" s="202" t="s">
        <v>7012</v>
      </c>
      <c r="T71" s="192">
        <f>T111-1507</f>
        <v>-7</v>
      </c>
      <c r="U71" s="202" t="s">
        <v>7014</v>
      </c>
      <c r="V71" s="202">
        <v>374</v>
      </c>
      <c r="W71" s="202">
        <f t="shared" si="18"/>
        <v>377.67647123287674</v>
      </c>
      <c r="X71" s="32">
        <f t="shared" si="19"/>
        <v>385.23000065753428</v>
      </c>
      <c r="Y71" s="32">
        <f t="shared" si="20"/>
        <v>392.78353008219182</v>
      </c>
      <c r="Z71" s="120"/>
      <c r="AA71" s="120">
        <v>83149</v>
      </c>
      <c r="AB71" s="492"/>
      <c r="AI71" s="20">
        <v>51</v>
      </c>
      <c r="AJ71" s="115" t="s">
        <v>4116</v>
      </c>
      <c r="AK71" s="115">
        <v>15500000</v>
      </c>
      <c r="AL71" s="20">
        <v>4</v>
      </c>
      <c r="AM71" s="97">
        <f t="shared" si="24"/>
        <v>1287</v>
      </c>
      <c r="AN71" s="115">
        <f t="shared" si="23"/>
        <v>19948500000</v>
      </c>
      <c r="AO71" s="20"/>
    </row>
    <row r="72" spans="1:41">
      <c r="J72" s="32"/>
      <c r="K72" s="202">
        <v>0</v>
      </c>
      <c r="L72" s="39">
        <f>10*P48</f>
        <v>15800000</v>
      </c>
      <c r="M72" s="1">
        <f>K72*L72</f>
        <v>0</v>
      </c>
      <c r="N72" s="111">
        <f>SUM(N64:N70)-M72</f>
        <v>59339958</v>
      </c>
      <c r="O72" s="40" t="s">
        <v>6932</v>
      </c>
      <c r="P72" s="315">
        <v>8529023</v>
      </c>
      <c r="Q72" s="315">
        <v>28319161</v>
      </c>
      <c r="R72" s="167"/>
      <c r="S72" s="202" t="s">
        <v>7017</v>
      </c>
      <c r="T72" s="192">
        <f>T111-1508</f>
        <v>-8</v>
      </c>
      <c r="U72" s="202" t="s">
        <v>7018</v>
      </c>
      <c r="V72" s="202">
        <v>407.7</v>
      </c>
      <c r="W72" s="202">
        <f t="shared" si="18"/>
        <v>411.39499068493154</v>
      </c>
      <c r="X72" s="32">
        <f t="shared" si="19"/>
        <v>419.62289049863017</v>
      </c>
      <c r="Y72" s="32">
        <f t="shared" si="20"/>
        <v>427.8507903123288</v>
      </c>
      <c r="Z72" s="120"/>
      <c r="AA72" s="120">
        <v>2200</v>
      </c>
      <c r="AB72" s="498"/>
      <c r="AC72" t="s">
        <v>25</v>
      </c>
      <c r="AI72" s="20">
        <v>52</v>
      </c>
      <c r="AJ72" s="115" t="s">
        <v>4120</v>
      </c>
      <c r="AK72" s="115">
        <v>150000</v>
      </c>
      <c r="AL72" s="20">
        <v>1</v>
      </c>
      <c r="AM72" s="97">
        <f t="shared" si="24"/>
        <v>1283</v>
      </c>
      <c r="AN72" s="115">
        <f t="shared" si="23"/>
        <v>192450000</v>
      </c>
      <c r="AO72" s="20"/>
    </row>
    <row r="73" spans="1:41">
      <c r="H73" s="234" t="s">
        <v>4884</v>
      </c>
      <c r="J73" s="203"/>
      <c r="K73" s="220"/>
      <c r="L73" s="204" t="s">
        <v>4203</v>
      </c>
      <c r="M73" s="204" t="s">
        <v>4557</v>
      </c>
      <c r="N73" s="181" t="s">
        <v>4558</v>
      </c>
      <c r="O73" s="40" t="s">
        <v>6927</v>
      </c>
      <c r="P73" s="315">
        <v>8453570</v>
      </c>
      <c r="Q73" s="315">
        <v>28140133</v>
      </c>
      <c r="R73" s="167"/>
      <c r="S73" s="202" t="s">
        <v>7026</v>
      </c>
      <c r="T73" s="192">
        <f>T111-1512</f>
        <v>-12</v>
      </c>
      <c r="U73" s="202" t="s">
        <v>7027</v>
      </c>
      <c r="V73" s="202">
        <v>448</v>
      </c>
      <c r="W73" s="202">
        <f t="shared" si="18"/>
        <v>450.68554520547946</v>
      </c>
      <c r="X73" s="32">
        <f t="shared" si="19"/>
        <v>459.69925610958904</v>
      </c>
      <c r="Y73" s="32">
        <f t="shared" si="20"/>
        <v>468.71296701369863</v>
      </c>
      <c r="Z73" s="120"/>
      <c r="AA73" s="120"/>
      <c r="AB73" s="492">
        <v>213861</v>
      </c>
      <c r="AI73" s="177">
        <v>53</v>
      </c>
      <c r="AJ73" s="178" t="s">
        <v>4126</v>
      </c>
      <c r="AK73" s="178">
        <v>29000000</v>
      </c>
      <c r="AL73" s="177">
        <v>15</v>
      </c>
      <c r="AM73" s="177">
        <f t="shared" si="24"/>
        <v>1282</v>
      </c>
      <c r="AN73" s="178">
        <f t="shared" si="23"/>
        <v>37178000000</v>
      </c>
      <c r="AO73" s="177" t="s">
        <v>4136</v>
      </c>
    </row>
    <row r="74" spans="1:41">
      <c r="H74" s="234" t="s">
        <v>4885</v>
      </c>
      <c r="J74" s="456" t="s">
        <v>4564</v>
      </c>
      <c r="K74" s="457"/>
      <c r="L74" s="1"/>
      <c r="M74" s="1"/>
      <c r="N74" s="111"/>
      <c r="O74" s="40" t="s">
        <v>6898</v>
      </c>
      <c r="P74" s="315">
        <v>8482269</v>
      </c>
      <c r="Q74" s="315">
        <v>26967121</v>
      </c>
      <c r="R74" s="167"/>
      <c r="S74" s="166" t="s">
        <v>25</v>
      </c>
      <c r="T74" s="166" t="s">
        <v>25</v>
      </c>
      <c r="U74" s="166" t="s">
        <v>25</v>
      </c>
      <c r="V74" s="166"/>
      <c r="W74" s="202" t="e">
        <f t="shared" si="18"/>
        <v>#VALUE!</v>
      </c>
      <c r="X74" s="32" t="e">
        <f t="shared" si="19"/>
        <v>#VALUE!</v>
      </c>
      <c r="Y74" s="32" t="e">
        <f t="shared" si="20"/>
        <v>#VALUE!</v>
      </c>
      <c r="Z74" s="120" t="s">
        <v>25</v>
      </c>
      <c r="AA74" s="120" t="s">
        <v>25</v>
      </c>
      <c r="AB74" s="94"/>
      <c r="AC74" s="94"/>
      <c r="AD74" t="s">
        <v>25</v>
      </c>
      <c r="AI74" s="20">
        <v>54</v>
      </c>
      <c r="AJ74" s="115" t="s">
        <v>4160</v>
      </c>
      <c r="AK74" s="115">
        <v>-130000</v>
      </c>
      <c r="AL74" s="20">
        <v>7</v>
      </c>
      <c r="AM74" s="97">
        <f t="shared" si="24"/>
        <v>1267</v>
      </c>
      <c r="AN74" s="115">
        <f t="shared" si="23"/>
        <v>-164710000</v>
      </c>
      <c r="AO74" s="20" t="s">
        <v>4162</v>
      </c>
    </row>
    <row r="75" spans="1:41">
      <c r="H75" s="25"/>
      <c r="I75" s="94"/>
      <c r="O75" s="40" t="s">
        <v>6897</v>
      </c>
      <c r="P75" s="315">
        <v>8642567</v>
      </c>
      <c r="Q75" s="315">
        <v>26783008</v>
      </c>
      <c r="R75" s="167">
        <f>SUM(N32:N35)-SUM(R20:R74)</f>
        <v>3829541304.6758094</v>
      </c>
      <c r="S75" s="166" t="s">
        <v>25</v>
      </c>
      <c r="T75" s="166" t="s">
        <v>25</v>
      </c>
      <c r="U75" s="166" t="s">
        <v>25</v>
      </c>
      <c r="V75" s="166"/>
      <c r="W75" s="202" t="e">
        <f t="shared" si="18"/>
        <v>#VALUE!</v>
      </c>
      <c r="X75" s="32" t="e">
        <f t="shared" si="19"/>
        <v>#VALUE!</v>
      </c>
      <c r="Y75" s="32" t="e">
        <f t="shared" si="20"/>
        <v>#VALUE!</v>
      </c>
      <c r="Z75" t="s">
        <v>25</v>
      </c>
      <c r="AA75" s="120" t="s">
        <v>25</v>
      </c>
      <c r="AB75" t="s">
        <v>25</v>
      </c>
      <c r="AC75" s="94"/>
      <c r="AI75" s="20">
        <v>55</v>
      </c>
      <c r="AJ75" s="115" t="s">
        <v>4208</v>
      </c>
      <c r="AK75" s="115">
        <v>232000</v>
      </c>
      <c r="AL75" s="20">
        <v>2</v>
      </c>
      <c r="AM75" s="97">
        <f t="shared" si="24"/>
        <v>1260</v>
      </c>
      <c r="AN75" s="115">
        <f t="shared" si="23"/>
        <v>292320000</v>
      </c>
      <c r="AO75" s="20" t="s">
        <v>4210</v>
      </c>
    </row>
    <row r="76" spans="1:41">
      <c r="D76" s="499"/>
      <c r="E76" s="499"/>
      <c r="F76" s="499"/>
      <c r="H76" s="175"/>
      <c r="I76" s="94"/>
      <c r="O76" s="40" t="s">
        <v>6876</v>
      </c>
      <c r="P76" s="315">
        <v>8644960</v>
      </c>
      <c r="Q76" s="315">
        <v>22891512</v>
      </c>
      <c r="S76" s="113" t="s">
        <v>25</v>
      </c>
      <c r="T76" s="113" t="s">
        <v>25</v>
      </c>
      <c r="U76" s="120" t="s">
        <v>25</v>
      </c>
      <c r="V76" s="113" t="s">
        <v>25</v>
      </c>
      <c r="W76" s="113" t="s">
        <v>25</v>
      </c>
      <c r="X76" s="189" t="s">
        <v>25</v>
      </c>
      <c r="Y76" s="189"/>
      <c r="Z76" s="120" t="s">
        <v>25</v>
      </c>
      <c r="AA76" s="120" t="s">
        <v>25</v>
      </c>
      <c r="AB76" t="s">
        <v>25</v>
      </c>
      <c r="AC76" s="94" t="s">
        <v>25</v>
      </c>
      <c r="AI76" s="20">
        <v>56</v>
      </c>
      <c r="AJ76" s="115" t="s">
        <v>4218</v>
      </c>
      <c r="AK76" s="115">
        <v>-170000</v>
      </c>
      <c r="AL76" s="20">
        <v>3</v>
      </c>
      <c r="AM76" s="97">
        <f t="shared" si="24"/>
        <v>1258</v>
      </c>
      <c r="AN76" s="115">
        <f t="shared" si="23"/>
        <v>-213860000</v>
      </c>
      <c r="AO76" s="20"/>
    </row>
    <row r="77" spans="1:41">
      <c r="D77" s="499"/>
      <c r="E77" s="499"/>
      <c r="F77" s="499"/>
      <c r="H77" s="94"/>
      <c r="I77" s="94"/>
      <c r="O77" s="40" t="s">
        <v>6873</v>
      </c>
      <c r="P77" s="315">
        <v>8805601</v>
      </c>
      <c r="Q77" s="315">
        <v>23027738</v>
      </c>
      <c r="R77" s="94" t="s">
        <v>25</v>
      </c>
      <c r="S77" s="113" t="s">
        <v>25</v>
      </c>
      <c r="T77" s="113"/>
      <c r="U77" s="113" t="s">
        <v>25</v>
      </c>
      <c r="V77" s="113" t="s">
        <v>25</v>
      </c>
      <c r="W77" s="120" t="s">
        <v>25</v>
      </c>
      <c r="X77" s="189"/>
      <c r="Y77" s="189" t="s">
        <v>25</v>
      </c>
      <c r="Z77" s="120" t="s">
        <v>25</v>
      </c>
      <c r="AA77" s="120" t="s">
        <v>25</v>
      </c>
      <c r="AB77" t="s">
        <v>25</v>
      </c>
      <c r="AI77" s="20">
        <v>57</v>
      </c>
      <c r="AJ77" s="115" t="s">
        <v>4232</v>
      </c>
      <c r="AK77" s="115">
        <v>-300000</v>
      </c>
      <c r="AL77" s="20">
        <v>3</v>
      </c>
      <c r="AM77" s="97">
        <f t="shared" si="24"/>
        <v>1255</v>
      </c>
      <c r="AN77" s="115">
        <f t="shared" si="23"/>
        <v>-376500000</v>
      </c>
      <c r="AO77" s="20"/>
    </row>
    <row r="78" spans="1:41">
      <c r="D78" s="499"/>
      <c r="E78" s="499"/>
      <c r="F78" s="499"/>
      <c r="H78" s="120"/>
      <c r="O78" s="40" t="s">
        <v>6848</v>
      </c>
      <c r="P78" s="315">
        <v>8781893</v>
      </c>
      <c r="Q78" s="315">
        <v>22935150</v>
      </c>
      <c r="R78" s="166" t="s">
        <v>630</v>
      </c>
      <c r="S78" s="166"/>
      <c r="T78" s="166"/>
      <c r="U78" s="166"/>
      <c r="V78" s="166"/>
      <c r="W78" s="166"/>
      <c r="X78" s="32"/>
      <c r="Y78" s="32"/>
      <c r="AA78" t="s">
        <v>25</v>
      </c>
      <c r="AB78" s="113" t="s">
        <v>25</v>
      </c>
      <c r="AC78" t="s">
        <v>25</v>
      </c>
      <c r="AD78" t="s">
        <v>25</v>
      </c>
      <c r="AE78" s="113"/>
      <c r="AF78" s="113"/>
      <c r="AI78" s="20">
        <v>58</v>
      </c>
      <c r="AJ78" s="115" t="s">
        <v>4241</v>
      </c>
      <c r="AK78" s="115">
        <v>-11400000</v>
      </c>
      <c r="AL78" s="20">
        <v>13</v>
      </c>
      <c r="AM78" s="97">
        <f t="shared" ref="AM78:AM83" si="25">AM79+AL78</f>
        <v>1252</v>
      </c>
      <c r="AN78" s="115">
        <f t="shared" si="23"/>
        <v>-14272800000</v>
      </c>
      <c r="AO78" s="20"/>
    </row>
    <row r="79" spans="1:41" ht="30">
      <c r="D79" s="499"/>
      <c r="E79" s="499"/>
      <c r="F79" s="499"/>
      <c r="H79" s="120"/>
      <c r="I79" s="94"/>
      <c r="O79" s="40" t="s">
        <v>6847</v>
      </c>
      <c r="P79" s="315">
        <v>8795917</v>
      </c>
      <c r="Q79" s="315">
        <v>22289254</v>
      </c>
      <c r="R79" s="166" t="s">
        <v>267</v>
      </c>
      <c r="S79" s="166" t="s">
        <v>180</v>
      </c>
      <c r="T79" s="166" t="s">
        <v>183</v>
      </c>
      <c r="U79" s="166" t="s">
        <v>8</v>
      </c>
      <c r="V79" s="166" t="s">
        <v>4305</v>
      </c>
      <c r="W79" s="71" t="s">
        <v>4307</v>
      </c>
      <c r="X79" s="32">
        <v>2</v>
      </c>
      <c r="Y79" s="32">
        <v>4</v>
      </c>
      <c r="AB79" s="113" t="s">
        <v>25</v>
      </c>
      <c r="AD79" s="113" t="s">
        <v>25</v>
      </c>
      <c r="AE79" s="113"/>
      <c r="AF79" s="113"/>
      <c r="AG79"/>
      <c r="AI79" s="20">
        <v>59</v>
      </c>
      <c r="AJ79" s="115" t="s">
        <v>4289</v>
      </c>
      <c r="AK79" s="115">
        <v>-10000000</v>
      </c>
      <c r="AL79" s="20">
        <v>1</v>
      </c>
      <c r="AM79" s="97">
        <f t="shared" si="25"/>
        <v>1239</v>
      </c>
      <c r="AN79" s="115">
        <f t="shared" si="23"/>
        <v>-12390000000</v>
      </c>
      <c r="AO79" s="20"/>
    </row>
    <row r="80" spans="1:41">
      <c r="D80" s="499"/>
      <c r="E80" s="499"/>
      <c r="F80" s="499"/>
      <c r="I80" s="94"/>
      <c r="K80" s="499"/>
      <c r="L80" s="202" t="s">
        <v>180</v>
      </c>
      <c r="M80" s="202" t="s">
        <v>5402</v>
      </c>
      <c r="O80" s="40" t="s">
        <v>6841</v>
      </c>
      <c r="P80" s="315">
        <v>8867443</v>
      </c>
      <c r="Q80" s="315">
        <v>22669798</v>
      </c>
      <c r="R80" s="166">
        <v>0</v>
      </c>
      <c r="S80" s="166" t="s">
        <v>4126</v>
      </c>
      <c r="T80" s="166">
        <f>T111</f>
        <v>1500</v>
      </c>
      <c r="U80" s="166"/>
      <c r="V80" s="166"/>
      <c r="W80" s="71"/>
      <c r="X80" s="32"/>
      <c r="Y80" s="32"/>
      <c r="AC80" s="113"/>
      <c r="AD80" s="113"/>
      <c r="AE80" s="113"/>
      <c r="AF80" s="113"/>
      <c r="AG80"/>
      <c r="AI80" s="20">
        <v>60</v>
      </c>
      <c r="AJ80" s="115" t="s">
        <v>4290</v>
      </c>
      <c r="AK80" s="115">
        <v>-2450000</v>
      </c>
      <c r="AL80" s="20">
        <v>5</v>
      </c>
      <c r="AM80" s="97">
        <f t="shared" si="25"/>
        <v>1238</v>
      </c>
      <c r="AN80" s="115">
        <f t="shared" si="23"/>
        <v>-3033100000</v>
      </c>
      <c r="AO80" s="20"/>
    </row>
    <row r="81" spans="4:53">
      <c r="D81" s="499"/>
      <c r="E81" s="499"/>
      <c r="I81" s="94"/>
      <c r="K81" s="499"/>
      <c r="L81" s="202" t="s">
        <v>5376</v>
      </c>
      <c r="M81" s="1">
        <v>30000000</v>
      </c>
      <c r="N81" t="s">
        <v>25</v>
      </c>
      <c r="O81" s="40" t="s">
        <v>6830</v>
      </c>
      <c r="P81" s="315">
        <v>8821867</v>
      </c>
      <c r="Q81" s="315">
        <v>23080898</v>
      </c>
      <c r="R81" s="167">
        <v>863944</v>
      </c>
      <c r="S81" s="166" t="s">
        <v>4369</v>
      </c>
      <c r="T81" s="166">
        <f>T80-62</f>
        <v>1438</v>
      </c>
      <c r="U81" s="187" t="s">
        <v>4426</v>
      </c>
      <c r="V81" s="166">
        <v>184.6</v>
      </c>
      <c r="W81" s="166">
        <f t="shared" ref="W81:W99" si="26">V81*(1+$S$107+$R$15*T81/36500)</f>
        <v>391.04247890410954</v>
      </c>
      <c r="X81" s="32">
        <f t="shared" ref="X81:X88" si="27">W81*(1+$X$19/100)</f>
        <v>398.86332848219172</v>
      </c>
      <c r="Y81" s="32">
        <f t="shared" ref="Y81:Y88" si="28">W81*(1+$Y$19/100)</f>
        <v>406.68417806027395</v>
      </c>
      <c r="Z81" s="94">
        <v>4661</v>
      </c>
      <c r="AB81" s="113"/>
      <c r="AC81" s="113" t="s">
        <v>25</v>
      </c>
      <c r="AE81" s="113"/>
      <c r="AF81" s="113"/>
      <c r="AG81" s="113"/>
      <c r="AI81" s="20">
        <v>61</v>
      </c>
      <c r="AJ81" s="115" t="s">
        <v>4314</v>
      </c>
      <c r="AK81" s="115">
        <v>-456081</v>
      </c>
      <c r="AL81" s="20">
        <v>1</v>
      </c>
      <c r="AM81" s="97">
        <f t="shared" si="25"/>
        <v>1233</v>
      </c>
      <c r="AN81" s="115">
        <f t="shared" si="23"/>
        <v>-562347873</v>
      </c>
      <c r="AO81" s="20"/>
    </row>
    <row r="82" spans="4:53">
      <c r="D82" s="499"/>
      <c r="E82" s="499"/>
      <c r="I82" s="94"/>
      <c r="K82" s="499"/>
      <c r="L82" s="202" t="s">
        <v>5377</v>
      </c>
      <c r="M82" s="1">
        <v>550000</v>
      </c>
      <c r="O82" s="40"/>
      <c r="P82" s="315"/>
      <c r="Q82" s="189"/>
      <c r="R82" s="167">
        <v>1692313</v>
      </c>
      <c r="S82" s="166" t="s">
        <v>4429</v>
      </c>
      <c r="T82" s="192">
        <f>T81-21</f>
        <v>1417</v>
      </c>
      <c r="U82" s="186" t="s">
        <v>4430</v>
      </c>
      <c r="V82" s="166">
        <v>168.5</v>
      </c>
      <c r="W82" s="166">
        <f t="shared" si="26"/>
        <v>354.2230082191781</v>
      </c>
      <c r="X82" s="32">
        <f t="shared" si="27"/>
        <v>361.30746838356168</v>
      </c>
      <c r="Y82" s="32">
        <f t="shared" si="28"/>
        <v>368.39192854794521</v>
      </c>
      <c r="Z82" s="94">
        <v>10000</v>
      </c>
      <c r="AB82" s="113"/>
      <c r="AC82" s="113"/>
      <c r="AD82" s="113"/>
      <c r="AE82" s="113"/>
      <c r="AF82" s="113"/>
      <c r="AG82" s="113"/>
      <c r="AI82" s="20">
        <v>62</v>
      </c>
      <c r="AJ82" s="115" t="s">
        <v>4316</v>
      </c>
      <c r="AK82" s="115">
        <v>-500000</v>
      </c>
      <c r="AL82" s="20">
        <v>2</v>
      </c>
      <c r="AM82" s="97">
        <f t="shared" si="25"/>
        <v>1232</v>
      </c>
      <c r="AN82" s="115">
        <f t="shared" si="23"/>
        <v>-616000000</v>
      </c>
      <c r="AO82" s="20"/>
      <c r="AP82" t="s">
        <v>25</v>
      </c>
      <c r="AV82"/>
      <c r="AX82" t="s">
        <v>25</v>
      </c>
    </row>
    <row r="83" spans="4:53">
      <c r="D83" s="499"/>
      <c r="E83" s="499"/>
      <c r="K83" s="499"/>
      <c r="L83" s="202" t="s">
        <v>5378</v>
      </c>
      <c r="M83" s="1">
        <v>70370000</v>
      </c>
      <c r="O83" s="189"/>
      <c r="P83" s="40"/>
      <c r="Q83" s="40"/>
      <c r="R83" s="167">
        <v>101153</v>
      </c>
      <c r="S83" s="166" t="s">
        <v>4432</v>
      </c>
      <c r="T83" s="192">
        <f>T82-1</f>
        <v>1416</v>
      </c>
      <c r="U83" s="186" t="s">
        <v>4434</v>
      </c>
      <c r="V83" s="166">
        <v>166.7</v>
      </c>
      <c r="W83" s="166">
        <f t="shared" si="26"/>
        <v>350.31114410958901</v>
      </c>
      <c r="X83" s="32">
        <f t="shared" si="27"/>
        <v>357.31736699178077</v>
      </c>
      <c r="Y83" s="32">
        <f t="shared" si="28"/>
        <v>364.32358987397259</v>
      </c>
      <c r="Z83" s="94">
        <v>604</v>
      </c>
      <c r="AB83" s="120" t="s">
        <v>25</v>
      </c>
      <c r="AC83" s="113"/>
      <c r="AD83" s="126"/>
      <c r="AE83" s="113"/>
      <c r="AF83" s="113"/>
      <c r="AG83" s="113"/>
      <c r="AI83" s="20">
        <v>63</v>
      </c>
      <c r="AJ83" s="115" t="s">
        <v>4332</v>
      </c>
      <c r="AK83" s="115">
        <v>-6234370</v>
      </c>
      <c r="AL83" s="20">
        <v>3</v>
      </c>
      <c r="AM83" s="97">
        <f t="shared" si="25"/>
        <v>1230</v>
      </c>
      <c r="AN83" s="115">
        <f t="shared" si="23"/>
        <v>-7668275100</v>
      </c>
      <c r="AO83" s="20"/>
      <c r="AV83"/>
    </row>
    <row r="84" spans="4:53">
      <c r="D84" s="499"/>
      <c r="E84" s="499"/>
      <c r="I84" s="94"/>
      <c r="K84" s="499"/>
      <c r="L84" s="202" t="s">
        <v>5379</v>
      </c>
      <c r="M84" s="1">
        <v>1215000</v>
      </c>
      <c r="O84" s="40"/>
      <c r="P84" s="40"/>
      <c r="R84" s="167">
        <v>183105</v>
      </c>
      <c r="S84" s="166" t="s">
        <v>4181</v>
      </c>
      <c r="T84" s="192">
        <f>T83-1</f>
        <v>1415</v>
      </c>
      <c r="U84" s="186" t="s">
        <v>4438</v>
      </c>
      <c r="V84" s="166">
        <v>166.6</v>
      </c>
      <c r="W84" s="166">
        <f t="shared" si="26"/>
        <v>349.97319671232884</v>
      </c>
      <c r="X84" s="32">
        <f t="shared" si="27"/>
        <v>356.97266064657543</v>
      </c>
      <c r="Y84" s="32">
        <f t="shared" si="28"/>
        <v>363.97212458082203</v>
      </c>
      <c r="Z84" s="94">
        <v>1094</v>
      </c>
      <c r="AB84" s="113" t="s">
        <v>25</v>
      </c>
      <c r="AC84" s="113"/>
      <c r="AD84" s="126"/>
      <c r="AE84" s="113"/>
      <c r="AF84" s="113"/>
      <c r="AG84" s="113"/>
      <c r="AI84" s="20">
        <v>64</v>
      </c>
      <c r="AJ84" s="115" t="s">
        <v>4341</v>
      </c>
      <c r="AK84" s="115">
        <v>1950957</v>
      </c>
      <c r="AL84" s="20">
        <v>4</v>
      </c>
      <c r="AM84" s="97">
        <f t="shared" si="24"/>
        <v>1227</v>
      </c>
      <c r="AN84" s="115">
        <f t="shared" si="23"/>
        <v>2393824239</v>
      </c>
      <c r="AO84" s="20"/>
      <c r="BA84" t="s">
        <v>25</v>
      </c>
    </row>
    <row r="85" spans="4:53">
      <c r="D85" s="499"/>
      <c r="E85" s="499"/>
      <c r="K85" s="499"/>
      <c r="L85" s="202" t="s">
        <v>5380</v>
      </c>
      <c r="M85" s="1">
        <v>15350000</v>
      </c>
      <c r="O85" s="40"/>
      <c r="R85" s="167">
        <v>168846</v>
      </c>
      <c r="S85" s="166" t="s">
        <v>3654</v>
      </c>
      <c r="T85" s="192">
        <f>T84-30</f>
        <v>1385</v>
      </c>
      <c r="U85" s="186" t="s">
        <v>4515</v>
      </c>
      <c r="V85" s="166">
        <v>172.2</v>
      </c>
      <c r="W85" s="166">
        <f t="shared" si="26"/>
        <v>357.77404273972599</v>
      </c>
      <c r="X85" s="32">
        <f t="shared" si="27"/>
        <v>364.9295235945205</v>
      </c>
      <c r="Y85" s="32">
        <f t="shared" si="28"/>
        <v>372.08500444931502</v>
      </c>
      <c r="Z85" s="94">
        <v>976</v>
      </c>
      <c r="AB85" s="113"/>
      <c r="AC85" s="113"/>
      <c r="AD85" s="126"/>
      <c r="AE85" s="113"/>
      <c r="AF85" s="113"/>
      <c r="AG85" s="113"/>
      <c r="AI85" s="20">
        <v>65</v>
      </c>
      <c r="AJ85" s="115" t="s">
        <v>4363</v>
      </c>
      <c r="AK85" s="115">
        <v>600000</v>
      </c>
      <c r="AL85" s="20">
        <v>5</v>
      </c>
      <c r="AM85" s="97">
        <f t="shared" si="24"/>
        <v>1223</v>
      </c>
      <c r="AN85" s="115">
        <f t="shared" si="23"/>
        <v>733800000</v>
      </c>
      <c r="AO85" s="20"/>
    </row>
    <row r="86" spans="4:53">
      <c r="D86" s="499"/>
      <c r="E86" s="499"/>
      <c r="K86" s="499"/>
      <c r="L86" s="202" t="s">
        <v>5381</v>
      </c>
      <c r="M86" s="1">
        <v>70000</v>
      </c>
      <c r="O86" s="40"/>
      <c r="P86" s="40"/>
      <c r="Q86" s="114"/>
      <c r="R86" s="167">
        <v>19918023</v>
      </c>
      <c r="S86" s="5" t="s">
        <v>4731</v>
      </c>
      <c r="T86" s="192">
        <f>T85-75</f>
        <v>1310</v>
      </c>
      <c r="U86" s="186" t="s">
        <v>4733</v>
      </c>
      <c r="V86" s="202">
        <v>183</v>
      </c>
      <c r="W86" s="202">
        <f t="shared" si="26"/>
        <v>369.68406575342465</v>
      </c>
      <c r="X86" s="32">
        <f t="shared" si="27"/>
        <v>377.07774706849312</v>
      </c>
      <c r="Y86" s="32">
        <f t="shared" si="28"/>
        <v>384.47142838356166</v>
      </c>
      <c r="Z86" s="94">
        <v>108344</v>
      </c>
      <c r="AA86" s="113"/>
      <c r="AB86" s="113"/>
      <c r="AC86" s="113"/>
      <c r="AD86" s="126"/>
      <c r="AE86" s="113"/>
      <c r="AF86" s="113"/>
      <c r="AG86" s="113"/>
      <c r="AI86" s="20">
        <v>66</v>
      </c>
      <c r="AJ86" s="115" t="s">
        <v>4371</v>
      </c>
      <c r="AK86" s="115">
        <v>7500000</v>
      </c>
      <c r="AL86" s="20">
        <v>2</v>
      </c>
      <c r="AM86" s="97">
        <f t="shared" si="24"/>
        <v>1218</v>
      </c>
      <c r="AN86" s="115">
        <f t="shared" si="23"/>
        <v>9135000000</v>
      </c>
      <c r="AO86" s="20"/>
      <c r="AT86" s="94"/>
    </row>
    <row r="87" spans="4:53">
      <c r="D87" s="499"/>
      <c r="E87" s="499"/>
      <c r="K87" s="499"/>
      <c r="L87" s="202" t="s">
        <v>5385</v>
      </c>
      <c r="M87" s="1">
        <v>800000</v>
      </c>
      <c r="O87" s="40"/>
      <c r="P87" s="40"/>
      <c r="Q87" s="114"/>
      <c r="R87" s="167">
        <v>1200301</v>
      </c>
      <c r="S87" s="19" t="s">
        <v>4807</v>
      </c>
      <c r="T87" s="192">
        <f>T86-34</f>
        <v>1276</v>
      </c>
      <c r="U87" s="186" t="s">
        <v>4809</v>
      </c>
      <c r="V87" s="202">
        <v>218.5</v>
      </c>
      <c r="W87" s="202">
        <f t="shared" si="26"/>
        <v>435.69977534246578</v>
      </c>
      <c r="X87" s="32">
        <f t="shared" si="27"/>
        <v>444.41377084931509</v>
      </c>
      <c r="Y87" s="32">
        <f t="shared" si="28"/>
        <v>453.12776635616444</v>
      </c>
      <c r="Z87" s="94">
        <v>5468</v>
      </c>
      <c r="AA87" s="113"/>
      <c r="AB87" s="113"/>
      <c r="AC87" s="113" t="s">
        <v>25</v>
      </c>
      <c r="AD87" s="126"/>
      <c r="AE87" s="113"/>
      <c r="AF87" s="113"/>
      <c r="AG87" s="113"/>
      <c r="AI87" s="20">
        <v>67</v>
      </c>
      <c r="AJ87" s="115" t="s">
        <v>4375</v>
      </c>
      <c r="AK87" s="115">
        <v>-587816</v>
      </c>
      <c r="AL87" s="20">
        <v>3</v>
      </c>
      <c r="AM87" s="97">
        <f t="shared" si="24"/>
        <v>1216</v>
      </c>
      <c r="AN87" s="115">
        <f t="shared" si="23"/>
        <v>-714784256</v>
      </c>
      <c r="AO87" s="20"/>
      <c r="AT87" s="94"/>
    </row>
    <row r="88" spans="4:53">
      <c r="D88" s="499"/>
      <c r="E88" s="499"/>
      <c r="K88" s="499"/>
      <c r="L88" s="202" t="s">
        <v>5390</v>
      </c>
      <c r="M88" s="1">
        <v>1948000</v>
      </c>
      <c r="O88" s="40"/>
      <c r="P88" s="40"/>
      <c r="Q88" s="114"/>
      <c r="R88" s="167">
        <v>5837196.2537021004</v>
      </c>
      <c r="S88" s="19" t="s">
        <v>4831</v>
      </c>
      <c r="T88" s="192">
        <f>T87-16</f>
        <v>1260</v>
      </c>
      <c r="U88" s="186" t="s">
        <v>5534</v>
      </c>
      <c r="V88" s="202">
        <v>196.2</v>
      </c>
      <c r="W88" s="202">
        <f t="shared" si="26"/>
        <v>388.82432219178077</v>
      </c>
      <c r="X88" s="32">
        <f t="shared" si="27"/>
        <v>396.60080863561637</v>
      </c>
      <c r="Y88" s="32">
        <f t="shared" si="28"/>
        <v>404.37729507945198</v>
      </c>
      <c r="Z88" s="94">
        <v>29619</v>
      </c>
      <c r="AA88" s="113"/>
      <c r="AB88" s="113"/>
      <c r="AC88" s="113"/>
      <c r="AD88" s="126"/>
      <c r="AE88" s="113"/>
      <c r="AF88" s="113"/>
      <c r="AG88" s="113"/>
      <c r="AI88" s="20">
        <v>68</v>
      </c>
      <c r="AJ88" s="115" t="s">
        <v>4374</v>
      </c>
      <c r="AK88" s="115">
        <v>-907489</v>
      </c>
      <c r="AL88" s="20">
        <v>0</v>
      </c>
      <c r="AM88" s="97">
        <f>AM89+AL88</f>
        <v>1213</v>
      </c>
      <c r="AN88" s="115">
        <f t="shared" si="23"/>
        <v>-1100784157</v>
      </c>
      <c r="AO88" s="20"/>
      <c r="AQ88" t="s">
        <v>25</v>
      </c>
      <c r="AW88" t="s">
        <v>25</v>
      </c>
    </row>
    <row r="89" spans="4:53">
      <c r="D89" s="499"/>
      <c r="E89" s="499"/>
      <c r="K89" s="499"/>
      <c r="L89" s="202" t="s">
        <v>5413</v>
      </c>
      <c r="M89" s="1">
        <v>5745697.3157000002</v>
      </c>
      <c r="O89" s="40"/>
      <c r="P89" s="189"/>
      <c r="Q89" s="114"/>
      <c r="R89" s="167">
        <v>2948152</v>
      </c>
      <c r="S89" s="19" t="s">
        <v>5564</v>
      </c>
      <c r="T89" s="192">
        <f>T88-498</f>
        <v>762</v>
      </c>
      <c r="U89" s="186" t="s">
        <v>5565</v>
      </c>
      <c r="V89" s="202">
        <v>1550</v>
      </c>
      <c r="W89" s="202">
        <f t="shared" si="26"/>
        <v>2479.6093150684933</v>
      </c>
      <c r="X89" s="32">
        <f t="shared" ref="X89:X95" si="29">W89*(1+$X$19/100)</f>
        <v>2529.2015013698633</v>
      </c>
      <c r="Y89" s="32">
        <f t="shared" ref="Y89:Y95" si="30">W89*(1+$Y$19/100)</f>
        <v>2578.7936876712333</v>
      </c>
      <c r="Z89" s="94">
        <v>1895</v>
      </c>
      <c r="AD89" s="113" t="s">
        <v>25</v>
      </c>
      <c r="AE89" s="113"/>
      <c r="AF89" s="113"/>
      <c r="AG89" s="113"/>
      <c r="AH89" s="113"/>
      <c r="AI89" s="20">
        <v>69</v>
      </c>
      <c r="AJ89" s="115" t="s">
        <v>4374</v>
      </c>
      <c r="AK89" s="115">
        <v>2450000</v>
      </c>
      <c r="AL89" s="20">
        <v>1</v>
      </c>
      <c r="AM89" s="97">
        <f t="shared" si="24"/>
        <v>1213</v>
      </c>
      <c r="AN89" s="115">
        <f t="shared" si="23"/>
        <v>2971850000</v>
      </c>
      <c r="AO89" s="20" t="s">
        <v>4401</v>
      </c>
      <c r="AR89" t="s">
        <v>25</v>
      </c>
      <c r="AS89" t="s">
        <v>25</v>
      </c>
    </row>
    <row r="90" spans="4:53">
      <c r="D90" s="499"/>
      <c r="E90" s="499"/>
      <c r="K90" s="499"/>
      <c r="L90" s="202" t="s">
        <v>5414</v>
      </c>
      <c r="M90" s="1">
        <v>908158.17935999995</v>
      </c>
      <c r="O90" s="40"/>
      <c r="P90" s="40"/>
      <c r="Q90" s="114"/>
      <c r="R90" s="167"/>
      <c r="S90" s="19" t="s">
        <v>5644</v>
      </c>
      <c r="T90" s="192">
        <f>T89-83</f>
        <v>679</v>
      </c>
      <c r="U90" s="186" t="s">
        <v>5645</v>
      </c>
      <c r="V90" s="202">
        <v>1275</v>
      </c>
      <c r="W90" s="202">
        <f t="shared" si="26"/>
        <v>1958.4978082191781</v>
      </c>
      <c r="X90" s="32">
        <f t="shared" si="29"/>
        <v>1997.6677643835617</v>
      </c>
      <c r="Y90" s="32">
        <f t="shared" si="30"/>
        <v>2036.8377205479453</v>
      </c>
      <c r="Z90" s="94">
        <v>48654</v>
      </c>
      <c r="AD90" s="113"/>
      <c r="AE90" s="113"/>
      <c r="AF90"/>
      <c r="AH90" s="113"/>
      <c r="AI90" s="20">
        <v>70</v>
      </c>
      <c r="AJ90" s="115" t="s">
        <v>4403</v>
      </c>
      <c r="AK90" s="115">
        <v>1500000</v>
      </c>
      <c r="AL90" s="20">
        <v>1</v>
      </c>
      <c r="AM90" s="97">
        <f t="shared" si="24"/>
        <v>1212</v>
      </c>
      <c r="AN90" s="115">
        <f t="shared" si="23"/>
        <v>1818000000</v>
      </c>
      <c r="AO90" s="20"/>
      <c r="AQ90" t="s">
        <v>25</v>
      </c>
      <c r="AV90" s="94" t="s">
        <v>25</v>
      </c>
    </row>
    <row r="91" spans="4:53">
      <c r="D91" s="499"/>
      <c r="E91" s="499"/>
      <c r="K91" s="499"/>
      <c r="L91" s="202" t="s">
        <v>5415</v>
      </c>
      <c r="M91" s="1">
        <v>12642697.648548001</v>
      </c>
      <c r="O91" s="40"/>
      <c r="R91" s="167"/>
      <c r="S91" s="19" t="s">
        <v>5650</v>
      </c>
      <c r="T91" s="192">
        <f>T90-5</f>
        <v>674</v>
      </c>
      <c r="U91" s="186" t="s">
        <v>5651</v>
      </c>
      <c r="V91" s="202">
        <v>1210</v>
      </c>
      <c r="W91" s="202">
        <f t="shared" si="26"/>
        <v>1854.0117260273976</v>
      </c>
      <c r="X91" s="32">
        <f t="shared" si="29"/>
        <v>1891.0919605479455</v>
      </c>
      <c r="Y91" s="32">
        <f t="shared" si="30"/>
        <v>1928.1721950684935</v>
      </c>
      <c r="Z91" s="94">
        <v>450</v>
      </c>
      <c r="AA91" s="94"/>
      <c r="AB91" s="94"/>
      <c r="AF91"/>
      <c r="AH91" s="94"/>
      <c r="AI91" s="20">
        <v>71</v>
      </c>
      <c r="AJ91" s="115" t="s">
        <v>4409</v>
      </c>
      <c r="AK91" s="115">
        <v>2648000</v>
      </c>
      <c r="AL91" s="20">
        <v>1</v>
      </c>
      <c r="AM91" s="97">
        <f t="shared" si="24"/>
        <v>1211</v>
      </c>
      <c r="AN91" s="115">
        <f t="shared" si="23"/>
        <v>3206728000</v>
      </c>
      <c r="AO91" s="20" t="s">
        <v>4410</v>
      </c>
      <c r="AV91" s="94" t="s">
        <v>25</v>
      </c>
    </row>
    <row r="92" spans="4:53">
      <c r="D92" s="499"/>
      <c r="E92" s="499"/>
      <c r="K92" s="499"/>
      <c r="L92" s="202" t="s">
        <v>5416</v>
      </c>
      <c r="M92" s="1">
        <v>12297318</v>
      </c>
      <c r="R92" s="167"/>
      <c r="S92" s="19" t="s">
        <v>5656</v>
      </c>
      <c r="T92" s="192">
        <f>T91-4</f>
        <v>670</v>
      </c>
      <c r="U92" s="186" t="s">
        <v>5657</v>
      </c>
      <c r="V92" s="202">
        <v>1175</v>
      </c>
      <c r="W92" s="202">
        <f t="shared" si="26"/>
        <v>1796.7778082191783</v>
      </c>
      <c r="X92" s="32">
        <f t="shared" si="29"/>
        <v>1832.7133643835618</v>
      </c>
      <c r="Y92" s="32">
        <f t="shared" si="30"/>
        <v>1868.6489205479454</v>
      </c>
      <c r="Z92" s="94">
        <v>27754</v>
      </c>
      <c r="AA92" s="94"/>
      <c r="AB92" s="94"/>
      <c r="AF92"/>
      <c r="AH92" s="94"/>
      <c r="AI92" s="20">
        <v>72</v>
      </c>
      <c r="AJ92" s="115" t="s">
        <v>4182</v>
      </c>
      <c r="AK92" s="115">
        <v>615000</v>
      </c>
      <c r="AL92" s="20">
        <v>4</v>
      </c>
      <c r="AM92" s="97">
        <f t="shared" si="24"/>
        <v>1210</v>
      </c>
      <c r="AN92" s="115">
        <f t="shared" si="23"/>
        <v>744150000</v>
      </c>
      <c r="AO92" s="20"/>
      <c r="AW92" t="s">
        <v>25</v>
      </c>
    </row>
    <row r="93" spans="4:53">
      <c r="D93" s="499"/>
      <c r="E93" s="499"/>
      <c r="K93" s="499"/>
      <c r="L93" s="202" t="s">
        <v>5417</v>
      </c>
      <c r="M93" s="1">
        <v>8959644</v>
      </c>
      <c r="R93" s="167"/>
      <c r="S93" s="19" t="s">
        <v>5658</v>
      </c>
      <c r="T93" s="192">
        <f>T92-3</f>
        <v>667</v>
      </c>
      <c r="U93" s="186" t="s">
        <v>5659</v>
      </c>
      <c r="V93" s="202">
        <v>1148</v>
      </c>
      <c r="W93" s="202">
        <f t="shared" si="26"/>
        <v>1752.848175342466</v>
      </c>
      <c r="X93" s="32">
        <f t="shared" si="29"/>
        <v>1787.9051388493153</v>
      </c>
      <c r="Y93" s="32">
        <f t="shared" si="30"/>
        <v>1822.9621023561647</v>
      </c>
      <c r="Z93" s="94">
        <v>8020</v>
      </c>
      <c r="AA93" s="94"/>
      <c r="AB93" s="94"/>
      <c r="AF93"/>
      <c r="AH93" s="94"/>
      <c r="AI93" s="20">
        <v>73</v>
      </c>
      <c r="AJ93" s="115" t="s">
        <v>4420</v>
      </c>
      <c r="AK93" s="115">
        <v>14000000</v>
      </c>
      <c r="AL93" s="20">
        <v>2</v>
      </c>
      <c r="AM93" s="97">
        <f>AM94+AL93</f>
        <v>1206</v>
      </c>
      <c r="AN93" s="115">
        <f t="shared" si="23"/>
        <v>16884000000</v>
      </c>
      <c r="AO93" s="20"/>
    </row>
    <row r="94" spans="4:53">
      <c r="D94" s="499"/>
      <c r="E94" s="499"/>
      <c r="I94" s="94" t="s">
        <v>25</v>
      </c>
      <c r="K94" s="499"/>
      <c r="L94" s="202" t="s">
        <v>5418</v>
      </c>
      <c r="M94" s="111">
        <v>15154095.839328</v>
      </c>
      <c r="P94" s="114"/>
      <c r="R94" s="167"/>
      <c r="S94" s="19" t="s">
        <v>5662</v>
      </c>
      <c r="T94" s="192">
        <f>T93-1</f>
        <v>666</v>
      </c>
      <c r="U94" s="186" t="s">
        <v>5663</v>
      </c>
      <c r="V94" s="202">
        <v>1141</v>
      </c>
      <c r="W94" s="202">
        <f t="shared" si="26"/>
        <v>1741.2847890410958</v>
      </c>
      <c r="X94" s="32">
        <f t="shared" si="29"/>
        <v>1776.1104848219177</v>
      </c>
      <c r="Y94" s="32">
        <f t="shared" si="30"/>
        <v>1810.9361806027398</v>
      </c>
      <c r="Z94" s="94">
        <v>3695</v>
      </c>
      <c r="AA94" s="94"/>
      <c r="AB94" s="94"/>
      <c r="AI94" s="20">
        <v>74</v>
      </c>
      <c r="AJ94" s="115" t="s">
        <v>4424</v>
      </c>
      <c r="AK94" s="115">
        <v>1313000</v>
      </c>
      <c r="AL94" s="20">
        <v>0</v>
      </c>
      <c r="AM94" s="97">
        <f>AM95+AL94</f>
        <v>1204</v>
      </c>
      <c r="AN94" s="115">
        <f t="shared" si="23"/>
        <v>1580852000</v>
      </c>
      <c r="AO94" s="20"/>
      <c r="AR94" t="s">
        <v>25</v>
      </c>
    </row>
    <row r="95" spans="4:53">
      <c r="D95" s="499"/>
      <c r="E95" s="499"/>
      <c r="I95" s="94"/>
      <c r="K95" s="499"/>
      <c r="L95" s="202" t="s">
        <v>5423</v>
      </c>
      <c r="M95" s="111">
        <v>4108143</v>
      </c>
      <c r="R95" s="167"/>
      <c r="S95" s="19" t="s">
        <v>5660</v>
      </c>
      <c r="T95" s="192">
        <f>T94-1</f>
        <v>665</v>
      </c>
      <c r="U95" s="186" t="s">
        <v>6839</v>
      </c>
      <c r="V95" s="202">
        <v>1171</v>
      </c>
      <c r="W95" s="202">
        <f t="shared" si="26"/>
        <v>1786.1696109589043</v>
      </c>
      <c r="X95" s="32">
        <f t="shared" si="29"/>
        <v>1821.8930031780824</v>
      </c>
      <c r="Y95" s="32">
        <f t="shared" si="30"/>
        <v>1857.6163953972605</v>
      </c>
      <c r="Z95" s="94">
        <v>26580</v>
      </c>
      <c r="AI95" s="97">
        <v>75</v>
      </c>
      <c r="AJ95" s="111" t="s">
        <v>4424</v>
      </c>
      <c r="AK95" s="111">
        <v>2269000</v>
      </c>
      <c r="AL95" s="97">
        <v>1</v>
      </c>
      <c r="AM95" s="97">
        <f t="shared" ref="AM95:AM120" si="31">AM96+AL95</f>
        <v>1204</v>
      </c>
      <c r="AN95" s="115">
        <f t="shared" si="23"/>
        <v>2731876000</v>
      </c>
      <c r="AO95" s="97"/>
    </row>
    <row r="96" spans="4:53">
      <c r="D96" s="499"/>
      <c r="E96" s="499"/>
      <c r="I96" s="94" t="s">
        <v>25</v>
      </c>
      <c r="K96" s="499"/>
      <c r="L96" s="202" t="s">
        <v>5425</v>
      </c>
      <c r="M96" s="111">
        <v>6000000</v>
      </c>
      <c r="R96" s="167"/>
      <c r="S96" s="19" t="s">
        <v>5718</v>
      </c>
      <c r="T96" s="192">
        <f>T95-65</f>
        <v>600</v>
      </c>
      <c r="U96" s="186" t="s">
        <v>5719</v>
      </c>
      <c r="V96" s="202">
        <v>1255.0999999999999</v>
      </c>
      <c r="W96" s="202">
        <f t="shared" si="26"/>
        <v>1851.8673830136984</v>
      </c>
      <c r="X96" s="32">
        <f t="shared" ref="X96:X102" si="32">W96*(1+$X$19/100)</f>
        <v>1888.9047306739724</v>
      </c>
      <c r="Y96" s="32">
        <f t="shared" ref="Y96:Y102" si="33">W96*(1+$Y$19/100)</f>
        <v>1925.9420783342464</v>
      </c>
      <c r="Z96" s="94"/>
      <c r="AA96" s="94"/>
      <c r="AB96" s="94">
        <v>80580</v>
      </c>
      <c r="AI96" s="97">
        <v>76</v>
      </c>
      <c r="AJ96" s="111" t="s">
        <v>4183</v>
      </c>
      <c r="AK96" s="111">
        <v>750000</v>
      </c>
      <c r="AL96" s="97">
        <v>4</v>
      </c>
      <c r="AM96" s="97">
        <f t="shared" si="31"/>
        <v>1203</v>
      </c>
      <c r="AN96" s="115">
        <f t="shared" ref="AN96:AN120" si="34">AK96*AM96</f>
        <v>902250000</v>
      </c>
      <c r="AO96" s="97"/>
      <c r="AR96" t="s">
        <v>25</v>
      </c>
    </row>
    <row r="97" spans="4:48">
      <c r="D97" s="499"/>
      <c r="E97" s="499"/>
      <c r="I97" s="292"/>
      <c r="K97" s="499"/>
      <c r="L97" s="202" t="s">
        <v>5429</v>
      </c>
      <c r="M97" s="111">
        <v>8301786</v>
      </c>
      <c r="N97" s="499"/>
      <c r="R97" s="167"/>
      <c r="S97" s="19" t="s">
        <v>6717</v>
      </c>
      <c r="T97" s="192">
        <f>T111-1169</f>
        <v>331</v>
      </c>
      <c r="U97" s="186" t="s">
        <v>6720</v>
      </c>
      <c r="V97" s="202">
        <v>436.6</v>
      </c>
      <c r="W97" s="202">
        <f t="shared" si="26"/>
        <v>554.09683506849331</v>
      </c>
      <c r="X97" s="32">
        <f t="shared" si="32"/>
        <v>565.17877176986315</v>
      </c>
      <c r="Y97" s="32">
        <f t="shared" si="33"/>
        <v>576.2607084712331</v>
      </c>
      <c r="Z97" s="364"/>
      <c r="AA97" s="364"/>
      <c r="AB97" s="364">
        <v>2217</v>
      </c>
      <c r="AI97" s="97">
        <v>77</v>
      </c>
      <c r="AJ97" s="111" t="s">
        <v>4429</v>
      </c>
      <c r="AK97" s="111">
        <v>1900000</v>
      </c>
      <c r="AL97" s="97">
        <v>3</v>
      </c>
      <c r="AM97" s="97">
        <f t="shared" si="31"/>
        <v>1199</v>
      </c>
      <c r="AN97" s="115">
        <f t="shared" si="34"/>
        <v>2278100000</v>
      </c>
      <c r="AO97" s="97"/>
    </row>
    <row r="98" spans="4:48">
      <c r="D98" s="499"/>
      <c r="E98" s="499"/>
      <c r="I98" s="94"/>
      <c r="K98" s="499"/>
      <c r="L98" s="202" t="s">
        <v>5433</v>
      </c>
      <c r="M98" s="111">
        <v>50725508.571864001</v>
      </c>
      <c r="N98" s="499"/>
      <c r="R98" s="167"/>
      <c r="S98" s="19" t="s">
        <v>6960</v>
      </c>
      <c r="T98" s="192">
        <f>T111-1471</f>
        <v>29</v>
      </c>
      <c r="U98" s="186" t="s">
        <v>6961</v>
      </c>
      <c r="V98" s="202">
        <v>379.6</v>
      </c>
      <c r="W98" s="202">
        <f t="shared" si="26"/>
        <v>393.81472000000002</v>
      </c>
      <c r="X98" s="32">
        <f t="shared" si="32"/>
        <v>401.69101440000003</v>
      </c>
      <c r="Y98" s="32">
        <f t="shared" si="33"/>
        <v>409.56730880000003</v>
      </c>
      <c r="Z98" s="364"/>
      <c r="AA98" s="364">
        <v>39404</v>
      </c>
      <c r="AB98" s="364"/>
      <c r="AI98" s="97">
        <v>78</v>
      </c>
      <c r="AJ98" s="111" t="s">
        <v>4442</v>
      </c>
      <c r="AK98" s="111">
        <v>6400000</v>
      </c>
      <c r="AL98" s="97">
        <v>1</v>
      </c>
      <c r="AM98" s="97">
        <f t="shared" si="31"/>
        <v>1196</v>
      </c>
      <c r="AN98" s="115">
        <f t="shared" si="34"/>
        <v>7654400000</v>
      </c>
      <c r="AO98" s="97"/>
    </row>
    <row r="99" spans="4:48">
      <c r="D99" s="499"/>
      <c r="E99" s="499"/>
      <c r="I99" s="366"/>
      <c r="K99" s="499"/>
      <c r="L99" s="202" t="s">
        <v>5434</v>
      </c>
      <c r="M99" s="111">
        <v>2281961.458596</v>
      </c>
      <c r="N99" s="499"/>
      <c r="R99" s="167"/>
      <c r="S99" s="19" t="s">
        <v>7012</v>
      </c>
      <c r="T99" s="192">
        <f>T111-1507</f>
        <v>-7</v>
      </c>
      <c r="U99" s="186" t="s">
        <v>7013</v>
      </c>
      <c r="V99" s="202">
        <v>374</v>
      </c>
      <c r="W99" s="202">
        <f t="shared" si="26"/>
        <v>377.67647123287674</v>
      </c>
      <c r="X99" s="32">
        <f t="shared" si="32"/>
        <v>385.23000065753428</v>
      </c>
      <c r="Y99" s="32">
        <f t="shared" si="33"/>
        <v>392.78353008219182</v>
      </c>
      <c r="Z99" s="94"/>
      <c r="AA99" s="94">
        <v>1476</v>
      </c>
      <c r="AB99" s="94"/>
      <c r="AI99" s="97">
        <v>79</v>
      </c>
      <c r="AJ99" s="111" t="s">
        <v>4440</v>
      </c>
      <c r="AK99" s="111">
        <v>5000</v>
      </c>
      <c r="AL99" s="97">
        <v>5</v>
      </c>
      <c r="AM99" s="97">
        <f t="shared" si="31"/>
        <v>1195</v>
      </c>
      <c r="AN99" s="115">
        <f t="shared" si="34"/>
        <v>5975000</v>
      </c>
      <c r="AO99" s="97"/>
      <c r="AQ99" t="s">
        <v>25</v>
      </c>
    </row>
    <row r="100" spans="4:48">
      <c r="D100" s="499"/>
      <c r="E100" s="499"/>
      <c r="I100" s="366"/>
      <c r="K100" s="499"/>
      <c r="L100" s="202" t="s">
        <v>5441</v>
      </c>
      <c r="M100" s="111">
        <v>10998285</v>
      </c>
      <c r="N100" s="499"/>
      <c r="R100" s="167"/>
      <c r="S100" s="19"/>
      <c r="T100" s="192"/>
      <c r="U100" s="186"/>
      <c r="V100" s="202"/>
      <c r="W100" s="202"/>
      <c r="X100" s="32"/>
      <c r="Y100" s="32"/>
      <c r="Z100" s="491"/>
      <c r="AA100" s="491"/>
      <c r="AB100" s="491"/>
      <c r="AI100" s="97">
        <v>80</v>
      </c>
      <c r="AJ100" s="111" t="s">
        <v>4465</v>
      </c>
      <c r="AK100" s="111">
        <v>-1750148</v>
      </c>
      <c r="AL100" s="97">
        <v>1</v>
      </c>
      <c r="AM100" s="97">
        <f t="shared" si="31"/>
        <v>1190</v>
      </c>
      <c r="AN100" s="115">
        <f t="shared" si="34"/>
        <v>-2082676120</v>
      </c>
      <c r="AO100" s="97"/>
    </row>
    <row r="101" spans="4:48">
      <c r="D101" s="499"/>
      <c r="E101" s="499"/>
      <c r="I101" s="366"/>
      <c r="K101" s="499"/>
      <c r="L101" s="202" t="s">
        <v>5442</v>
      </c>
      <c r="M101" s="111">
        <v>983018.96187300002</v>
      </c>
      <c r="N101" s="499"/>
      <c r="R101" s="167"/>
      <c r="S101" s="19"/>
      <c r="T101" s="192"/>
      <c r="U101" s="186"/>
      <c r="V101" s="202"/>
      <c r="W101" s="202">
        <f>V101*(1+$S$107+$R$15*T101/36500)</f>
        <v>0</v>
      </c>
      <c r="X101" s="32">
        <f t="shared" si="32"/>
        <v>0</v>
      </c>
      <c r="Y101" s="32">
        <f t="shared" si="33"/>
        <v>0</v>
      </c>
      <c r="Z101" s="94"/>
      <c r="AA101" s="94"/>
      <c r="AB101" s="94"/>
      <c r="AI101" s="97">
        <v>81</v>
      </c>
      <c r="AJ101" s="111" t="s">
        <v>4468</v>
      </c>
      <c r="AK101" s="111">
        <v>400000</v>
      </c>
      <c r="AL101" s="97">
        <v>0</v>
      </c>
      <c r="AM101" s="97">
        <f t="shared" si="31"/>
        <v>1189</v>
      </c>
      <c r="AN101" s="115">
        <f t="shared" si="34"/>
        <v>475600000</v>
      </c>
      <c r="AO101" s="97"/>
    </row>
    <row r="102" spans="4:48">
      <c r="D102" s="499"/>
      <c r="E102" s="499"/>
      <c r="I102" s="94"/>
      <c r="K102" s="94"/>
      <c r="L102" s="202" t="s">
        <v>5444</v>
      </c>
      <c r="M102" s="111">
        <v>17049271.032000002</v>
      </c>
      <c r="N102" s="499"/>
      <c r="R102" s="167"/>
      <c r="S102" s="166"/>
      <c r="T102" s="111"/>
      <c r="U102" s="111"/>
      <c r="V102" s="166" t="s">
        <v>25</v>
      </c>
      <c r="W102" s="202" t="e">
        <f>V102*(1+$S$107+$R$15*T102/36500)</f>
        <v>#VALUE!</v>
      </c>
      <c r="X102" s="32" t="e">
        <f t="shared" si="32"/>
        <v>#VALUE!</v>
      </c>
      <c r="Y102" s="32" t="e">
        <f t="shared" si="33"/>
        <v>#VALUE!</v>
      </c>
      <c r="AA102" t="s">
        <v>25</v>
      </c>
      <c r="AI102" s="97">
        <v>82</v>
      </c>
      <c r="AJ102" s="111" t="s">
        <v>4468</v>
      </c>
      <c r="AK102" s="111">
        <v>-2105421</v>
      </c>
      <c r="AL102" s="97">
        <v>1</v>
      </c>
      <c r="AM102" s="97">
        <f t="shared" si="31"/>
        <v>1189</v>
      </c>
      <c r="AN102" s="115">
        <f t="shared" si="34"/>
        <v>-2503345569</v>
      </c>
      <c r="AO102" s="97"/>
      <c r="AP102" t="s">
        <v>25</v>
      </c>
    </row>
    <row r="103" spans="4:48">
      <c r="I103" s="94"/>
      <c r="K103" s="94"/>
      <c r="L103" s="202" t="s">
        <v>5447</v>
      </c>
      <c r="M103" s="111">
        <v>6829998</v>
      </c>
      <c r="N103" s="499"/>
      <c r="R103" s="111">
        <f>SUM(N39:N39)-SUM(R80:R102)</f>
        <v>3848834.7462978996</v>
      </c>
      <c r="S103" s="166"/>
      <c r="T103" s="166"/>
      <c r="U103" s="166"/>
      <c r="V103" s="166"/>
      <c r="W103" s="166"/>
      <c r="X103" s="32"/>
      <c r="Y103" s="32"/>
      <c r="AA103" t="s">
        <v>25</v>
      </c>
      <c r="AB103" t="s">
        <v>25</v>
      </c>
      <c r="AI103" s="97">
        <v>83</v>
      </c>
      <c r="AJ103" s="111" t="s">
        <v>4471</v>
      </c>
      <c r="AK103" s="111">
        <v>-5527618</v>
      </c>
      <c r="AL103" s="97">
        <v>0</v>
      </c>
      <c r="AM103" s="97">
        <f t="shared" si="31"/>
        <v>1188</v>
      </c>
      <c r="AN103" s="115">
        <f t="shared" si="34"/>
        <v>-6566810184</v>
      </c>
      <c r="AO103" s="97"/>
    </row>
    <row r="104" spans="4:48">
      <c r="I104" s="94"/>
      <c r="K104" s="94"/>
      <c r="L104" s="202" t="s">
        <v>4186</v>
      </c>
      <c r="M104" s="111">
        <v>6982608.8207999999</v>
      </c>
      <c r="N104" s="499"/>
      <c r="S104" s="113"/>
      <c r="T104" s="113"/>
      <c r="U104" s="113" t="s">
        <v>25</v>
      </c>
      <c r="V104" s="113" t="s">
        <v>25</v>
      </c>
      <c r="W104" s="113" t="s">
        <v>25</v>
      </c>
      <c r="X104" s="189" t="s">
        <v>25</v>
      </c>
      <c r="Y104" s="189"/>
      <c r="AB104" t="s">
        <v>25</v>
      </c>
      <c r="AI104" s="97">
        <v>84</v>
      </c>
      <c r="AJ104" s="111" t="s">
        <v>4471</v>
      </c>
      <c r="AK104" s="111">
        <v>3900000</v>
      </c>
      <c r="AL104" s="97">
        <v>3</v>
      </c>
      <c r="AM104" s="97">
        <f t="shared" si="31"/>
        <v>1188</v>
      </c>
      <c r="AN104" s="115">
        <f t="shared" si="34"/>
        <v>4633200000</v>
      </c>
      <c r="AO104" s="97"/>
    </row>
    <row r="105" spans="4:48">
      <c r="I105" s="94"/>
      <c r="L105" s="202" t="s">
        <v>5464</v>
      </c>
      <c r="M105" s="111">
        <v>7510131.0216000006</v>
      </c>
      <c r="N105" s="499"/>
      <c r="R105" s="97" t="s">
        <v>913</v>
      </c>
      <c r="S105" s="97">
        <v>1.03E-2</v>
      </c>
      <c r="T105" s="26" t="s">
        <v>25</v>
      </c>
      <c r="U105" t="s">
        <v>25</v>
      </c>
      <c r="V105" s="94" t="s">
        <v>25</v>
      </c>
      <c r="W105" s="113" t="s">
        <v>25</v>
      </c>
      <c r="X105" s="189" t="s">
        <v>25</v>
      </c>
      <c r="Y105" s="189"/>
      <c r="AA105" t="s">
        <v>25</v>
      </c>
      <c r="AC105" s="94"/>
      <c r="AI105" s="97">
        <v>85</v>
      </c>
      <c r="AJ105" s="111" t="s">
        <v>4472</v>
      </c>
      <c r="AK105" s="111">
        <v>-3969754</v>
      </c>
      <c r="AL105" s="97">
        <v>1</v>
      </c>
      <c r="AM105" s="97">
        <f t="shared" si="31"/>
        <v>1185</v>
      </c>
      <c r="AN105" s="115">
        <f t="shared" si="34"/>
        <v>-4704158490</v>
      </c>
      <c r="AO105" s="97"/>
    </row>
    <row r="106" spans="4:48">
      <c r="L106" s="202" t="s">
        <v>5470</v>
      </c>
      <c r="M106" s="111">
        <v>10397191</v>
      </c>
      <c r="N106" s="499"/>
      <c r="R106" s="97" t="s">
        <v>61</v>
      </c>
      <c r="S106" s="97">
        <v>4.8999999999999998E-3</v>
      </c>
      <c r="U106" s="112" t="s">
        <v>25</v>
      </c>
      <c r="V106" s="94" t="s">
        <v>25</v>
      </c>
      <c r="W106" t="s">
        <v>25</v>
      </c>
      <c r="X106" s="189" t="s">
        <v>25</v>
      </c>
      <c r="Y106" s="189" t="s">
        <v>25</v>
      </c>
      <c r="Z106" s="94"/>
      <c r="AA106" s="94"/>
      <c r="AB106" s="94"/>
      <c r="AC106" s="94"/>
      <c r="AI106" s="97">
        <v>86</v>
      </c>
      <c r="AJ106" s="111" t="s">
        <v>4481</v>
      </c>
      <c r="AK106" s="111">
        <v>-25574455</v>
      </c>
      <c r="AL106" s="97">
        <v>0</v>
      </c>
      <c r="AM106" s="97">
        <f t="shared" si="31"/>
        <v>1184</v>
      </c>
      <c r="AN106" s="115">
        <f t="shared" si="34"/>
        <v>-30280154720</v>
      </c>
      <c r="AO106" s="97"/>
      <c r="AQ106" t="s">
        <v>25</v>
      </c>
    </row>
    <row r="107" spans="4:48">
      <c r="I107" s="94"/>
      <c r="K107" s="368"/>
      <c r="L107" s="202" t="s">
        <v>5478</v>
      </c>
      <c r="M107" s="111">
        <v>195059.35799999998</v>
      </c>
      <c r="N107" s="499"/>
      <c r="R107" s="97" t="s">
        <v>6</v>
      </c>
      <c r="S107" s="97">
        <f>S105+S106</f>
        <v>1.52E-2</v>
      </c>
      <c r="U107" t="s">
        <v>25</v>
      </c>
      <c r="V107" s="94" t="s">
        <v>25</v>
      </c>
      <c r="W107" t="s">
        <v>25</v>
      </c>
      <c r="X107" s="189"/>
      <c r="Y107" s="189"/>
      <c r="Z107" s="94"/>
      <c r="AA107" s="94"/>
      <c r="AB107" s="94" t="s">
        <v>25</v>
      </c>
      <c r="AI107" s="97">
        <v>87</v>
      </c>
      <c r="AJ107" s="111" t="s">
        <v>4481</v>
      </c>
      <c r="AK107" s="111">
        <v>4000000</v>
      </c>
      <c r="AL107" s="97">
        <v>1</v>
      </c>
      <c r="AM107" s="97">
        <f t="shared" si="31"/>
        <v>1184</v>
      </c>
      <c r="AN107" s="115">
        <f t="shared" si="34"/>
        <v>4736000000</v>
      </c>
      <c r="AO107" s="97"/>
    </row>
    <row r="108" spans="4:48">
      <c r="I108" s="94"/>
      <c r="K108" s="368"/>
      <c r="L108" s="202" t="s">
        <v>5482</v>
      </c>
      <c r="M108" s="111">
        <v>744082</v>
      </c>
      <c r="N108" s="499"/>
      <c r="X108" s="189"/>
      <c r="Y108" s="189"/>
      <c r="AB108" t="s">
        <v>25</v>
      </c>
      <c r="AI108" s="97">
        <v>88</v>
      </c>
      <c r="AJ108" s="111" t="s">
        <v>958</v>
      </c>
      <c r="AK108" s="111">
        <v>-5000000</v>
      </c>
      <c r="AL108" s="97">
        <v>2</v>
      </c>
      <c r="AM108" s="97">
        <f t="shared" si="31"/>
        <v>1183</v>
      </c>
      <c r="AN108" s="115">
        <f t="shared" si="34"/>
        <v>-5915000000</v>
      </c>
      <c r="AO108" s="97"/>
    </row>
    <row r="109" spans="4:48" ht="30">
      <c r="I109" s="94"/>
      <c r="K109" s="368"/>
      <c r="L109" s="202" t="s">
        <v>5484</v>
      </c>
      <c r="M109" s="111">
        <v>920308.446</v>
      </c>
      <c r="N109" s="499"/>
      <c r="R109" s="71" t="s">
        <v>4244</v>
      </c>
      <c r="S109" s="110"/>
      <c r="T109" s="110"/>
      <c r="U109" s="110"/>
      <c r="V109" s="166" t="s">
        <v>4305</v>
      </c>
      <c r="W109" s="36" t="s">
        <v>4307</v>
      </c>
      <c r="X109" s="32"/>
      <c r="Y109" s="32"/>
      <c r="Z109" s="94"/>
      <c r="AA109" s="94"/>
      <c r="AB109" s="94"/>
      <c r="AE109" s="94"/>
      <c r="AF109"/>
      <c r="AG109"/>
      <c r="AI109" s="97">
        <v>89</v>
      </c>
      <c r="AJ109" s="111" t="s">
        <v>4484</v>
      </c>
      <c r="AK109" s="111">
        <v>10000000</v>
      </c>
      <c r="AL109" s="97">
        <v>4</v>
      </c>
      <c r="AM109" s="97">
        <f t="shared" si="31"/>
        <v>1181</v>
      </c>
      <c r="AN109" s="115">
        <f t="shared" si="34"/>
        <v>11810000000</v>
      </c>
      <c r="AO109" s="97"/>
    </row>
    <row r="110" spans="4:48">
      <c r="I110" s="94"/>
      <c r="K110" s="368"/>
      <c r="L110" s="202" t="s">
        <v>5485</v>
      </c>
      <c r="M110" s="111">
        <v>4635809.8416840006</v>
      </c>
      <c r="N110" s="499"/>
      <c r="R110" s="110" t="s">
        <v>267</v>
      </c>
      <c r="S110" s="110" t="s">
        <v>180</v>
      </c>
      <c r="T110" s="110" t="s">
        <v>183</v>
      </c>
      <c r="U110" s="110" t="s">
        <v>8</v>
      </c>
      <c r="V110" s="166"/>
      <c r="W110" s="97"/>
      <c r="X110" s="32">
        <v>2</v>
      </c>
      <c r="Y110" s="32">
        <v>4</v>
      </c>
      <c r="AD110" t="s">
        <v>25</v>
      </c>
      <c r="AI110" s="97">
        <v>90</v>
      </c>
      <c r="AJ110" s="111" t="s">
        <v>4486</v>
      </c>
      <c r="AK110" s="111">
        <v>-5241937</v>
      </c>
      <c r="AL110" s="97">
        <v>0</v>
      </c>
      <c r="AM110" s="97">
        <f t="shared" si="31"/>
        <v>1177</v>
      </c>
      <c r="AN110" s="115">
        <f t="shared" si="34"/>
        <v>-6169759849</v>
      </c>
      <c r="AO110" s="97"/>
    </row>
    <row r="111" spans="4:48">
      <c r="I111" s="94"/>
      <c r="K111" s="368"/>
      <c r="L111" s="202" t="s">
        <v>5514</v>
      </c>
      <c r="M111" s="111">
        <v>58508002.009000003</v>
      </c>
      <c r="R111" s="35">
        <v>38474780.062005915</v>
      </c>
      <c r="S111" s="5" t="s">
        <v>4126</v>
      </c>
      <c r="T111" s="5">
        <v>1500</v>
      </c>
      <c r="U111" s="5" t="s">
        <v>5502</v>
      </c>
      <c r="V111" s="166">
        <v>192</v>
      </c>
      <c r="W111" s="97">
        <f t="shared" ref="W111:W143" si="35">V111*(1+$S$107+$R$15*T111/36500)</f>
        <v>415.84990684931512</v>
      </c>
      <c r="X111" s="32">
        <f t="shared" ref="X111:X117" si="36">W111*(1+$X$19/100)</f>
        <v>424.1669049863014</v>
      </c>
      <c r="Y111" s="32">
        <f t="shared" ref="Y111:Y117" si="37">W111*(1+$Y$19/100)</f>
        <v>432.48390312328775</v>
      </c>
      <c r="Z111" s="94">
        <v>200000</v>
      </c>
      <c r="AI111" s="97">
        <v>91</v>
      </c>
      <c r="AJ111" s="111" t="s">
        <v>4486</v>
      </c>
      <c r="AK111" s="111">
        <v>21900000</v>
      </c>
      <c r="AL111" s="97">
        <v>2</v>
      </c>
      <c r="AM111" s="97">
        <f t="shared" si="31"/>
        <v>1177</v>
      </c>
      <c r="AN111" s="115">
        <f t="shared" si="34"/>
        <v>25776300000</v>
      </c>
      <c r="AO111" s="97"/>
      <c r="AQ111" t="s">
        <v>25</v>
      </c>
      <c r="AV111"/>
    </row>
    <row r="112" spans="4:48">
      <c r="I112" s="94"/>
      <c r="K112" s="368"/>
      <c r="L112" s="202" t="s">
        <v>5516</v>
      </c>
      <c r="M112" s="111">
        <v>2245515.5410799999</v>
      </c>
      <c r="R112" s="167">
        <v>433201621</v>
      </c>
      <c r="S112" s="202" t="s">
        <v>5506</v>
      </c>
      <c r="T112" s="202">
        <f>T111-695</f>
        <v>805</v>
      </c>
      <c r="U112" s="202" t="s">
        <v>5513</v>
      </c>
      <c r="V112" s="202">
        <v>1995.5</v>
      </c>
      <c r="W112" s="97">
        <f t="shared" si="35"/>
        <v>3258.1211890410959</v>
      </c>
      <c r="X112" s="32">
        <f t="shared" si="36"/>
        <v>3323.2836128219178</v>
      </c>
      <c r="Y112" s="32">
        <f t="shared" si="37"/>
        <v>3388.4460366027397</v>
      </c>
      <c r="Z112">
        <v>21875</v>
      </c>
      <c r="AA112" t="s">
        <v>25</v>
      </c>
      <c r="AI112" s="97">
        <v>92</v>
      </c>
      <c r="AJ112" s="111" t="s">
        <v>4493</v>
      </c>
      <c r="AK112" s="111">
        <v>-15000000</v>
      </c>
      <c r="AL112" s="97">
        <v>0</v>
      </c>
      <c r="AM112" s="97">
        <f t="shared" si="31"/>
        <v>1175</v>
      </c>
      <c r="AN112" s="115">
        <f t="shared" si="34"/>
        <v>-17625000000</v>
      </c>
      <c r="AO112" s="97"/>
      <c r="AP112" t="s">
        <v>25</v>
      </c>
    </row>
    <row r="113" spans="9:47">
      <c r="I113" s="94"/>
      <c r="K113" s="368"/>
      <c r="L113" s="202" t="s">
        <v>5518</v>
      </c>
      <c r="M113" s="111">
        <v>18404699.3442</v>
      </c>
      <c r="R113" s="167"/>
      <c r="S113" s="202" t="s">
        <v>5676</v>
      </c>
      <c r="T113" s="202">
        <f>-124</f>
        <v>-124</v>
      </c>
      <c r="U113" s="202" t="s">
        <v>5679</v>
      </c>
      <c r="V113" s="202">
        <v>1354.1</v>
      </c>
      <c r="W113" s="97">
        <f t="shared" si="35"/>
        <v>1245.8758761643835</v>
      </c>
      <c r="X113" s="32">
        <f t="shared" si="36"/>
        <v>1270.7933936876711</v>
      </c>
      <c r="Y113" s="32">
        <f t="shared" si="37"/>
        <v>1295.7109112109588</v>
      </c>
      <c r="Z113" s="94"/>
      <c r="AA113" s="94">
        <v>22000</v>
      </c>
      <c r="AB113" s="94">
        <f t="shared" ref="AB113:AB118" si="38">AA113*3</f>
        <v>66000</v>
      </c>
      <c r="AI113" s="97">
        <v>93</v>
      </c>
      <c r="AJ113" s="111" t="s">
        <v>4493</v>
      </c>
      <c r="AK113" s="111">
        <v>3000000</v>
      </c>
      <c r="AL113" s="97">
        <v>1</v>
      </c>
      <c r="AM113" s="97">
        <f t="shared" si="31"/>
        <v>1175</v>
      </c>
      <c r="AN113" s="115">
        <f t="shared" si="34"/>
        <v>3525000000</v>
      </c>
      <c r="AO113" s="97"/>
    </row>
    <row r="114" spans="9:47">
      <c r="K114" t="s">
        <v>5395</v>
      </c>
      <c r="L114" s="202" t="s">
        <v>5521</v>
      </c>
      <c r="M114" s="111">
        <v>2264658.5922190002</v>
      </c>
      <c r="R114" s="167"/>
      <c r="S114" s="202" t="s">
        <v>5680</v>
      </c>
      <c r="T114" s="202">
        <f>T113-8</f>
        <v>-132</v>
      </c>
      <c r="U114" s="202" t="s">
        <v>5695</v>
      </c>
      <c r="V114" s="202">
        <v>1266</v>
      </c>
      <c r="W114" s="97">
        <f t="shared" si="35"/>
        <v>1157.0476931506851</v>
      </c>
      <c r="X114" s="32">
        <f t="shared" si="36"/>
        <v>1180.1886470136988</v>
      </c>
      <c r="Y114" s="32">
        <f t="shared" si="37"/>
        <v>1203.3296008767124</v>
      </c>
      <c r="Z114" s="94"/>
      <c r="AA114" s="94">
        <v>62174</v>
      </c>
      <c r="AB114" s="363">
        <f t="shared" si="38"/>
        <v>186522</v>
      </c>
      <c r="AI114" s="97">
        <v>94</v>
      </c>
      <c r="AJ114" s="111" t="s">
        <v>4496</v>
      </c>
      <c r="AK114" s="111">
        <v>-2103736</v>
      </c>
      <c r="AL114" s="97">
        <v>0</v>
      </c>
      <c r="AM114" s="97">
        <f t="shared" si="31"/>
        <v>1174</v>
      </c>
      <c r="AN114" s="115">
        <f t="shared" si="34"/>
        <v>-2469786064</v>
      </c>
      <c r="AO114" s="97"/>
    </row>
    <row r="115" spans="9:47">
      <c r="K115" s="272" t="s">
        <v>5396</v>
      </c>
      <c r="L115" s="202" t="s">
        <v>5523</v>
      </c>
      <c r="M115" s="111">
        <v>22877413.789960001</v>
      </c>
      <c r="R115" s="167"/>
      <c r="S115" s="202" t="s">
        <v>5696</v>
      </c>
      <c r="T115" s="202">
        <f>T114-13</f>
        <v>-145</v>
      </c>
      <c r="U115" s="202" t="s">
        <v>6167</v>
      </c>
      <c r="V115" s="202">
        <v>1275</v>
      </c>
      <c r="W115" s="97">
        <f t="shared" si="35"/>
        <v>1152.5580821917811</v>
      </c>
      <c r="X115" s="32">
        <f t="shared" si="36"/>
        <v>1175.6092438356168</v>
      </c>
      <c r="Y115" s="32">
        <f t="shared" si="37"/>
        <v>1198.6604054794523</v>
      </c>
      <c r="Z115" s="94"/>
      <c r="AA115" s="94">
        <v>6826</v>
      </c>
      <c r="AB115" s="363">
        <f t="shared" si="38"/>
        <v>20478</v>
      </c>
      <c r="AI115" s="97">
        <v>95</v>
      </c>
      <c r="AJ115" s="111" t="s">
        <v>4496</v>
      </c>
      <c r="AK115" s="111">
        <v>220000</v>
      </c>
      <c r="AL115" s="97">
        <v>3</v>
      </c>
      <c r="AM115" s="97">
        <f t="shared" si="31"/>
        <v>1174</v>
      </c>
      <c r="AN115" s="115">
        <f t="shared" si="34"/>
        <v>258280000</v>
      </c>
      <c r="AO115" s="97"/>
      <c r="AS115" s="94"/>
      <c r="AT115" s="94"/>
      <c r="AU115"/>
    </row>
    <row r="116" spans="9:47">
      <c r="K116" t="s">
        <v>5397</v>
      </c>
      <c r="L116" s="202" t="s">
        <v>5526</v>
      </c>
      <c r="M116" s="111">
        <v>2362539.4373280001</v>
      </c>
      <c r="N116" s="94"/>
      <c r="R116" s="167"/>
      <c r="S116" s="202" t="s">
        <v>6168</v>
      </c>
      <c r="T116" s="202">
        <f>T115-117</f>
        <v>-262</v>
      </c>
      <c r="U116" s="202" t="s">
        <v>6169</v>
      </c>
      <c r="V116" s="202">
        <v>1310</v>
      </c>
      <c r="W116" s="97">
        <f t="shared" si="35"/>
        <v>1066.6199452054798</v>
      </c>
      <c r="X116" s="32">
        <f t="shared" si="36"/>
        <v>1087.9523441095894</v>
      </c>
      <c r="Y116" s="32">
        <f t="shared" si="37"/>
        <v>1109.284743013699</v>
      </c>
      <c r="Z116" s="94"/>
      <c r="AA116" s="94">
        <v>22240</v>
      </c>
      <c r="AB116" s="363">
        <f t="shared" si="38"/>
        <v>66720</v>
      </c>
      <c r="AI116" s="97">
        <v>96</v>
      </c>
      <c r="AJ116" s="111" t="s">
        <v>4505</v>
      </c>
      <c r="AK116" s="111">
        <v>4000000</v>
      </c>
      <c r="AL116" s="97">
        <v>1</v>
      </c>
      <c r="AM116" s="97">
        <f t="shared" si="31"/>
        <v>1171</v>
      </c>
      <c r="AN116" s="115">
        <f t="shared" si="34"/>
        <v>4684000000</v>
      </c>
      <c r="AO116" s="97"/>
    </row>
    <row r="117" spans="9:47">
      <c r="K117" t="s">
        <v>4060</v>
      </c>
      <c r="L117" s="202" t="s">
        <v>5527</v>
      </c>
      <c r="M117" s="111">
        <v>16042676.656608</v>
      </c>
      <c r="N117" s="94"/>
      <c r="R117" s="167"/>
      <c r="S117" s="202" t="s">
        <v>6174</v>
      </c>
      <c r="T117" s="202">
        <f>T116-4</f>
        <v>-266</v>
      </c>
      <c r="U117" s="202" t="s">
        <v>6291</v>
      </c>
      <c r="V117" s="202">
        <v>1388</v>
      </c>
      <c r="W117" s="97">
        <f t="shared" si="35"/>
        <v>1125.8695452054797</v>
      </c>
      <c r="X117" s="32">
        <f t="shared" si="36"/>
        <v>1148.3869361095892</v>
      </c>
      <c r="Y117" s="32">
        <f t="shared" si="37"/>
        <v>1170.9043270136988</v>
      </c>
      <c r="Z117" s="94"/>
      <c r="AA117" s="94">
        <v>356260</v>
      </c>
      <c r="AB117" s="363">
        <f t="shared" si="38"/>
        <v>1068780</v>
      </c>
      <c r="AI117" s="97">
        <v>97</v>
      </c>
      <c r="AJ117" s="111" t="s">
        <v>4509</v>
      </c>
      <c r="AK117" s="111">
        <v>-9000000</v>
      </c>
      <c r="AL117" s="97">
        <v>0</v>
      </c>
      <c r="AM117" s="97">
        <f t="shared" si="31"/>
        <v>1170</v>
      </c>
      <c r="AN117" s="115">
        <f t="shared" si="34"/>
        <v>-10530000000</v>
      </c>
      <c r="AO117" s="97"/>
      <c r="AQ117" t="s">
        <v>25</v>
      </c>
    </row>
    <row r="118" spans="9:47">
      <c r="K118" t="s">
        <v>5398</v>
      </c>
      <c r="L118" s="202" t="s">
        <v>5528</v>
      </c>
      <c r="M118" s="111">
        <v>18403291.448284</v>
      </c>
      <c r="N118" s="94"/>
      <c r="R118" s="167"/>
      <c r="S118" s="202" t="s">
        <v>6296</v>
      </c>
      <c r="T118" s="202">
        <f>T117-39</f>
        <v>-305</v>
      </c>
      <c r="U118" s="202" t="s">
        <v>6591</v>
      </c>
      <c r="V118" s="202">
        <v>1702</v>
      </c>
      <c r="W118" s="97">
        <f t="shared" si="35"/>
        <v>1329.6490301369865</v>
      </c>
      <c r="X118" s="32">
        <f t="shared" ref="X118:X124" si="39">W118*(1+$X$19/100)</f>
        <v>1356.2420107397263</v>
      </c>
      <c r="Y118" s="32">
        <f t="shared" ref="Y118:Y124" si="40">W118*(1+$Y$19/100)</f>
        <v>1382.8349913424661</v>
      </c>
      <c r="Z118" s="300"/>
      <c r="AA118" s="300">
        <v>1001</v>
      </c>
      <c r="AB118" s="363">
        <f t="shared" si="38"/>
        <v>3003</v>
      </c>
      <c r="AI118" s="97">
        <v>98</v>
      </c>
      <c r="AJ118" s="111" t="s">
        <v>4509</v>
      </c>
      <c r="AK118" s="111">
        <v>13900000</v>
      </c>
      <c r="AL118" s="97">
        <v>2</v>
      </c>
      <c r="AM118" s="97">
        <f t="shared" si="31"/>
        <v>1170</v>
      </c>
      <c r="AN118" s="115">
        <f t="shared" si="34"/>
        <v>16263000000</v>
      </c>
      <c r="AO118" s="97"/>
    </row>
    <row r="119" spans="9:47">
      <c r="K119" s="272" t="s">
        <v>5399</v>
      </c>
      <c r="L119" s="202" t="s">
        <v>5531</v>
      </c>
      <c r="M119" s="111">
        <v>10561447.246918</v>
      </c>
      <c r="N119" s="94"/>
      <c r="R119" s="167"/>
      <c r="S119" s="202" t="s">
        <v>6594</v>
      </c>
      <c r="T119" s="202">
        <f>T111-1086</f>
        <v>414</v>
      </c>
      <c r="U119" s="202" t="s">
        <v>6778</v>
      </c>
      <c r="V119" s="202">
        <v>518</v>
      </c>
      <c r="W119" s="97">
        <f t="shared" si="35"/>
        <v>690.38472328767125</v>
      </c>
      <c r="X119" s="32">
        <f t="shared" si="39"/>
        <v>704.19241775342471</v>
      </c>
      <c r="Y119" s="32">
        <f t="shared" si="40"/>
        <v>718.00011221917816</v>
      </c>
      <c r="Z119" s="319"/>
      <c r="AA119" s="319"/>
      <c r="AB119" s="363">
        <v>229715</v>
      </c>
      <c r="AI119" s="97">
        <v>99</v>
      </c>
      <c r="AJ119" s="111" t="s">
        <v>4513</v>
      </c>
      <c r="AK119" s="111">
        <v>-8127577</v>
      </c>
      <c r="AL119" s="97">
        <v>1</v>
      </c>
      <c r="AM119" s="97">
        <f t="shared" si="31"/>
        <v>1168</v>
      </c>
      <c r="AN119" s="115">
        <f t="shared" si="34"/>
        <v>-9493009936</v>
      </c>
      <c r="AO119" s="97"/>
      <c r="AP119" t="s">
        <v>25</v>
      </c>
      <c r="AR119" t="s">
        <v>25</v>
      </c>
    </row>
    <row r="120" spans="9:47">
      <c r="K120" t="s">
        <v>5400</v>
      </c>
      <c r="L120" s="202" t="s">
        <v>5532</v>
      </c>
      <c r="M120" s="111">
        <v>1226811.9176660001</v>
      </c>
      <c r="N120" s="94"/>
      <c r="P120" s="94"/>
      <c r="R120" s="167"/>
      <c r="S120" s="202" t="s">
        <v>6786</v>
      </c>
      <c r="T120" s="202">
        <f>T111-1296</f>
        <v>204</v>
      </c>
      <c r="U120" s="202" t="s">
        <v>6787</v>
      </c>
      <c r="V120" s="202">
        <v>531</v>
      </c>
      <c r="W120" s="97">
        <f t="shared" si="35"/>
        <v>622.16906301369863</v>
      </c>
      <c r="X120" s="32">
        <f t="shared" si="39"/>
        <v>634.61244427397264</v>
      </c>
      <c r="Y120" s="32">
        <f t="shared" si="40"/>
        <v>647.05582553424665</v>
      </c>
      <c r="Z120" s="390"/>
      <c r="AA120" s="390"/>
      <c r="AB120" s="390">
        <v>152444</v>
      </c>
      <c r="AI120" s="97">
        <v>100</v>
      </c>
      <c r="AJ120" s="111" t="s">
        <v>3654</v>
      </c>
      <c r="AK120" s="111">
        <v>15792549</v>
      </c>
      <c r="AL120" s="97">
        <v>3</v>
      </c>
      <c r="AM120" s="97">
        <f t="shared" si="31"/>
        <v>1167</v>
      </c>
      <c r="AN120" s="115">
        <f t="shared" si="34"/>
        <v>18429904683</v>
      </c>
      <c r="AO120" s="97"/>
      <c r="AP120" t="s">
        <v>25</v>
      </c>
      <c r="AQ120" t="s">
        <v>25</v>
      </c>
    </row>
    <row r="121" spans="9:47">
      <c r="K121" t="s">
        <v>5401</v>
      </c>
      <c r="L121" s="202" t="s">
        <v>5533</v>
      </c>
      <c r="M121" s="111">
        <v>39373959.190266006</v>
      </c>
      <c r="N121" s="94"/>
      <c r="P121" s="94"/>
      <c r="Q121" s="112"/>
      <c r="R121" s="167"/>
      <c r="S121" s="202" t="s">
        <v>6788</v>
      </c>
      <c r="T121" s="202">
        <f>T111-1297</f>
        <v>203</v>
      </c>
      <c r="U121" s="202" t="s">
        <v>6789</v>
      </c>
      <c r="V121" s="202">
        <v>508</v>
      </c>
      <c r="W121" s="97">
        <f t="shared" si="35"/>
        <v>594.83042191780828</v>
      </c>
      <c r="X121" s="32">
        <f t="shared" si="39"/>
        <v>606.72703035616451</v>
      </c>
      <c r="Y121" s="32">
        <f t="shared" si="40"/>
        <v>618.62363879452062</v>
      </c>
      <c r="Z121" s="408"/>
      <c r="AA121" s="408"/>
      <c r="AB121" s="408">
        <v>2680323</v>
      </c>
      <c r="AI121" s="97">
        <v>101</v>
      </c>
      <c r="AJ121" s="111" t="s">
        <v>4517</v>
      </c>
      <c r="AK121" s="111">
        <v>8800000</v>
      </c>
      <c r="AL121" s="97">
        <v>0</v>
      </c>
      <c r="AM121" s="97">
        <f t="shared" ref="AM121:AM126" si="41">AM122+AL121</f>
        <v>1164</v>
      </c>
      <c r="AN121" s="115">
        <f t="shared" ref="AN121:AN144" si="42">AK121*AM121</f>
        <v>10243200000</v>
      </c>
      <c r="AO121" s="97"/>
      <c r="AQ121" t="s">
        <v>25</v>
      </c>
    </row>
    <row r="122" spans="9:47" ht="17.25" customHeight="1">
      <c r="L122" s="202" t="s">
        <v>5538</v>
      </c>
      <c r="M122" s="111">
        <v>27703487.063980002</v>
      </c>
      <c r="P122" s="94"/>
      <c r="R122" s="167"/>
      <c r="S122" s="202" t="s">
        <v>6809</v>
      </c>
      <c r="T122" s="202">
        <f>T111-1310</f>
        <v>190</v>
      </c>
      <c r="U122" s="202" t="s">
        <v>6818</v>
      </c>
      <c r="V122" s="202">
        <v>523</v>
      </c>
      <c r="W122" s="97">
        <f t="shared" si="35"/>
        <v>607.1786410958905</v>
      </c>
      <c r="X122" s="32">
        <f t="shared" si="39"/>
        <v>619.32221391780831</v>
      </c>
      <c r="Y122" s="32">
        <f t="shared" si="40"/>
        <v>631.46578673972613</v>
      </c>
      <c r="Z122" s="414"/>
      <c r="AA122" s="414"/>
      <c r="AB122" s="414">
        <v>85807</v>
      </c>
      <c r="AI122" s="119">
        <v>102</v>
      </c>
      <c r="AJ122" s="77" t="s">
        <v>4517</v>
      </c>
      <c r="AK122" s="77">
        <v>13071612</v>
      </c>
      <c r="AL122" s="119">
        <v>1</v>
      </c>
      <c r="AM122" s="119">
        <f t="shared" si="41"/>
        <v>1164</v>
      </c>
      <c r="AN122" s="77">
        <f t="shared" si="42"/>
        <v>15215356368</v>
      </c>
      <c r="AO122" s="199" t="s">
        <v>4518</v>
      </c>
    </row>
    <row r="123" spans="9:47">
      <c r="K123" s="94"/>
      <c r="L123" s="202" t="s">
        <v>5539</v>
      </c>
      <c r="M123" s="111">
        <v>8738896.6890719999</v>
      </c>
      <c r="P123" s="94"/>
      <c r="R123" s="167"/>
      <c r="S123" s="202" t="s">
        <v>6821</v>
      </c>
      <c r="T123" s="202">
        <f>T111-1327</f>
        <v>173</v>
      </c>
      <c r="U123" s="202" t="s">
        <v>6822</v>
      </c>
      <c r="V123" s="202">
        <v>543</v>
      </c>
      <c r="W123" s="97">
        <f t="shared" si="35"/>
        <v>623.31639452054799</v>
      </c>
      <c r="X123" s="32">
        <f t="shared" si="39"/>
        <v>635.78272241095897</v>
      </c>
      <c r="Y123" s="32">
        <f t="shared" si="40"/>
        <v>648.24905030136995</v>
      </c>
      <c r="Z123" s="416"/>
      <c r="AA123" s="416"/>
      <c r="AB123" s="416">
        <v>286772</v>
      </c>
      <c r="AI123" s="87">
        <v>103</v>
      </c>
      <c r="AJ123" s="88" t="s">
        <v>4521</v>
      </c>
      <c r="AK123" s="88">
        <v>16727037</v>
      </c>
      <c r="AL123" s="87">
        <v>0</v>
      </c>
      <c r="AM123" s="87">
        <f t="shared" si="41"/>
        <v>1163</v>
      </c>
      <c r="AN123" s="88">
        <f t="shared" si="42"/>
        <v>19453544031</v>
      </c>
      <c r="AO123" s="87" t="s">
        <v>4528</v>
      </c>
    </row>
    <row r="124" spans="9:47">
      <c r="K124" s="94"/>
      <c r="L124" s="202" t="s">
        <v>4159</v>
      </c>
      <c r="M124" s="111">
        <v>348201.66738</v>
      </c>
      <c r="P124" t="s">
        <v>25</v>
      </c>
      <c r="R124" s="167"/>
      <c r="S124" s="202" t="s">
        <v>6846</v>
      </c>
      <c r="T124" s="202">
        <f>T111-1359</f>
        <v>141</v>
      </c>
      <c r="U124" s="202" t="s">
        <v>6857</v>
      </c>
      <c r="V124" s="202">
        <v>553</v>
      </c>
      <c r="W124" s="97">
        <f t="shared" si="35"/>
        <v>621.22050410958911</v>
      </c>
      <c r="X124" s="32">
        <f t="shared" si="39"/>
        <v>633.64491419178091</v>
      </c>
      <c r="Y124" s="32">
        <f t="shared" si="40"/>
        <v>646.06932427397271</v>
      </c>
      <c r="Z124" s="424"/>
      <c r="AA124" s="424"/>
      <c r="AB124" s="424">
        <v>390942</v>
      </c>
      <c r="AI124" s="97">
        <v>104</v>
      </c>
      <c r="AJ124" s="111" t="s">
        <v>4521</v>
      </c>
      <c r="AK124" s="111">
        <v>12000000</v>
      </c>
      <c r="AL124" s="97">
        <v>1</v>
      </c>
      <c r="AM124" s="97">
        <f t="shared" si="41"/>
        <v>1163</v>
      </c>
      <c r="AN124" s="115">
        <f t="shared" si="42"/>
        <v>13956000000</v>
      </c>
      <c r="AO124" s="97" t="s">
        <v>4529</v>
      </c>
    </row>
    <row r="125" spans="9:47">
      <c r="K125" s="94"/>
      <c r="L125" s="202" t="s">
        <v>5541</v>
      </c>
      <c r="M125" s="111">
        <v>4158090.8935679998</v>
      </c>
      <c r="P125" t="s">
        <v>25</v>
      </c>
      <c r="Q125" s="112"/>
      <c r="R125" s="167"/>
      <c r="S125" s="202" t="s">
        <v>6869</v>
      </c>
      <c r="T125" s="202">
        <f>T111-1373</f>
        <v>127</v>
      </c>
      <c r="U125" s="202" t="s">
        <v>6870</v>
      </c>
      <c r="V125" s="202">
        <v>460</v>
      </c>
      <c r="W125" s="97">
        <f t="shared" si="35"/>
        <v>511.80734246575349</v>
      </c>
      <c r="X125" s="32">
        <f t="shared" ref="X125:X143" si="43">W125*(1+$X$19/100)</f>
        <v>522.04348931506854</v>
      </c>
      <c r="Y125" s="32">
        <f t="shared" ref="Y125:Y143" si="44">W125*(1+$Y$19/100)</f>
        <v>532.27963616438365</v>
      </c>
      <c r="Z125" s="432"/>
      <c r="AA125" s="432"/>
      <c r="AB125" s="432">
        <v>221465</v>
      </c>
      <c r="AC125" s="94"/>
      <c r="AI125" s="87">
        <v>105</v>
      </c>
      <c r="AJ125" s="88" t="s">
        <v>4461</v>
      </c>
      <c r="AK125" s="88">
        <v>88697667</v>
      </c>
      <c r="AL125" s="87">
        <v>1</v>
      </c>
      <c r="AM125" s="87">
        <f t="shared" si="41"/>
        <v>1162</v>
      </c>
      <c r="AN125" s="88">
        <f t="shared" si="42"/>
        <v>103066689054</v>
      </c>
      <c r="AO125" s="87" t="s">
        <v>4530</v>
      </c>
      <c r="AQ125" t="s">
        <v>25</v>
      </c>
    </row>
    <row r="126" spans="9:47">
      <c r="K126" s="94"/>
      <c r="L126" s="202" t="s">
        <v>5545</v>
      </c>
      <c r="M126" s="111">
        <v>110770524.97879399</v>
      </c>
      <c r="P126" t="s">
        <v>25</v>
      </c>
      <c r="R126" s="167"/>
      <c r="S126" s="202" t="s">
        <v>6871</v>
      </c>
      <c r="T126" s="202">
        <f>T111-1376</f>
        <v>124</v>
      </c>
      <c r="U126" s="202" t="s">
        <v>6872</v>
      </c>
      <c r="V126" s="202">
        <v>462</v>
      </c>
      <c r="W126" s="97">
        <f t="shared" si="35"/>
        <v>512.96935890410964</v>
      </c>
      <c r="X126" s="32">
        <f t="shared" si="43"/>
        <v>523.22874608219183</v>
      </c>
      <c r="Y126" s="32">
        <f t="shared" si="44"/>
        <v>533.48813326027403</v>
      </c>
      <c r="Z126" s="432"/>
      <c r="AA126" s="432"/>
      <c r="AB126" s="432">
        <v>233212</v>
      </c>
      <c r="AC126" s="94" t="s">
        <v>25</v>
      </c>
      <c r="AI126" s="97">
        <v>106</v>
      </c>
      <c r="AJ126" s="111" t="s">
        <v>4464</v>
      </c>
      <c r="AK126" s="111">
        <v>101000</v>
      </c>
      <c r="AL126" s="97">
        <v>0</v>
      </c>
      <c r="AM126" s="97">
        <f t="shared" si="41"/>
        <v>1161</v>
      </c>
      <c r="AN126" s="115">
        <f t="shared" si="42"/>
        <v>117261000</v>
      </c>
      <c r="AO126" s="97"/>
      <c r="AR126" t="s">
        <v>25</v>
      </c>
    </row>
    <row r="127" spans="9:47">
      <c r="I127" t="s">
        <v>25</v>
      </c>
      <c r="K127" s="94"/>
      <c r="L127" s="202" t="s">
        <v>5556</v>
      </c>
      <c r="M127" s="111">
        <v>6684147.0064600008</v>
      </c>
      <c r="O127" t="s">
        <v>25</v>
      </c>
      <c r="R127" s="167"/>
      <c r="S127" s="202" t="s">
        <v>6873</v>
      </c>
      <c r="T127" s="202">
        <f>T111-1377</f>
        <v>123</v>
      </c>
      <c r="U127" s="202" t="s">
        <v>6874</v>
      </c>
      <c r="V127" s="202">
        <v>461</v>
      </c>
      <c r="W127" s="97">
        <f t="shared" si="35"/>
        <v>511.50539178082204</v>
      </c>
      <c r="X127" s="32">
        <f t="shared" si="43"/>
        <v>521.73549961643846</v>
      </c>
      <c r="Y127" s="32">
        <f t="shared" si="44"/>
        <v>531.96560745205488</v>
      </c>
      <c r="Z127" s="432"/>
      <c r="AA127" s="432"/>
      <c r="AB127" s="432">
        <v>271768</v>
      </c>
      <c r="AC127" s="94"/>
      <c r="AD127" t="s">
        <v>25</v>
      </c>
      <c r="AI127" s="147">
        <v>107</v>
      </c>
      <c r="AJ127" s="185" t="s">
        <v>4527</v>
      </c>
      <c r="AK127" s="185">
        <v>-48200</v>
      </c>
      <c r="AL127" s="147">
        <v>0</v>
      </c>
      <c r="AM127" s="147">
        <f t="shared" ref="AM127:AM177" si="45">AM128+AL127</f>
        <v>1161</v>
      </c>
      <c r="AN127" s="185">
        <f t="shared" si="42"/>
        <v>-55960200</v>
      </c>
      <c r="AO127" s="147" t="s">
        <v>4533</v>
      </c>
    </row>
    <row r="128" spans="9:47">
      <c r="K128" s="94"/>
      <c r="L128" s="202" t="s">
        <v>5559</v>
      </c>
      <c r="M128" s="111">
        <v>1826535.2307560001</v>
      </c>
      <c r="N128" s="94"/>
      <c r="P128" s="112"/>
      <c r="R128" s="167"/>
      <c r="S128" s="202" t="s">
        <v>6876</v>
      </c>
      <c r="T128" s="202">
        <f>T111-1387</f>
        <v>113</v>
      </c>
      <c r="U128" s="202" t="s">
        <v>6877</v>
      </c>
      <c r="V128" s="202">
        <v>443</v>
      </c>
      <c r="W128" s="97">
        <f t="shared" si="35"/>
        <v>488.13502465753436</v>
      </c>
      <c r="X128" s="32">
        <f t="shared" si="43"/>
        <v>497.89772515068506</v>
      </c>
      <c r="Y128" s="32">
        <f t="shared" si="44"/>
        <v>507.66042564383577</v>
      </c>
      <c r="Z128" s="436"/>
      <c r="AA128" s="436"/>
      <c r="AB128" s="436">
        <v>78749</v>
      </c>
      <c r="AC128" t="s">
        <v>25</v>
      </c>
      <c r="AI128" s="87">
        <v>108</v>
      </c>
      <c r="AJ128" s="88" t="s">
        <v>4527</v>
      </c>
      <c r="AK128" s="88">
        <v>39327293</v>
      </c>
      <c r="AL128" s="87">
        <v>4</v>
      </c>
      <c r="AM128" s="147">
        <f t="shared" si="45"/>
        <v>1161</v>
      </c>
      <c r="AN128" s="185">
        <f t="shared" si="42"/>
        <v>45658987173</v>
      </c>
      <c r="AO128" s="87" t="s">
        <v>4534</v>
      </c>
    </row>
    <row r="129" spans="9:44">
      <c r="K129" s="94"/>
      <c r="L129" s="202" t="s">
        <v>5561</v>
      </c>
      <c r="M129" s="111">
        <v>3577366.94</v>
      </c>
      <c r="N129" s="94"/>
      <c r="P129" t="s">
        <v>25</v>
      </c>
      <c r="R129" s="167"/>
      <c r="S129" s="202" t="s">
        <v>6878</v>
      </c>
      <c r="T129" s="202">
        <f>T111-1389</f>
        <v>111</v>
      </c>
      <c r="U129" s="202" t="s">
        <v>6879</v>
      </c>
      <c r="V129" s="202">
        <v>440</v>
      </c>
      <c r="W129" s="97">
        <f t="shared" si="35"/>
        <v>484.15430136986311</v>
      </c>
      <c r="X129" s="32">
        <f t="shared" si="43"/>
        <v>493.83738739726039</v>
      </c>
      <c r="Y129" s="32">
        <f t="shared" si="44"/>
        <v>503.52047342465767</v>
      </c>
      <c r="Z129" s="436"/>
      <c r="AA129" s="436"/>
      <c r="AB129" s="436">
        <v>37743</v>
      </c>
      <c r="AI129" s="87">
        <v>109</v>
      </c>
      <c r="AJ129" s="88" t="s">
        <v>4548</v>
      </c>
      <c r="AK129" s="88">
        <v>8749050</v>
      </c>
      <c r="AL129" s="87">
        <v>1</v>
      </c>
      <c r="AM129" s="87">
        <f t="shared" si="45"/>
        <v>1157</v>
      </c>
      <c r="AN129" s="88">
        <f t="shared" si="42"/>
        <v>10122650850</v>
      </c>
      <c r="AO129" s="87" t="s">
        <v>4549</v>
      </c>
    </row>
    <row r="130" spans="9:44">
      <c r="L130" s="202" t="s">
        <v>5562</v>
      </c>
      <c r="M130" s="111">
        <v>21239029.173567999</v>
      </c>
      <c r="N130" s="94"/>
      <c r="R130" s="167"/>
      <c r="S130" s="202" t="s">
        <v>6881</v>
      </c>
      <c r="T130" s="202">
        <f>T111-1391</f>
        <v>109</v>
      </c>
      <c r="U130" s="202" t="s">
        <v>6882</v>
      </c>
      <c r="V130" s="202">
        <v>441</v>
      </c>
      <c r="W130" s="97">
        <f t="shared" si="35"/>
        <v>484.57804931506854</v>
      </c>
      <c r="X130" s="32">
        <f t="shared" si="43"/>
        <v>494.26961030136994</v>
      </c>
      <c r="Y130" s="32">
        <f t="shared" si="44"/>
        <v>503.96117128767128</v>
      </c>
      <c r="Z130" s="440"/>
      <c r="AA130" s="440"/>
      <c r="AB130" s="440">
        <v>26762</v>
      </c>
      <c r="AI130" s="97">
        <v>110</v>
      </c>
      <c r="AJ130" s="111" t="s">
        <v>4550</v>
      </c>
      <c r="AK130" s="111">
        <v>60000</v>
      </c>
      <c r="AL130" s="97">
        <v>1</v>
      </c>
      <c r="AM130" s="97">
        <f t="shared" si="45"/>
        <v>1156</v>
      </c>
      <c r="AN130" s="115">
        <f t="shared" si="42"/>
        <v>69360000</v>
      </c>
      <c r="AO130" s="97" t="s">
        <v>4551</v>
      </c>
    </row>
    <row r="131" spans="9:44">
      <c r="L131" s="202" t="s">
        <v>5564</v>
      </c>
      <c r="M131" s="111">
        <v>242957252.40163299</v>
      </c>
      <c r="N131" s="94"/>
      <c r="R131" s="167"/>
      <c r="S131" s="202" t="s">
        <v>6950</v>
      </c>
      <c r="T131" s="202">
        <f>T111-1450</f>
        <v>50</v>
      </c>
      <c r="U131" s="202" t="s">
        <v>6951</v>
      </c>
      <c r="V131" s="202">
        <v>1396</v>
      </c>
      <c r="W131" s="97">
        <f t="shared" si="35"/>
        <v>1470.7644054794523</v>
      </c>
      <c r="X131" s="32">
        <f t="shared" si="43"/>
        <v>1500.1796935890413</v>
      </c>
      <c r="Y131" s="32">
        <f t="shared" si="44"/>
        <v>1529.5949816986304</v>
      </c>
      <c r="Z131" s="460">
        <v>42204</v>
      </c>
      <c r="AA131" s="460"/>
      <c r="AB131" s="460"/>
      <c r="AI131" s="20">
        <v>111</v>
      </c>
      <c r="AJ131" s="115" t="s">
        <v>4559</v>
      </c>
      <c r="AK131" s="115">
        <v>4750000</v>
      </c>
      <c r="AL131" s="20">
        <v>0</v>
      </c>
      <c r="AM131" s="97">
        <f t="shared" si="45"/>
        <v>1155</v>
      </c>
      <c r="AN131" s="115">
        <f t="shared" si="42"/>
        <v>5486250000</v>
      </c>
      <c r="AO131" s="20"/>
      <c r="AR131" t="s">
        <v>25</v>
      </c>
    </row>
    <row r="132" spans="9:44">
      <c r="I132" t="s">
        <v>25</v>
      </c>
      <c r="L132" s="202" t="s">
        <v>5568</v>
      </c>
      <c r="M132" s="111">
        <v>7357181.2750800001</v>
      </c>
      <c r="N132" s="94"/>
      <c r="P132" s="112"/>
      <c r="R132" s="167"/>
      <c r="S132" s="202" t="s">
        <v>6858</v>
      </c>
      <c r="T132" s="202">
        <f>T111-1451</f>
        <v>49</v>
      </c>
      <c r="U132" s="202" t="s">
        <v>6953</v>
      </c>
      <c r="V132" s="202">
        <v>221.1</v>
      </c>
      <c r="W132" s="97">
        <f t="shared" si="35"/>
        <v>232.77165698630137</v>
      </c>
      <c r="X132" s="32">
        <f t="shared" si="43"/>
        <v>237.42709012602739</v>
      </c>
      <c r="Y132" s="32">
        <f t="shared" si="44"/>
        <v>242.08252326575342</v>
      </c>
      <c r="Z132" s="460"/>
      <c r="AA132" s="460"/>
      <c r="AB132" s="460"/>
      <c r="AD132" t="s">
        <v>25</v>
      </c>
      <c r="AI132" s="87">
        <v>112</v>
      </c>
      <c r="AJ132" s="88" t="s">
        <v>4559</v>
      </c>
      <c r="AK132" s="88">
        <v>13101160</v>
      </c>
      <c r="AL132" s="87">
        <v>1</v>
      </c>
      <c r="AM132" s="87">
        <f t="shared" si="45"/>
        <v>1155</v>
      </c>
      <c r="AN132" s="88">
        <f t="shared" si="42"/>
        <v>15131839800</v>
      </c>
      <c r="AO132" s="87" t="s">
        <v>4562</v>
      </c>
    </row>
    <row r="133" spans="9:44">
      <c r="L133" s="202" t="s">
        <v>5570</v>
      </c>
      <c r="M133" s="111">
        <v>14951411.942400001</v>
      </c>
      <c r="N133" s="94"/>
      <c r="R133" s="167"/>
      <c r="S133" s="202" t="s">
        <v>6858</v>
      </c>
      <c r="T133" s="202">
        <f>T111-1451</f>
        <v>49</v>
      </c>
      <c r="U133" s="202" t="s">
        <v>6954</v>
      </c>
      <c r="V133" s="202">
        <v>1390</v>
      </c>
      <c r="W133" s="97">
        <f t="shared" si="35"/>
        <v>1463.3767671232877</v>
      </c>
      <c r="X133" s="32">
        <f t="shared" si="43"/>
        <v>1492.6443024657535</v>
      </c>
      <c r="Y133" s="32">
        <f t="shared" si="44"/>
        <v>1521.9118378082192</v>
      </c>
      <c r="Z133" s="460">
        <v>1331921</v>
      </c>
      <c r="AA133" s="460"/>
      <c r="AB133" s="460"/>
      <c r="AI133" s="20">
        <v>113</v>
      </c>
      <c r="AJ133" s="115" t="s">
        <v>4561</v>
      </c>
      <c r="AK133" s="115">
        <v>-980000</v>
      </c>
      <c r="AL133" s="20">
        <v>0</v>
      </c>
      <c r="AM133" s="97">
        <f t="shared" si="45"/>
        <v>1154</v>
      </c>
      <c r="AN133" s="115">
        <f t="shared" si="42"/>
        <v>-1130920000</v>
      </c>
      <c r="AO133" s="20"/>
    </row>
    <row r="134" spans="9:44">
      <c r="L134" s="202" t="s">
        <v>5572</v>
      </c>
      <c r="M134" s="111">
        <v>47928209.377011999</v>
      </c>
      <c r="N134" s="94"/>
      <c r="R134" s="167"/>
      <c r="S134" s="202" t="s">
        <v>7004</v>
      </c>
      <c r="T134" s="202">
        <f>T111-1505</f>
        <v>-5</v>
      </c>
      <c r="U134" s="202" t="s">
        <v>7006</v>
      </c>
      <c r="V134" s="202">
        <v>414.8</v>
      </c>
      <c r="W134" s="97">
        <f t="shared" si="35"/>
        <v>419.51394630136991</v>
      </c>
      <c r="X134" s="32">
        <f t="shared" si="43"/>
        <v>427.90422522739732</v>
      </c>
      <c r="Y134" s="32">
        <f t="shared" si="44"/>
        <v>436.29450415342473</v>
      </c>
      <c r="Z134" s="452"/>
      <c r="AA134" s="452"/>
      <c r="AB134" s="452">
        <v>1007763</v>
      </c>
      <c r="AC134" t="s">
        <v>25</v>
      </c>
      <c r="AI134" s="87">
        <v>114</v>
      </c>
      <c r="AJ134" s="88" t="s">
        <v>4561</v>
      </c>
      <c r="AK134" s="88">
        <v>13301790</v>
      </c>
      <c r="AL134" s="87">
        <v>0</v>
      </c>
      <c r="AM134" s="87">
        <f t="shared" si="45"/>
        <v>1154</v>
      </c>
      <c r="AN134" s="88">
        <f t="shared" si="42"/>
        <v>15350265660</v>
      </c>
      <c r="AO134" s="87" t="s">
        <v>4562</v>
      </c>
      <c r="AR134" t="s">
        <v>25</v>
      </c>
    </row>
    <row r="135" spans="9:44">
      <c r="L135" s="202" t="s">
        <v>5573</v>
      </c>
      <c r="M135" s="111">
        <v>2281595.69937</v>
      </c>
      <c r="P135" t="s">
        <v>25</v>
      </c>
      <c r="R135" s="167"/>
      <c r="S135" s="202" t="s">
        <v>7008</v>
      </c>
      <c r="T135" s="202">
        <f>T111-1506</f>
        <v>-6</v>
      </c>
      <c r="U135" s="202" t="s">
        <v>7010</v>
      </c>
      <c r="V135" s="202">
        <v>374</v>
      </c>
      <c r="W135" s="97">
        <f t="shared" si="35"/>
        <v>377.96337534246584</v>
      </c>
      <c r="X135" s="32">
        <f t="shared" si="43"/>
        <v>385.52264284931516</v>
      </c>
      <c r="Y135" s="32">
        <f t="shared" si="44"/>
        <v>393.08191035616449</v>
      </c>
      <c r="Z135" s="493"/>
      <c r="AA135" s="493"/>
      <c r="AB135" s="493"/>
      <c r="AC135" t="s">
        <v>25</v>
      </c>
      <c r="AD135" t="s">
        <v>25</v>
      </c>
      <c r="AI135" s="20">
        <v>115</v>
      </c>
      <c r="AJ135" s="115" t="s">
        <v>4561</v>
      </c>
      <c r="AK135" s="115">
        <v>404000</v>
      </c>
      <c r="AL135" s="20">
        <v>5</v>
      </c>
      <c r="AM135" s="97">
        <f t="shared" si="45"/>
        <v>1154</v>
      </c>
      <c r="AN135" s="115">
        <f t="shared" si="42"/>
        <v>466216000</v>
      </c>
      <c r="AO135" s="20" t="s">
        <v>4568</v>
      </c>
    </row>
    <row r="136" spans="9:44">
      <c r="L136" s="202" t="s">
        <v>5574</v>
      </c>
      <c r="M136" s="111">
        <v>2964916.035069</v>
      </c>
      <c r="R136" s="167"/>
      <c r="S136" s="202" t="s">
        <v>7008</v>
      </c>
      <c r="T136" s="202">
        <f>T111-1506</f>
        <v>-6</v>
      </c>
      <c r="U136" s="202" t="s">
        <v>7011</v>
      </c>
      <c r="V136" s="202">
        <v>417</v>
      </c>
      <c r="W136" s="97">
        <f t="shared" si="35"/>
        <v>421.41905753424663</v>
      </c>
      <c r="X136" s="32">
        <f t="shared" si="43"/>
        <v>429.84743868493155</v>
      </c>
      <c r="Y136" s="32">
        <f t="shared" si="44"/>
        <v>438.27581983561652</v>
      </c>
      <c r="Z136" s="493"/>
      <c r="AA136" s="493"/>
      <c r="AB136" s="493">
        <v>238979</v>
      </c>
      <c r="AI136" s="87">
        <v>116</v>
      </c>
      <c r="AJ136" s="88" t="s">
        <v>4574</v>
      </c>
      <c r="AK136" s="88">
        <v>4291628</v>
      </c>
      <c r="AL136" s="87">
        <v>2</v>
      </c>
      <c r="AM136" s="87">
        <f t="shared" si="45"/>
        <v>1149</v>
      </c>
      <c r="AN136" s="88">
        <f t="shared" si="42"/>
        <v>4931080572</v>
      </c>
      <c r="AO136" s="87" t="s">
        <v>4575</v>
      </c>
    </row>
    <row r="137" spans="9:44">
      <c r="I137" s="94"/>
      <c r="L137" s="202" t="s">
        <v>5575</v>
      </c>
      <c r="M137" s="111">
        <v>6460549.4269619994</v>
      </c>
      <c r="N137" s="112"/>
      <c r="R137" s="167"/>
      <c r="S137" s="202" t="s">
        <v>7012</v>
      </c>
      <c r="T137" s="202">
        <f>T111-1507</f>
        <v>-7</v>
      </c>
      <c r="U137" s="202" t="s">
        <v>7015</v>
      </c>
      <c r="V137" s="202">
        <v>376</v>
      </c>
      <c r="W137" s="97">
        <f t="shared" si="35"/>
        <v>379.69613150684933</v>
      </c>
      <c r="X137" s="32">
        <f t="shared" si="43"/>
        <v>387.29005413698633</v>
      </c>
      <c r="Y137" s="32">
        <f t="shared" si="44"/>
        <v>394.88397676712333</v>
      </c>
      <c r="Z137" s="494"/>
      <c r="AA137" s="494"/>
      <c r="AB137" s="494"/>
      <c r="AC137" t="s">
        <v>25</v>
      </c>
      <c r="AD137" t="s">
        <v>25</v>
      </c>
      <c r="AI137" s="20">
        <v>117</v>
      </c>
      <c r="AJ137" s="115" t="s">
        <v>4577</v>
      </c>
      <c r="AK137" s="115">
        <v>1000</v>
      </c>
      <c r="AL137" s="20">
        <v>5</v>
      </c>
      <c r="AM137" s="20">
        <f t="shared" si="45"/>
        <v>1147</v>
      </c>
      <c r="AN137" s="115">
        <f t="shared" si="42"/>
        <v>1147000</v>
      </c>
      <c r="AO137" s="20"/>
    </row>
    <row r="138" spans="9:44">
      <c r="I138" s="94"/>
      <c r="L138" s="202" t="s">
        <v>5576</v>
      </c>
      <c r="M138" s="111">
        <v>5212319.8968359996</v>
      </c>
      <c r="P138" t="s">
        <v>25</v>
      </c>
      <c r="R138" s="167"/>
      <c r="S138" s="202" t="s">
        <v>7012</v>
      </c>
      <c r="T138" s="202">
        <f>T111-1507</f>
        <v>-7</v>
      </c>
      <c r="U138" s="202" t="s">
        <v>7016</v>
      </c>
      <c r="V138" s="202">
        <v>434</v>
      </c>
      <c r="W138" s="97">
        <f t="shared" si="35"/>
        <v>438.26627945205479</v>
      </c>
      <c r="X138" s="32">
        <f t="shared" si="43"/>
        <v>447.03160504109587</v>
      </c>
      <c r="Y138" s="32">
        <f t="shared" si="44"/>
        <v>455.79693063013701</v>
      </c>
      <c r="Z138" s="494"/>
      <c r="AA138" s="494"/>
      <c r="AB138" s="494">
        <v>397403</v>
      </c>
      <c r="AI138" s="119">
        <v>118</v>
      </c>
      <c r="AJ138" s="77" t="s">
        <v>4584</v>
      </c>
      <c r="AK138" s="77">
        <v>8739459</v>
      </c>
      <c r="AL138" s="119">
        <v>2</v>
      </c>
      <c r="AM138" s="119">
        <f t="shared" si="45"/>
        <v>1142</v>
      </c>
      <c r="AN138" s="77">
        <f t="shared" si="42"/>
        <v>9980462178</v>
      </c>
      <c r="AO138" s="119" t="s">
        <v>4549</v>
      </c>
    </row>
    <row r="139" spans="9:44">
      <c r="I139" s="94"/>
      <c r="L139" s="202" t="s">
        <v>5578</v>
      </c>
      <c r="M139" s="111">
        <v>4524496.4792809999</v>
      </c>
      <c r="N139" s="112"/>
      <c r="R139" s="167"/>
      <c r="S139" s="202" t="s">
        <v>7017</v>
      </c>
      <c r="T139" s="202">
        <f>T111-1508</f>
        <v>-8</v>
      </c>
      <c r="U139" s="202" t="s">
        <v>7019</v>
      </c>
      <c r="V139" s="202">
        <v>407.7</v>
      </c>
      <c r="W139" s="97">
        <f t="shared" si="35"/>
        <v>411.39499068493154</v>
      </c>
      <c r="X139" s="32">
        <f t="shared" si="43"/>
        <v>419.62289049863017</v>
      </c>
      <c r="Y139" s="32">
        <f t="shared" si="44"/>
        <v>427.8507903123288</v>
      </c>
      <c r="Z139" s="498"/>
      <c r="AA139" s="498"/>
      <c r="AB139" s="498"/>
      <c r="AC139" t="s">
        <v>25</v>
      </c>
      <c r="AD139" t="s">
        <v>25</v>
      </c>
      <c r="AI139" s="119">
        <v>119</v>
      </c>
      <c r="AJ139" s="77" t="s">
        <v>4585</v>
      </c>
      <c r="AK139" s="77">
        <v>17595278</v>
      </c>
      <c r="AL139" s="119">
        <v>1</v>
      </c>
      <c r="AM139" s="119">
        <f t="shared" si="45"/>
        <v>1140</v>
      </c>
      <c r="AN139" s="77">
        <f t="shared" si="42"/>
        <v>20058616920</v>
      </c>
      <c r="AO139" s="119" t="s">
        <v>4587</v>
      </c>
      <c r="AR139" t="s">
        <v>25</v>
      </c>
    </row>
    <row r="140" spans="9:44">
      <c r="I140" s="94"/>
      <c r="L140" s="202" t="s">
        <v>5579</v>
      </c>
      <c r="M140" s="111">
        <v>22866040.240959998</v>
      </c>
      <c r="P140" t="s">
        <v>25</v>
      </c>
      <c r="R140" s="167"/>
      <c r="S140" s="202" t="s">
        <v>7017</v>
      </c>
      <c r="T140" s="202">
        <f>T111-1508</f>
        <v>-8</v>
      </c>
      <c r="U140" s="202" t="s">
        <v>7020</v>
      </c>
      <c r="V140" s="202">
        <v>440</v>
      </c>
      <c r="W140" s="97">
        <f t="shared" si="35"/>
        <v>443.98772602739734</v>
      </c>
      <c r="X140" s="32">
        <f t="shared" si="43"/>
        <v>452.86748054794532</v>
      </c>
      <c r="Y140" s="32">
        <f t="shared" si="44"/>
        <v>461.74723506849324</v>
      </c>
      <c r="Z140" s="498"/>
      <c r="AA140" s="498"/>
      <c r="AB140" s="498">
        <v>98562</v>
      </c>
      <c r="AI140" s="119">
        <v>120</v>
      </c>
      <c r="AJ140" s="77" t="s">
        <v>4586</v>
      </c>
      <c r="AK140" s="77">
        <v>13335309</v>
      </c>
      <c r="AL140" s="119">
        <v>13</v>
      </c>
      <c r="AM140" s="119">
        <f t="shared" si="45"/>
        <v>1139</v>
      </c>
      <c r="AN140" s="77">
        <f t="shared" si="42"/>
        <v>15188916951</v>
      </c>
      <c r="AO140" s="119" t="s">
        <v>4562</v>
      </c>
    </row>
    <row r="141" spans="9:44">
      <c r="L141" s="202" t="s">
        <v>5580</v>
      </c>
      <c r="M141" s="111">
        <v>15359304.269892</v>
      </c>
      <c r="R141" s="167"/>
      <c r="S141" s="202" t="s">
        <v>7023</v>
      </c>
      <c r="T141" s="202">
        <f>T111-1509</f>
        <v>-9</v>
      </c>
      <c r="U141" s="202" t="s">
        <v>7024</v>
      </c>
      <c r="V141" s="202">
        <v>445</v>
      </c>
      <c r="W141" s="97">
        <f t="shared" si="35"/>
        <v>448.69167123287673</v>
      </c>
      <c r="X141" s="32">
        <f t="shared" si="43"/>
        <v>457.66550465753426</v>
      </c>
      <c r="Y141" s="32">
        <f t="shared" si="44"/>
        <v>466.63933808219184</v>
      </c>
      <c r="Z141" s="493"/>
      <c r="AA141" s="493"/>
      <c r="AB141" s="493">
        <v>106469</v>
      </c>
      <c r="AC141" t="s">
        <v>25</v>
      </c>
      <c r="AI141" s="159">
        <v>121</v>
      </c>
      <c r="AJ141" s="212" t="s">
        <v>4634</v>
      </c>
      <c r="AK141" s="212">
        <v>50000000</v>
      </c>
      <c r="AL141" s="159">
        <v>11</v>
      </c>
      <c r="AM141" s="159">
        <f t="shared" si="45"/>
        <v>1126</v>
      </c>
      <c r="AN141" s="212">
        <f t="shared" si="42"/>
        <v>56300000000</v>
      </c>
      <c r="AO141" s="159" t="s">
        <v>4635</v>
      </c>
      <c r="AQ141" t="s">
        <v>25</v>
      </c>
    </row>
    <row r="142" spans="9:44">
      <c r="L142" s="202" t="s">
        <v>5582</v>
      </c>
      <c r="M142" s="111">
        <v>2868508.1846330003</v>
      </c>
      <c r="R142" s="167"/>
      <c r="S142" s="202" t="s">
        <v>7026</v>
      </c>
      <c r="T142" s="202">
        <f>T111-1512</f>
        <v>-12</v>
      </c>
      <c r="U142" s="202" t="s">
        <v>7028</v>
      </c>
      <c r="V142" s="202">
        <v>448</v>
      </c>
      <c r="W142" s="97">
        <f t="shared" si="35"/>
        <v>450.68554520547946</v>
      </c>
      <c r="X142" s="32">
        <f t="shared" si="43"/>
        <v>459.69925610958904</v>
      </c>
      <c r="Y142" s="32">
        <f t="shared" si="44"/>
        <v>468.71296701369863</v>
      </c>
      <c r="Z142" s="517"/>
      <c r="AA142" s="517"/>
      <c r="AB142" s="517">
        <v>248653</v>
      </c>
      <c r="AD142" t="s">
        <v>25</v>
      </c>
      <c r="AI142" s="20">
        <v>122</v>
      </c>
      <c r="AJ142" s="115" t="s">
        <v>938</v>
      </c>
      <c r="AK142" s="115">
        <v>30000</v>
      </c>
      <c r="AL142" s="20">
        <v>3</v>
      </c>
      <c r="AM142" s="20">
        <f t="shared" si="45"/>
        <v>1115</v>
      </c>
      <c r="AN142" s="115">
        <f t="shared" si="42"/>
        <v>33450000</v>
      </c>
      <c r="AO142" s="20"/>
    </row>
    <row r="143" spans="9:44">
      <c r="L143" s="202" t="s">
        <v>5583</v>
      </c>
      <c r="M143" s="111">
        <v>17450393.011856001</v>
      </c>
      <c r="R143" s="167"/>
      <c r="S143" s="166"/>
      <c r="T143" s="166"/>
      <c r="U143" s="166" t="s">
        <v>25</v>
      </c>
      <c r="V143" s="166"/>
      <c r="W143" s="97">
        <f t="shared" si="35"/>
        <v>0</v>
      </c>
      <c r="X143" s="32">
        <f t="shared" si="43"/>
        <v>0</v>
      </c>
      <c r="Y143" s="32">
        <f t="shared" si="44"/>
        <v>0</v>
      </c>
      <c r="Z143" t="s">
        <v>25</v>
      </c>
      <c r="AA143" t="s">
        <v>25</v>
      </c>
      <c r="AB143" s="94" t="s">
        <v>25</v>
      </c>
      <c r="AI143" s="20">
        <v>123</v>
      </c>
      <c r="AJ143" s="115" t="s">
        <v>4689</v>
      </c>
      <c r="AK143" s="115">
        <v>600000</v>
      </c>
      <c r="AL143" s="20">
        <v>1</v>
      </c>
      <c r="AM143" s="20">
        <f t="shared" si="45"/>
        <v>1112</v>
      </c>
      <c r="AN143" s="115">
        <f t="shared" si="42"/>
        <v>667200000</v>
      </c>
      <c r="AO143" s="20"/>
    </row>
    <row r="144" spans="9:44">
      <c r="L144" s="202" t="s">
        <v>5584</v>
      </c>
      <c r="M144" s="111">
        <v>31388943.254850004</v>
      </c>
      <c r="R144" s="111">
        <f>SUM(N46:N48)-SUM(R111:R143)</f>
        <v>-358452963.06200594</v>
      </c>
      <c r="S144" s="110"/>
      <c r="T144" s="110"/>
      <c r="U144" s="110"/>
      <c r="V144" s="166"/>
      <c r="W144" s="97" t="s">
        <v>25</v>
      </c>
      <c r="X144" s="32"/>
      <c r="Y144" s="32"/>
      <c r="Z144" t="s">
        <v>25</v>
      </c>
      <c r="AA144" t="s">
        <v>25</v>
      </c>
      <c r="AB144" s="94" t="s">
        <v>25</v>
      </c>
      <c r="AD144" t="s">
        <v>25</v>
      </c>
      <c r="AI144" s="20">
        <v>124</v>
      </c>
      <c r="AJ144" s="115" t="s">
        <v>4692</v>
      </c>
      <c r="AK144" s="115">
        <v>30000</v>
      </c>
      <c r="AL144" s="20">
        <v>3</v>
      </c>
      <c r="AM144" s="20">
        <f t="shared" si="45"/>
        <v>1111</v>
      </c>
      <c r="AN144" s="115">
        <f t="shared" si="42"/>
        <v>33330000</v>
      </c>
      <c r="AO144" s="20"/>
    </row>
    <row r="145" spans="5:45">
      <c r="L145" s="202" t="s">
        <v>5585</v>
      </c>
      <c r="M145" s="111">
        <v>30912095.373174001</v>
      </c>
      <c r="P145" t="s">
        <v>25</v>
      </c>
      <c r="R145" s="26"/>
      <c r="S145" s="179"/>
      <c r="T145" s="179"/>
      <c r="U145" t="s">
        <v>25</v>
      </c>
      <c r="V145" s="94" t="s">
        <v>25</v>
      </c>
      <c r="W145" s="94" t="s">
        <v>25</v>
      </c>
      <c r="X145" s="94" t="s">
        <v>25</v>
      </c>
      <c r="Z145" t="s">
        <v>25</v>
      </c>
      <c r="AA145" t="s">
        <v>25</v>
      </c>
      <c r="AB145" s="94"/>
      <c r="AC145" t="s">
        <v>25</v>
      </c>
      <c r="AD145" t="s">
        <v>25</v>
      </c>
      <c r="AI145" s="20">
        <v>125</v>
      </c>
      <c r="AJ145" s="115" t="s">
        <v>4698</v>
      </c>
      <c r="AK145" s="115">
        <v>2250000</v>
      </c>
      <c r="AL145" s="20">
        <v>1</v>
      </c>
      <c r="AM145" s="20">
        <f t="shared" si="45"/>
        <v>1108</v>
      </c>
      <c r="AN145" s="115">
        <f>AK145*AM145</f>
        <v>2493000000</v>
      </c>
      <c r="AO145" s="20"/>
      <c r="AS145" t="s">
        <v>25</v>
      </c>
    </row>
    <row r="146" spans="5:45">
      <c r="L146" s="202" t="s">
        <v>5587</v>
      </c>
      <c r="M146" s="111">
        <v>19602926.115093999</v>
      </c>
      <c r="S146" s="32" t="s">
        <v>4480</v>
      </c>
      <c r="T146" s="32" t="s">
        <v>914</v>
      </c>
      <c r="U146" t="s">
        <v>25</v>
      </c>
      <c r="V146" s="94" t="s">
        <v>25</v>
      </c>
      <c r="W146" s="94" t="s">
        <v>25</v>
      </c>
      <c r="X146" s="94" t="s">
        <v>25</v>
      </c>
      <c r="Y146" s="120" t="s">
        <v>25</v>
      </c>
      <c r="Z146" t="s">
        <v>25</v>
      </c>
      <c r="AA146" t="s">
        <v>25</v>
      </c>
      <c r="AB146" s="94" t="s">
        <v>25</v>
      </c>
      <c r="AC146" s="94"/>
      <c r="AI146" s="23">
        <v>126</v>
      </c>
      <c r="AJ146" s="35" t="s">
        <v>4703</v>
      </c>
      <c r="AK146" s="35">
        <v>-31412200</v>
      </c>
      <c r="AL146" s="23">
        <v>1</v>
      </c>
      <c r="AM146" s="20">
        <f t="shared" si="45"/>
        <v>1107</v>
      </c>
      <c r="AN146" s="35">
        <f>AK146*AM146</f>
        <v>-34773305400</v>
      </c>
      <c r="AO146" s="23" t="s">
        <v>4691</v>
      </c>
    </row>
    <row r="147" spans="5:45">
      <c r="L147" s="202" t="s">
        <v>5588</v>
      </c>
      <c r="M147" s="111">
        <v>34458590.308710001</v>
      </c>
      <c r="S147" s="32">
        <v>33288</v>
      </c>
      <c r="T147" s="167">
        <v>152128600.70081395</v>
      </c>
      <c r="U147" t="s">
        <v>25</v>
      </c>
      <c r="V147" s="94" t="s">
        <v>25</v>
      </c>
      <c r="W147" s="120" t="s">
        <v>25</v>
      </c>
      <c r="X147" s="94" t="s">
        <v>25</v>
      </c>
      <c r="Y147" t="s">
        <v>25</v>
      </c>
      <c r="Z147" t="s">
        <v>25</v>
      </c>
      <c r="AA147" t="s">
        <v>25</v>
      </c>
      <c r="AB147" t="s">
        <v>25</v>
      </c>
      <c r="AC147" s="94"/>
      <c r="AD147" t="s">
        <v>25</v>
      </c>
      <c r="AI147" s="20">
        <v>127</v>
      </c>
      <c r="AJ147" s="115" t="s">
        <v>4712</v>
      </c>
      <c r="AK147" s="115">
        <v>70000</v>
      </c>
      <c r="AL147" s="20">
        <v>9</v>
      </c>
      <c r="AM147" s="20">
        <f t="shared" si="45"/>
        <v>1106</v>
      </c>
      <c r="AN147" s="115">
        <f>AK147*AM147</f>
        <v>77420000</v>
      </c>
      <c r="AO147" s="20"/>
    </row>
    <row r="148" spans="5:45">
      <c r="L148" s="202" t="s">
        <v>5589</v>
      </c>
      <c r="M148" s="111">
        <v>21697868.203256</v>
      </c>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4718</v>
      </c>
      <c r="AK148" s="111">
        <v>20000</v>
      </c>
      <c r="AL148" s="97">
        <v>10</v>
      </c>
      <c r="AM148" s="20">
        <f t="shared" si="45"/>
        <v>1097</v>
      </c>
      <c r="AN148" s="115">
        <f>AK148*AM148</f>
        <v>21940000</v>
      </c>
      <c r="AO148" s="20"/>
      <c r="AQ148" t="s">
        <v>25</v>
      </c>
    </row>
    <row r="149" spans="5:45">
      <c r="L149" s="202" t="s">
        <v>5590</v>
      </c>
      <c r="M149" s="111">
        <v>25340079.252110001</v>
      </c>
      <c r="S149" s="32">
        <f>S147-S148</f>
        <v>24045</v>
      </c>
      <c r="T149" s="1">
        <f>S149*T147/S147</f>
        <v>109887412.99720834</v>
      </c>
      <c r="U149" t="s">
        <v>25</v>
      </c>
      <c r="V149" s="120" t="s">
        <v>25</v>
      </c>
      <c r="W149" s="94"/>
      <c r="X149" s="120" t="s">
        <v>25</v>
      </c>
      <c r="Y149" t="s">
        <v>25</v>
      </c>
      <c r="Z149">
        <v>1072496175</v>
      </c>
      <c r="AA149">
        <v>365000000</v>
      </c>
      <c r="AB149" t="s">
        <v>25</v>
      </c>
      <c r="AI149" s="97">
        <v>129</v>
      </c>
      <c r="AJ149" s="111" t="s">
        <v>4738</v>
      </c>
      <c r="AK149" s="111">
        <v>1000000</v>
      </c>
      <c r="AL149" s="97">
        <v>1</v>
      </c>
      <c r="AM149" s="20">
        <f t="shared" si="45"/>
        <v>1087</v>
      </c>
      <c r="AN149" s="115">
        <f>AK149*AM149</f>
        <v>1087000000</v>
      </c>
      <c r="AO149" s="20"/>
    </row>
    <row r="150" spans="5:45">
      <c r="E150" s="121"/>
      <c r="L150" s="202" t="s">
        <v>5591</v>
      </c>
      <c r="M150" s="111">
        <v>14780983.183526</v>
      </c>
      <c r="U150" t="s">
        <v>25</v>
      </c>
      <c r="W150" s="94"/>
      <c r="X150"/>
      <c r="Y150" t="s">
        <v>25</v>
      </c>
      <c r="Z150" t="s">
        <v>25</v>
      </c>
      <c r="AA150" t="s">
        <v>25</v>
      </c>
      <c r="AB150" t="s">
        <v>25</v>
      </c>
      <c r="AD150" s="112" t="s">
        <v>25</v>
      </c>
      <c r="AE150" s="112"/>
      <c r="AI150" s="97">
        <v>130</v>
      </c>
      <c r="AJ150" s="111" t="s">
        <v>4739</v>
      </c>
      <c r="AK150" s="111">
        <v>65630227</v>
      </c>
      <c r="AL150" s="97">
        <v>0</v>
      </c>
      <c r="AM150" s="20">
        <f t="shared" si="45"/>
        <v>1086</v>
      </c>
      <c r="AN150" s="115">
        <f t="shared" ref="AN150:AN177" si="46">AK150*AM150</f>
        <v>71274426522</v>
      </c>
      <c r="AO150" s="20" t="s">
        <v>4742</v>
      </c>
      <c r="AQ150" t="s">
        <v>25</v>
      </c>
      <c r="AS150" t="s">
        <v>25</v>
      </c>
    </row>
    <row r="151" spans="5:45">
      <c r="L151" s="202" t="s">
        <v>5593</v>
      </c>
      <c r="M151" s="111">
        <v>17804396.448481999</v>
      </c>
      <c r="P151" t="s">
        <v>25</v>
      </c>
      <c r="R151" s="94" t="s">
        <v>25</v>
      </c>
      <c r="S151" s="94"/>
      <c r="T151" s="94"/>
      <c r="U151" s="94"/>
      <c r="V151" s="275" t="s">
        <v>4380</v>
      </c>
      <c r="W151" s="275" t="s">
        <v>4391</v>
      </c>
      <c r="X151" s="275" t="s">
        <v>4392</v>
      </c>
      <c r="Y151" t="s">
        <v>25</v>
      </c>
      <c r="Z151" t="s">
        <v>25</v>
      </c>
      <c r="AB151" t="s">
        <v>25</v>
      </c>
      <c r="AD151" s="112"/>
      <c r="AI151" s="97">
        <v>131</v>
      </c>
      <c r="AJ151" s="111" t="s">
        <v>4739</v>
      </c>
      <c r="AK151" s="111">
        <v>-3500000</v>
      </c>
      <c r="AL151" s="97">
        <v>6</v>
      </c>
      <c r="AM151" s="20">
        <f t="shared" si="45"/>
        <v>1086</v>
      </c>
      <c r="AN151" s="115">
        <f t="shared" si="46"/>
        <v>-3801000000</v>
      </c>
      <c r="AO151" s="20" t="s">
        <v>4741</v>
      </c>
    </row>
    <row r="152" spans="5:45">
      <c r="L152" s="202" t="s">
        <v>5596</v>
      </c>
      <c r="M152" s="111">
        <v>11538335.631417999</v>
      </c>
      <c r="P152" t="s">
        <v>25</v>
      </c>
      <c r="R152" s="94" t="s">
        <v>25</v>
      </c>
      <c r="S152" s="94"/>
      <c r="T152" s="94"/>
      <c r="U152" s="120">
        <f>W152-$W$158</f>
        <v>1481848</v>
      </c>
      <c r="V152" s="275" t="s">
        <v>724</v>
      </c>
      <c r="W152" s="275">
        <v>1481848</v>
      </c>
      <c r="X152" s="377">
        <f>W152*$U$601</f>
        <v>4492759541.0587244</v>
      </c>
      <c r="Y152">
        <f>X152*100/$X$158</f>
        <v>35.817316814426242</v>
      </c>
      <c r="Z152" s="111">
        <f>Y152*0.01*$Z$149</f>
        <v>384139352.8223533</v>
      </c>
      <c r="AA152" s="111">
        <f>Y152*0.01*$AA$149</f>
        <v>130733206.37265578</v>
      </c>
      <c r="AB152" t="s">
        <v>25</v>
      </c>
      <c r="AC152" s="120" t="s">
        <v>25</v>
      </c>
      <c r="AD152" s="112"/>
      <c r="AE152" s="112"/>
      <c r="AI152" s="97">
        <v>132</v>
      </c>
      <c r="AJ152" s="111" t="s">
        <v>4751</v>
      </c>
      <c r="AK152" s="111">
        <v>2520000</v>
      </c>
      <c r="AL152" s="97">
        <v>12</v>
      </c>
      <c r="AM152" s="20">
        <f t="shared" si="45"/>
        <v>1080</v>
      </c>
      <c r="AN152" s="115">
        <f t="shared" si="46"/>
        <v>2721600000</v>
      </c>
      <c r="AO152" s="20"/>
    </row>
    <row r="153" spans="5:45">
      <c r="L153" s="202" t="s">
        <v>5597</v>
      </c>
      <c r="M153" s="111">
        <v>12429517.767776001</v>
      </c>
      <c r="Q153" s="112"/>
      <c r="R153" t="s">
        <v>25</v>
      </c>
      <c r="U153" s="120">
        <f>W153-$W$158</f>
        <v>2490290</v>
      </c>
      <c r="V153" s="275" t="s">
        <v>4382</v>
      </c>
      <c r="W153" s="275">
        <v>2490290</v>
      </c>
      <c r="X153" s="377">
        <f>W153*$U$601</f>
        <v>7550217132.5960093</v>
      </c>
      <c r="Y153" s="94">
        <f>X153*100/$X$158</f>
        <v>60.192074956269146</v>
      </c>
      <c r="Z153" s="111">
        <f>Y153*0.01*$Z$149</f>
        <v>645557701.55911958</v>
      </c>
      <c r="AA153" s="111">
        <f>Y153*0.01*$AA$149</f>
        <v>219701073.5903824</v>
      </c>
      <c r="AB153" t="s">
        <v>25</v>
      </c>
      <c r="AC153" t="s">
        <v>25</v>
      </c>
      <c r="AD153" t="s">
        <v>25</v>
      </c>
      <c r="AI153" s="97">
        <v>133</v>
      </c>
      <c r="AJ153" s="111" t="s">
        <v>4786</v>
      </c>
      <c r="AK153" s="111">
        <v>1400000</v>
      </c>
      <c r="AL153" s="97">
        <v>4</v>
      </c>
      <c r="AM153" s="20">
        <f t="shared" si="45"/>
        <v>1068</v>
      </c>
      <c r="AN153" s="115">
        <f t="shared" si="46"/>
        <v>1495200000</v>
      </c>
      <c r="AO153" s="20"/>
    </row>
    <row r="154" spans="5:45">
      <c r="L154" s="202" t="s">
        <v>5605</v>
      </c>
      <c r="M154" s="111">
        <v>5031176.5087869996</v>
      </c>
      <c r="O154" s="94"/>
      <c r="R154" t="s">
        <v>25</v>
      </c>
      <c r="S154" t="s">
        <v>25</v>
      </c>
      <c r="T154" t="s">
        <v>25</v>
      </c>
      <c r="U154" s="120">
        <f>W154-$W$158</f>
        <v>42250</v>
      </c>
      <c r="V154" s="275" t="s">
        <v>4381</v>
      </c>
      <c r="W154" s="275">
        <v>42250</v>
      </c>
      <c r="X154" s="377">
        <f>W154*$U$601</f>
        <v>128096195.1628852</v>
      </c>
      <c r="Y154" s="94">
        <f>X154*100/$X$158</f>
        <v>1.0212124559398188</v>
      </c>
      <c r="Z154" s="111">
        <f>Y154*0.01*$Z$149</f>
        <v>10952464.528578117</v>
      </c>
      <c r="AA154" s="111">
        <f>Y154*0.01*$AA$149</f>
        <v>3727425.4641803387</v>
      </c>
      <c r="AB154" t="s">
        <v>25</v>
      </c>
      <c r="AC154" s="120" t="s">
        <v>25</v>
      </c>
      <c r="AI154" s="97">
        <v>134</v>
      </c>
      <c r="AJ154" s="111" t="s">
        <v>4801</v>
      </c>
      <c r="AK154" s="111">
        <v>1550000</v>
      </c>
      <c r="AL154" s="97">
        <v>2</v>
      </c>
      <c r="AM154" s="20">
        <f t="shared" si="45"/>
        <v>1064</v>
      </c>
      <c r="AN154" s="115">
        <f t="shared" si="46"/>
        <v>1649200000</v>
      </c>
      <c r="AO154" s="20"/>
    </row>
    <row r="155" spans="5:45">
      <c r="L155" s="202" t="s">
        <v>5607</v>
      </c>
      <c r="M155" s="111">
        <v>6822803.9080700008</v>
      </c>
      <c r="R155" t="s">
        <v>25</v>
      </c>
      <c r="U155" s="120">
        <f>W155-$W$158</f>
        <v>122851</v>
      </c>
      <c r="V155" s="275" t="s">
        <v>1050</v>
      </c>
      <c r="W155" s="275">
        <v>122851</v>
      </c>
      <c r="X155" s="377">
        <f>W155*$U$601</f>
        <v>372467353.18238127</v>
      </c>
      <c r="Y155" s="94">
        <f>X155*100/$X$158</f>
        <v>2.9693957733647971</v>
      </c>
      <c r="Z155" s="111">
        <f>Y155*0.01*$Z$149</f>
        <v>31846656.08994912</v>
      </c>
      <c r="AA155" s="111">
        <f>Y155*0.01*$AA$149</f>
        <v>10838294.572781511</v>
      </c>
      <c r="AC155" t="s">
        <v>25</v>
      </c>
      <c r="AI155" s="97">
        <v>135</v>
      </c>
      <c r="AJ155" s="111" t="s">
        <v>4758</v>
      </c>
      <c r="AK155" s="111">
        <v>250000</v>
      </c>
      <c r="AL155" s="97">
        <v>6</v>
      </c>
      <c r="AM155" s="20">
        <f t="shared" si="45"/>
        <v>1062</v>
      </c>
      <c r="AN155" s="115">
        <f t="shared" si="46"/>
        <v>265500000</v>
      </c>
      <c r="AO155" s="20"/>
    </row>
    <row r="156" spans="5:45">
      <c r="L156" s="202" t="s">
        <v>5611</v>
      </c>
      <c r="M156" s="111">
        <v>330889.73324399994</v>
      </c>
      <c r="P156" t="s">
        <v>25</v>
      </c>
      <c r="U156" t="s">
        <v>25</v>
      </c>
      <c r="V156" s="275"/>
      <c r="W156" s="275"/>
      <c r="X156" s="275"/>
      <c r="Y156" s="113"/>
      <c r="Z156" t="s">
        <v>25</v>
      </c>
      <c r="AB156" t="s">
        <v>25</v>
      </c>
      <c r="AI156" s="97">
        <v>136</v>
      </c>
      <c r="AJ156" s="111" t="s">
        <v>4810</v>
      </c>
      <c r="AK156" s="111">
        <v>-48527480</v>
      </c>
      <c r="AL156" s="97">
        <v>14</v>
      </c>
      <c r="AM156" s="20">
        <f t="shared" si="45"/>
        <v>1056</v>
      </c>
      <c r="AN156" s="115">
        <f t="shared" si="46"/>
        <v>-51245018880</v>
      </c>
      <c r="AO156" s="20" t="s">
        <v>4812</v>
      </c>
    </row>
    <row r="157" spans="5:45">
      <c r="L157" s="202" t="s">
        <v>5619</v>
      </c>
      <c r="M157" s="111">
        <v>6610318.1610199995</v>
      </c>
      <c r="R157" t="s">
        <v>25</v>
      </c>
      <c r="T157" t="s">
        <v>25</v>
      </c>
      <c r="U157" s="94"/>
      <c r="V157" s="275"/>
      <c r="W157" s="275">
        <f>SUM(W152:W155)</f>
        <v>4137239</v>
      </c>
      <c r="X157" s="275"/>
      <c r="Y157" s="112" t="s">
        <v>25</v>
      </c>
      <c r="Z157" t="s">
        <v>25</v>
      </c>
      <c r="AA157" t="s">
        <v>25</v>
      </c>
      <c r="AI157" s="97">
        <v>137</v>
      </c>
      <c r="AJ157" s="111" t="s">
        <v>4832</v>
      </c>
      <c r="AK157" s="111">
        <v>2100000</v>
      </c>
      <c r="AL157" s="97">
        <v>1</v>
      </c>
      <c r="AM157" s="20">
        <f t="shared" si="45"/>
        <v>1042</v>
      </c>
      <c r="AN157" s="115">
        <f t="shared" si="46"/>
        <v>2188200000</v>
      </c>
      <c r="AO157" s="20"/>
    </row>
    <row r="158" spans="5:45">
      <c r="L158" s="202" t="s">
        <v>5620</v>
      </c>
      <c r="M158" s="111">
        <v>710713.17725199996</v>
      </c>
      <c r="O158" t="s">
        <v>25</v>
      </c>
      <c r="R158" s="94" t="s">
        <v>25</v>
      </c>
      <c r="S158" s="94"/>
      <c r="T158" s="94" t="s">
        <v>25</v>
      </c>
      <c r="U158" t="s">
        <v>25</v>
      </c>
      <c r="V158" s="275"/>
      <c r="W158" s="275">
        <f>W157-V598</f>
        <v>0</v>
      </c>
      <c r="X158" s="377">
        <f>SUM(X152:X155)</f>
        <v>12543540222</v>
      </c>
      <c r="Y158" s="94"/>
      <c r="Z158" t="s">
        <v>25</v>
      </c>
      <c r="AA158" t="s">
        <v>25</v>
      </c>
      <c r="AI158" s="97">
        <v>138</v>
      </c>
      <c r="AJ158" s="111" t="s">
        <v>4835</v>
      </c>
      <c r="AK158" s="111">
        <v>100000</v>
      </c>
      <c r="AL158" s="97">
        <v>4</v>
      </c>
      <c r="AM158" s="20">
        <f>AM159+AL158</f>
        <v>1041</v>
      </c>
      <c r="AN158" s="115">
        <f t="shared" si="46"/>
        <v>104100000</v>
      </c>
      <c r="AO158" s="20"/>
    </row>
    <row r="159" spans="5:45">
      <c r="L159" s="202" t="s">
        <v>5621</v>
      </c>
      <c r="M159" s="111">
        <v>81025</v>
      </c>
      <c r="Q159" s="112"/>
      <c r="R159" s="94"/>
      <c r="S159" s="94"/>
      <c r="T159" s="94"/>
      <c r="U159" s="94" t="s">
        <v>25</v>
      </c>
      <c r="V159" s="275"/>
      <c r="W159" s="275" t="s">
        <v>5726</v>
      </c>
      <c r="X159" s="377">
        <f>S170-X155</f>
        <v>108796914.81761873</v>
      </c>
      <c r="Y159" s="94"/>
      <c r="Z159" t="s">
        <v>25</v>
      </c>
      <c r="AA159" t="s">
        <v>25</v>
      </c>
      <c r="AI159" s="97">
        <v>139</v>
      </c>
      <c r="AJ159" s="111" t="s">
        <v>4840</v>
      </c>
      <c r="AK159" s="111">
        <v>900000</v>
      </c>
      <c r="AL159" s="97">
        <v>0</v>
      </c>
      <c r="AM159" s="20">
        <f t="shared" ref="AM159:AM168" si="47">AM160+AL159</f>
        <v>1037</v>
      </c>
      <c r="AN159" s="115">
        <f t="shared" ref="AN159:AN168" si="48">AK159*AM159</f>
        <v>933300000</v>
      </c>
      <c r="AO159" s="20"/>
      <c r="AQ159" t="s">
        <v>25</v>
      </c>
    </row>
    <row r="160" spans="5:45">
      <c r="L160" s="202" t="s">
        <v>5624</v>
      </c>
      <c r="M160" s="111">
        <v>219696.613128</v>
      </c>
      <c r="P160" s="112"/>
      <c r="R160" s="94" t="s">
        <v>25</v>
      </c>
      <c r="S160" s="94"/>
      <c r="T160" s="94"/>
      <c r="U160" s="94" t="s">
        <v>25</v>
      </c>
      <c r="V160" s="275"/>
      <c r="W160" s="275" t="s">
        <v>5725</v>
      </c>
      <c r="X160" s="377">
        <f>X154-X159</f>
        <v>19299280.345266476</v>
      </c>
      <c r="Y160" s="94"/>
      <c r="AA160" t="s">
        <v>25</v>
      </c>
      <c r="AB160" t="s">
        <v>25</v>
      </c>
      <c r="AI160" s="97">
        <v>140</v>
      </c>
      <c r="AJ160" s="111" t="s">
        <v>4840</v>
      </c>
      <c r="AK160" s="111">
        <v>1100000</v>
      </c>
      <c r="AL160" s="97">
        <v>0</v>
      </c>
      <c r="AM160" s="20">
        <f t="shared" si="47"/>
        <v>1037</v>
      </c>
      <c r="AN160" s="115">
        <f t="shared" si="48"/>
        <v>1140700000</v>
      </c>
      <c r="AO160" s="20" t="s">
        <v>4854</v>
      </c>
      <c r="AR160" t="s">
        <v>25</v>
      </c>
    </row>
    <row r="161" spans="12:44">
      <c r="L161" s="202" t="s">
        <v>5625</v>
      </c>
      <c r="M161" s="111">
        <v>6035472.4070199998</v>
      </c>
      <c r="Q161" s="112"/>
      <c r="R161" s="94" t="s">
        <v>25</v>
      </c>
      <c r="S161" s="94"/>
      <c r="T161" s="94" t="s">
        <v>25</v>
      </c>
      <c r="U161" s="94"/>
      <c r="V161" s="275"/>
      <c r="W161" s="275" t="s">
        <v>4876</v>
      </c>
      <c r="X161" s="377">
        <f>X152+X160-S169</f>
        <v>-211735708.59600925</v>
      </c>
      <c r="Y161" s="94"/>
      <c r="Z161" t="s">
        <v>25</v>
      </c>
      <c r="AI161" s="97">
        <v>141</v>
      </c>
      <c r="AJ161" s="111" t="s">
        <v>4840</v>
      </c>
      <c r="AK161" s="111">
        <v>115000</v>
      </c>
      <c r="AL161" s="97"/>
      <c r="AM161" s="20">
        <f t="shared" si="47"/>
        <v>1037</v>
      </c>
      <c r="AN161" s="115">
        <f t="shared" si="48"/>
        <v>119255000</v>
      </c>
      <c r="AO161" s="20"/>
      <c r="AR161" t="s">
        <v>25</v>
      </c>
    </row>
    <row r="162" spans="12:44">
      <c r="L162" s="202" t="s">
        <v>5626</v>
      </c>
      <c r="M162" s="111">
        <v>984486.34963200008</v>
      </c>
      <c r="O162" s="94"/>
      <c r="R162" s="94"/>
      <c r="S162" s="94"/>
      <c r="T162" s="94"/>
      <c r="U162" s="94"/>
      <c r="V162" s="275"/>
      <c r="W162" s="275"/>
      <c r="X162" s="377"/>
      <c r="Y162" s="113"/>
      <c r="Z162" t="s">
        <v>25</v>
      </c>
      <c r="AI162" s="97">
        <v>142</v>
      </c>
      <c r="AJ162" s="111" t="s">
        <v>4848</v>
      </c>
      <c r="AK162" s="111">
        <v>-1100000</v>
      </c>
      <c r="AL162" s="97"/>
      <c r="AM162" s="20">
        <f t="shared" si="47"/>
        <v>1037</v>
      </c>
      <c r="AN162" s="115">
        <f t="shared" si="48"/>
        <v>-1140700000</v>
      </c>
      <c r="AO162" s="20" t="s">
        <v>4855</v>
      </c>
      <c r="AR162" t="s">
        <v>25</v>
      </c>
    </row>
    <row r="163" spans="12:44">
      <c r="L163" s="202" t="s">
        <v>5627</v>
      </c>
      <c r="M163" s="111">
        <v>2143469.938015</v>
      </c>
      <c r="O163" s="94"/>
      <c r="R163" s="94"/>
      <c r="S163" s="94"/>
      <c r="T163" s="94"/>
      <c r="U163" s="94"/>
      <c r="W163" s="94"/>
      <c r="Z163" t="s">
        <v>25</v>
      </c>
      <c r="AI163" s="97">
        <v>143</v>
      </c>
      <c r="AJ163" s="111" t="s">
        <v>4848</v>
      </c>
      <c r="AK163" s="111">
        <v>900000</v>
      </c>
      <c r="AL163" s="97">
        <v>1</v>
      </c>
      <c r="AM163" s="20">
        <f t="shared" si="47"/>
        <v>1037</v>
      </c>
      <c r="AN163" s="115">
        <f t="shared" si="48"/>
        <v>933300000</v>
      </c>
      <c r="AO163" s="20" t="s">
        <v>4854</v>
      </c>
    </row>
    <row r="164" spans="12:44">
      <c r="L164" s="202" t="s">
        <v>5637</v>
      </c>
      <c r="M164" s="111">
        <v>3085460.5177150001</v>
      </c>
      <c r="O164" s="94"/>
      <c r="R164" s="94"/>
      <c r="S164" s="94"/>
      <c r="T164" s="94"/>
      <c r="U164" s="94" t="s">
        <v>25</v>
      </c>
      <c r="W164" s="94"/>
      <c r="AI164" s="97">
        <v>144</v>
      </c>
      <c r="AJ164" s="111" t="s">
        <v>4852</v>
      </c>
      <c r="AK164" s="111">
        <v>2000000</v>
      </c>
      <c r="AL164" s="97">
        <v>0</v>
      </c>
      <c r="AM164" s="20">
        <f t="shared" si="47"/>
        <v>1036</v>
      </c>
      <c r="AN164" s="115">
        <f t="shared" si="48"/>
        <v>2072000000</v>
      </c>
      <c r="AO164" s="20"/>
    </row>
    <row r="165" spans="12:44">
      <c r="L165" s="202" t="s">
        <v>5638</v>
      </c>
      <c r="M165" s="111">
        <v>8261456.790906</v>
      </c>
      <c r="O165" s="94"/>
      <c r="P165" s="112"/>
      <c r="T165" s="94" t="s">
        <v>25</v>
      </c>
      <c r="U165" s="94"/>
      <c r="W165" s="94"/>
      <c r="AI165" s="97">
        <v>145</v>
      </c>
      <c r="AJ165" s="111" t="s">
        <v>4852</v>
      </c>
      <c r="AK165" s="111">
        <v>360000</v>
      </c>
      <c r="AL165" s="97">
        <v>1</v>
      </c>
      <c r="AM165" s="20">
        <f t="shared" si="47"/>
        <v>1036</v>
      </c>
      <c r="AN165" s="115">
        <f t="shared" si="48"/>
        <v>372960000</v>
      </c>
      <c r="AO165" s="20"/>
    </row>
    <row r="166" spans="12:44">
      <c r="L166" s="202" t="s">
        <v>5639</v>
      </c>
      <c r="M166" s="111">
        <v>6572373.7593120001</v>
      </c>
      <c r="O166" s="94"/>
      <c r="P166" s="112"/>
      <c r="Q166" s="112"/>
      <c r="R166" s="94"/>
      <c r="S166" s="94"/>
      <c r="T166" s="94"/>
      <c r="U166" s="97" t="s">
        <v>180</v>
      </c>
      <c r="V166" s="97" t="s">
        <v>4404</v>
      </c>
      <c r="W166" s="97" t="s">
        <v>4405</v>
      </c>
      <c r="X166" s="97" t="s">
        <v>4415</v>
      </c>
      <c r="Y166" s="97" t="s">
        <v>8</v>
      </c>
      <c r="Z166" t="s">
        <v>25</v>
      </c>
      <c r="AI166" s="97">
        <v>146</v>
      </c>
      <c r="AJ166" s="111" t="s">
        <v>4853</v>
      </c>
      <c r="AK166" s="111">
        <v>3000000</v>
      </c>
      <c r="AL166" s="97">
        <v>1</v>
      </c>
      <c r="AM166" s="20">
        <f t="shared" si="47"/>
        <v>1035</v>
      </c>
      <c r="AN166" s="115">
        <f t="shared" si="48"/>
        <v>3105000000</v>
      </c>
      <c r="AO166" s="20"/>
    </row>
    <row r="167" spans="12:44">
      <c r="L167" s="202" t="s">
        <v>5643</v>
      </c>
      <c r="M167" s="111">
        <v>2893243.5730909999</v>
      </c>
      <c r="O167" s="94"/>
      <c r="P167" s="112"/>
      <c r="Q167" s="112"/>
      <c r="R167" s="94"/>
      <c r="S167" s="94"/>
      <c r="T167" s="94"/>
      <c r="U167" s="111" t="s">
        <v>4390</v>
      </c>
      <c r="V167" s="54">
        <v>1000000</v>
      </c>
      <c r="W167" s="111">
        <v>239.024</v>
      </c>
      <c r="X167" s="111">
        <f t="shared" ref="X167:X268" si="49">V167*W167</f>
        <v>239024000</v>
      </c>
      <c r="Y167" s="97"/>
      <c r="AA167" t="s">
        <v>25</v>
      </c>
      <c r="AI167" s="97">
        <v>147</v>
      </c>
      <c r="AJ167" s="111" t="s">
        <v>4851</v>
      </c>
      <c r="AK167" s="111">
        <v>-658226</v>
      </c>
      <c r="AL167" s="97">
        <v>1</v>
      </c>
      <c r="AM167" s="20">
        <f t="shared" si="47"/>
        <v>1034</v>
      </c>
      <c r="AN167" s="115">
        <f t="shared" si="48"/>
        <v>-680605684</v>
      </c>
      <c r="AO167" s="20"/>
    </row>
    <row r="168" spans="12:44">
      <c r="L168" s="202" t="s">
        <v>5644</v>
      </c>
      <c r="M168" s="111">
        <v>94992058.939007998</v>
      </c>
      <c r="O168" s="112"/>
      <c r="P168" s="112"/>
      <c r="Q168" s="112"/>
      <c r="R168" s="383" t="s">
        <v>4479</v>
      </c>
      <c r="S168" s="1">
        <f>SUM(N43:N49)</f>
        <v>7374762231</v>
      </c>
      <c r="U168" s="166" t="s">
        <v>4374</v>
      </c>
      <c r="V168" s="54">
        <v>5904</v>
      </c>
      <c r="W168" s="111">
        <v>237.148</v>
      </c>
      <c r="X168" s="111">
        <f t="shared" si="49"/>
        <v>1400121.7919999999</v>
      </c>
      <c r="Y168" s="97" t="s">
        <v>724</v>
      </c>
      <c r="AA168" t="s">
        <v>25</v>
      </c>
      <c r="AI168" s="97">
        <v>148</v>
      </c>
      <c r="AJ168" s="111" t="s">
        <v>4856</v>
      </c>
      <c r="AK168" s="111">
        <v>1000000</v>
      </c>
      <c r="AL168" s="97">
        <v>15</v>
      </c>
      <c r="AM168" s="20">
        <f t="shared" si="47"/>
        <v>1033</v>
      </c>
      <c r="AN168" s="115">
        <f t="shared" si="48"/>
        <v>1033000000</v>
      </c>
      <c r="AO168" s="20"/>
      <c r="AQ168" t="s">
        <v>25</v>
      </c>
    </row>
    <row r="169" spans="12:44">
      <c r="L169" s="202" t="s">
        <v>5647</v>
      </c>
      <c r="M169" s="111">
        <v>275021.925965</v>
      </c>
      <c r="P169" s="112"/>
      <c r="Q169" s="112"/>
      <c r="R169" s="32" t="s">
        <v>4383</v>
      </c>
      <c r="S169" s="1">
        <f>SUM(N31:N36)</f>
        <v>4723794530</v>
      </c>
      <c r="U169" s="166" t="s">
        <v>4182</v>
      </c>
      <c r="V169" s="166">
        <v>1000</v>
      </c>
      <c r="W169" s="111">
        <v>247.393</v>
      </c>
      <c r="X169" s="111">
        <f t="shared" si="49"/>
        <v>247393</v>
      </c>
      <c r="Y169" s="97" t="s">
        <v>724</v>
      </c>
      <c r="Z169" t="s">
        <v>25</v>
      </c>
      <c r="AI169" s="97">
        <v>149</v>
      </c>
      <c r="AJ169" s="111" t="s">
        <v>4880</v>
      </c>
      <c r="AK169" s="111">
        <v>1130250</v>
      </c>
      <c r="AL169" s="97">
        <v>5</v>
      </c>
      <c r="AM169" s="20">
        <f t="shared" si="45"/>
        <v>1018</v>
      </c>
      <c r="AN169" s="115">
        <f t="shared" si="46"/>
        <v>1150594500</v>
      </c>
      <c r="AO169" s="20"/>
    </row>
    <row r="170" spans="12:44">
      <c r="L170" s="202" t="s">
        <v>5652</v>
      </c>
      <c r="M170" s="111">
        <v>327451.9203</v>
      </c>
      <c r="P170" s="112"/>
      <c r="Q170" s="112"/>
      <c r="R170" s="32" t="s">
        <v>4384</v>
      </c>
      <c r="S170" s="1">
        <f>SUM(N38:N39)</f>
        <v>481264268</v>
      </c>
      <c r="U170" s="302" t="s">
        <v>4416</v>
      </c>
      <c r="V170" s="302">
        <v>8071</v>
      </c>
      <c r="W170" s="90">
        <v>247.797</v>
      </c>
      <c r="X170" s="90">
        <f t="shared" si="49"/>
        <v>1999969.5870000001</v>
      </c>
      <c r="Y170" s="89" t="s">
        <v>4381</v>
      </c>
      <c r="Z170" t="s">
        <v>25</v>
      </c>
      <c r="AF170" s="94" t="s">
        <v>25</v>
      </c>
      <c r="AI170" s="97">
        <v>150</v>
      </c>
      <c r="AJ170" s="111" t="s">
        <v>4888</v>
      </c>
      <c r="AK170" s="111">
        <v>206000</v>
      </c>
      <c r="AL170" s="97">
        <v>2</v>
      </c>
      <c r="AM170" s="20">
        <f t="shared" si="45"/>
        <v>1013</v>
      </c>
      <c r="AN170" s="115">
        <f t="shared" si="46"/>
        <v>208678000</v>
      </c>
      <c r="AO170" s="20"/>
    </row>
    <row r="171" spans="12:44">
      <c r="L171" s="202" t="s">
        <v>5662</v>
      </c>
      <c r="M171" s="111">
        <v>260081.94096800001</v>
      </c>
      <c r="P171" s="112"/>
      <c r="Q171" s="112"/>
      <c r="R171" s="32" t="s">
        <v>4385</v>
      </c>
      <c r="S171" s="1">
        <f>N42</f>
        <v>326</v>
      </c>
      <c r="U171" s="166" t="s">
        <v>4416</v>
      </c>
      <c r="V171" s="166">
        <v>53672</v>
      </c>
      <c r="W171" s="111">
        <v>247.797</v>
      </c>
      <c r="X171" s="111">
        <f t="shared" si="49"/>
        <v>13299760.584000001</v>
      </c>
      <c r="Y171" s="97" t="s">
        <v>434</v>
      </c>
      <c r="Z171" t="s">
        <v>25</v>
      </c>
      <c r="AI171" s="97">
        <v>151</v>
      </c>
      <c r="AJ171" s="111" t="s">
        <v>4895</v>
      </c>
      <c r="AK171" s="111">
        <v>50000</v>
      </c>
      <c r="AL171" s="97">
        <v>2</v>
      </c>
      <c r="AM171" s="20">
        <f t="shared" si="45"/>
        <v>1011</v>
      </c>
      <c r="AN171" s="115">
        <f t="shared" si="46"/>
        <v>50550000</v>
      </c>
      <c r="AO171" s="20"/>
    </row>
    <row r="172" spans="12:44">
      <c r="L172" s="202" t="s">
        <v>5670</v>
      </c>
      <c r="M172" s="111">
        <v>2909284.5308940001</v>
      </c>
      <c r="P172" s="112"/>
      <c r="Q172" s="112"/>
      <c r="R172" s="32" t="s">
        <v>4386</v>
      </c>
      <c r="S172" s="1">
        <f>N30</f>
        <v>357</v>
      </c>
      <c r="U172" s="302" t="s">
        <v>4424</v>
      </c>
      <c r="V172" s="302">
        <v>4099</v>
      </c>
      <c r="W172" s="90">
        <v>243.93</v>
      </c>
      <c r="X172" s="90">
        <f t="shared" si="49"/>
        <v>999869.07000000007</v>
      </c>
      <c r="Y172" s="89" t="s">
        <v>4381</v>
      </c>
      <c r="AB172" t="s">
        <v>25</v>
      </c>
      <c r="AI172" s="97">
        <v>152</v>
      </c>
      <c r="AJ172" s="111" t="s">
        <v>4899</v>
      </c>
      <c r="AK172" s="111">
        <v>105000</v>
      </c>
      <c r="AL172" s="97">
        <v>4</v>
      </c>
      <c r="AM172" s="20">
        <f t="shared" si="45"/>
        <v>1009</v>
      </c>
      <c r="AN172" s="115">
        <f t="shared" si="46"/>
        <v>105945000</v>
      </c>
      <c r="AO172" s="20"/>
    </row>
    <row r="173" spans="12:44">
      <c r="L173" s="202" t="s">
        <v>5671</v>
      </c>
      <c r="M173" s="111">
        <v>37723205.094084002</v>
      </c>
      <c r="P173" s="112"/>
      <c r="Q173" s="112"/>
      <c r="R173" s="32" t="s">
        <v>4387</v>
      </c>
      <c r="S173" s="1">
        <f>N37</f>
        <v>169</v>
      </c>
      <c r="U173" s="166" t="s">
        <v>4424</v>
      </c>
      <c r="V173" s="166">
        <v>9301</v>
      </c>
      <c r="W173" s="111">
        <v>243.93</v>
      </c>
      <c r="X173" s="111">
        <f t="shared" si="49"/>
        <v>2268792.9300000002</v>
      </c>
      <c r="Y173" s="97" t="s">
        <v>434</v>
      </c>
      <c r="AA173" t="s">
        <v>25</v>
      </c>
      <c r="AI173" s="97">
        <v>153</v>
      </c>
      <c r="AJ173" s="111" t="s">
        <v>4903</v>
      </c>
      <c r="AK173" s="111">
        <v>5000000</v>
      </c>
      <c r="AL173" s="97">
        <v>1</v>
      </c>
      <c r="AM173" s="20">
        <f t="shared" si="45"/>
        <v>1005</v>
      </c>
      <c r="AN173" s="115">
        <f t="shared" si="46"/>
        <v>5025000000</v>
      </c>
      <c r="AO173" s="20"/>
    </row>
    <row r="174" spans="12:44">
      <c r="L174" s="202" t="s">
        <v>5672</v>
      </c>
      <c r="M174" s="111">
        <v>1500094.75168</v>
      </c>
      <c r="O174" s="94"/>
      <c r="P174" s="112"/>
      <c r="Q174" s="112"/>
      <c r="R174" s="32" t="s">
        <v>5006</v>
      </c>
      <c r="S174" s="1">
        <v>0</v>
      </c>
      <c r="T174" t="s">
        <v>25</v>
      </c>
      <c r="U174" s="302" t="s">
        <v>4428</v>
      </c>
      <c r="V174" s="302">
        <v>8334</v>
      </c>
      <c r="W174" s="90">
        <v>239.97</v>
      </c>
      <c r="X174" s="90">
        <f t="shared" si="49"/>
        <v>1999909.98</v>
      </c>
      <c r="Y174" s="89" t="s">
        <v>4381</v>
      </c>
      <c r="AI174" s="97">
        <v>154</v>
      </c>
      <c r="AJ174" s="111" t="s">
        <v>4904</v>
      </c>
      <c r="AK174" s="111">
        <v>2500000</v>
      </c>
      <c r="AL174" s="97">
        <v>2</v>
      </c>
      <c r="AM174" s="20">
        <f t="shared" si="45"/>
        <v>1004</v>
      </c>
      <c r="AN174" s="115">
        <f t="shared" si="46"/>
        <v>2510000000</v>
      </c>
      <c r="AO174" s="20"/>
    </row>
    <row r="175" spans="12:44">
      <c r="L175" s="202" t="s">
        <v>5673</v>
      </c>
      <c r="M175" s="111">
        <v>7230628.4378079996</v>
      </c>
      <c r="O175" s="94"/>
      <c r="P175" s="112"/>
      <c r="Q175" s="112"/>
      <c r="R175" s="32" t="s">
        <v>6994</v>
      </c>
      <c r="S175" s="1">
        <v>-51</v>
      </c>
      <c r="U175" s="166" t="s">
        <v>4181</v>
      </c>
      <c r="V175" s="166">
        <v>29041</v>
      </c>
      <c r="W175" s="111">
        <v>233.45</v>
      </c>
      <c r="X175" s="111">
        <f t="shared" si="49"/>
        <v>6779621.4499999993</v>
      </c>
      <c r="Y175" s="97" t="s">
        <v>724</v>
      </c>
      <c r="Z175" s="120" t="s">
        <v>25</v>
      </c>
      <c r="AI175" s="241">
        <v>155</v>
      </c>
      <c r="AJ175" s="237" t="s">
        <v>4910</v>
      </c>
      <c r="AK175" s="237">
        <v>-50000000</v>
      </c>
      <c r="AL175" s="241">
        <v>7</v>
      </c>
      <c r="AM175" s="241">
        <f t="shared" si="45"/>
        <v>1002</v>
      </c>
      <c r="AN175" s="237">
        <f t="shared" si="46"/>
        <v>-50100000000</v>
      </c>
      <c r="AO175" s="241" t="s">
        <v>4918</v>
      </c>
    </row>
    <row r="176" spans="12:44">
      <c r="L176" s="202" t="s">
        <v>5675</v>
      </c>
      <c r="M176" s="111">
        <v>29767389.390390001</v>
      </c>
      <c r="O176" s="94"/>
      <c r="P176" s="112"/>
      <c r="Q176" s="112"/>
      <c r="R176" s="32" t="s">
        <v>7025</v>
      </c>
      <c r="S176" s="1">
        <f>-89144*P45</f>
        <v>-36281608</v>
      </c>
      <c r="T176" s="381"/>
      <c r="U176" s="302" t="s">
        <v>958</v>
      </c>
      <c r="V176" s="302">
        <v>12337</v>
      </c>
      <c r="W176" s="90">
        <v>243.16300000000001</v>
      </c>
      <c r="X176" s="90">
        <f t="shared" si="49"/>
        <v>2999901.9310000003</v>
      </c>
      <c r="Y176" s="89" t="s">
        <v>4381</v>
      </c>
      <c r="AI176" s="97">
        <v>156</v>
      </c>
      <c r="AJ176" s="111" t="s">
        <v>4916</v>
      </c>
      <c r="AK176" s="111">
        <v>10000000</v>
      </c>
      <c r="AL176" s="97">
        <v>12</v>
      </c>
      <c r="AM176" s="20">
        <f t="shared" si="45"/>
        <v>995</v>
      </c>
      <c r="AN176" s="115">
        <f t="shared" si="46"/>
        <v>9950000000</v>
      </c>
      <c r="AO176" s="20" t="s">
        <v>4635</v>
      </c>
    </row>
    <row r="177" spans="5:44">
      <c r="L177" s="202" t="s">
        <v>5677</v>
      </c>
      <c r="M177" s="111">
        <v>151560.25597</v>
      </c>
      <c r="O177" s="94"/>
      <c r="P177" s="112"/>
      <c r="Q177" s="112"/>
      <c r="R177" s="32"/>
      <c r="S177" s="32"/>
      <c r="T177" s="113"/>
      <c r="U177" s="166" t="s">
        <v>4496</v>
      </c>
      <c r="V177" s="166">
        <v>-16118</v>
      </c>
      <c r="W177" s="111">
        <v>248.17</v>
      </c>
      <c r="X177" s="111">
        <f t="shared" si="49"/>
        <v>-4000004.0599999996</v>
      </c>
      <c r="Y177" s="97" t="s">
        <v>724</v>
      </c>
      <c r="Z177" t="s">
        <v>25</v>
      </c>
      <c r="AI177" s="97">
        <v>157</v>
      </c>
      <c r="AJ177" s="111" t="s">
        <v>4923</v>
      </c>
      <c r="AK177" s="111">
        <v>-16266000</v>
      </c>
      <c r="AL177" s="97">
        <v>1</v>
      </c>
      <c r="AM177" s="20">
        <f t="shared" si="45"/>
        <v>983</v>
      </c>
      <c r="AN177" s="115">
        <f t="shared" si="46"/>
        <v>-15989478000</v>
      </c>
      <c r="AO177" s="20" t="s">
        <v>4931</v>
      </c>
      <c r="AR177" t="s">
        <v>25</v>
      </c>
    </row>
    <row r="178" spans="5:44">
      <c r="L178" s="202" t="s">
        <v>5678</v>
      </c>
      <c r="M178" s="111">
        <v>481318.88078800001</v>
      </c>
      <c r="O178" s="94"/>
      <c r="P178" s="112"/>
      <c r="Q178" s="112"/>
      <c r="R178" s="32" t="s">
        <v>5007</v>
      </c>
      <c r="S178" s="1">
        <v>0</v>
      </c>
      <c r="T178" s="113"/>
      <c r="U178" s="166" t="s">
        <v>4517</v>
      </c>
      <c r="V178" s="166">
        <v>101681</v>
      </c>
      <c r="W178" s="111">
        <v>246.5711</v>
      </c>
      <c r="X178" s="111">
        <f t="shared" si="49"/>
        <v>25071596.019099999</v>
      </c>
      <c r="Y178" s="97" t="s">
        <v>434</v>
      </c>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R179" s="32" t="s">
        <v>4389</v>
      </c>
      <c r="S179" s="1">
        <f>SUM(S168:S178)</f>
        <v>12543540222</v>
      </c>
      <c r="U179" s="166" t="s">
        <v>4521</v>
      </c>
      <c r="V179" s="166">
        <v>66606</v>
      </c>
      <c r="W179" s="111">
        <v>251.131</v>
      </c>
      <c r="X179" s="111">
        <f t="shared" si="49"/>
        <v>16726831.386</v>
      </c>
      <c r="Y179" s="97" t="s">
        <v>724</v>
      </c>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94"/>
      <c r="U180" s="166" t="s">
        <v>4526</v>
      </c>
      <c r="V180" s="166">
        <v>172025</v>
      </c>
      <c r="W180" s="111">
        <v>245.52809999999999</v>
      </c>
      <c r="X180" s="111">
        <f t="shared" si="49"/>
        <v>42236971.402499996</v>
      </c>
      <c r="Y180" s="97" t="s">
        <v>434</v>
      </c>
      <c r="AI180" s="97">
        <v>160</v>
      </c>
      <c r="AJ180" s="111" t="s">
        <v>4948</v>
      </c>
      <c r="AK180" s="111">
        <v>120000</v>
      </c>
      <c r="AL180" s="97">
        <v>6</v>
      </c>
      <c r="AM180" s="20">
        <f>AM181+AL180</f>
        <v>971</v>
      </c>
      <c r="AN180" s="115">
        <f>AK180*AM180</f>
        <v>116520000</v>
      </c>
      <c r="AO180" s="20"/>
    </row>
    <row r="181" spans="5:44">
      <c r="L181" s="202" t="s">
        <v>5694</v>
      </c>
      <c r="M181" s="111">
        <v>558320.40202399995</v>
      </c>
      <c r="P181" s="112"/>
      <c r="Q181" s="112"/>
      <c r="U181" s="166" t="s">
        <v>4526</v>
      </c>
      <c r="V181" s="166">
        <v>189227</v>
      </c>
      <c r="W181" s="111">
        <v>245.52809999999999</v>
      </c>
      <c r="X181" s="111">
        <f t="shared" si="49"/>
        <v>46460545.778700002</v>
      </c>
      <c r="Y181" s="97" t="s">
        <v>724</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P182" s="112"/>
      <c r="Q182" s="112"/>
      <c r="R182" s="202" t="s">
        <v>8</v>
      </c>
      <c r="S182" s="202" t="s">
        <v>4381</v>
      </c>
      <c r="T182" s="202"/>
      <c r="U182" s="166" t="s">
        <v>4527</v>
      </c>
      <c r="V182" s="166">
        <v>79720</v>
      </c>
      <c r="W182" s="111">
        <v>246.6568</v>
      </c>
      <c r="X182" s="111">
        <f t="shared" si="49"/>
        <v>19663480.096000001</v>
      </c>
      <c r="Y182" s="97" t="s">
        <v>434</v>
      </c>
      <c r="Z182" s="8" t="s">
        <v>25</v>
      </c>
      <c r="AA182" t="s">
        <v>25</v>
      </c>
      <c r="AI182" s="97">
        <v>162</v>
      </c>
      <c r="AJ182" s="111" t="s">
        <v>4970</v>
      </c>
      <c r="AK182" s="111">
        <v>65000</v>
      </c>
      <c r="AL182" s="97">
        <v>7</v>
      </c>
      <c r="AM182" s="20">
        <f>AM183+AL182</f>
        <v>956</v>
      </c>
      <c r="AN182" s="115">
        <f>AK182*AM182</f>
        <v>62140000</v>
      </c>
      <c r="AO182" s="20"/>
    </row>
    <row r="183" spans="5:44">
      <c r="L183" s="266" t="s">
        <v>5727</v>
      </c>
      <c r="M183" s="88">
        <v>637977.33504399995</v>
      </c>
      <c r="O183" s="112"/>
      <c r="P183" s="112"/>
      <c r="Q183" s="112"/>
      <c r="R183" s="202"/>
      <c r="S183" s="71" t="s">
        <v>180</v>
      </c>
      <c r="T183" s="202" t="s">
        <v>267</v>
      </c>
      <c r="U183" s="166" t="s">
        <v>4527</v>
      </c>
      <c r="V183" s="166">
        <v>79720</v>
      </c>
      <c r="W183" s="111">
        <v>246.6568</v>
      </c>
      <c r="X183" s="111">
        <f t="shared" si="49"/>
        <v>19663480.096000001</v>
      </c>
      <c r="Y183" s="97" t="s">
        <v>724</v>
      </c>
      <c r="AI183" s="97">
        <v>163</v>
      </c>
      <c r="AJ183" s="111" t="s">
        <v>4979</v>
      </c>
      <c r="AK183" s="111">
        <v>-312598</v>
      </c>
      <c r="AL183" s="97">
        <v>0</v>
      </c>
      <c r="AM183" s="20">
        <f t="shared" ref="AM183:AM190" si="50">AM184+AL183</f>
        <v>949</v>
      </c>
      <c r="AN183" s="115">
        <f t="shared" ref="AN183:AN190" si="51">AK183*AM183</f>
        <v>-296655502</v>
      </c>
      <c r="AO183" s="20"/>
      <c r="AP183" t="s">
        <v>25</v>
      </c>
      <c r="AR183" t="s">
        <v>25</v>
      </c>
    </row>
    <row r="184" spans="5:44">
      <c r="L184" s="202" t="s">
        <v>5728</v>
      </c>
      <c r="M184" s="111">
        <v>466552.25632400002</v>
      </c>
      <c r="O184" s="112"/>
      <c r="P184" s="112"/>
      <c r="Q184" s="112"/>
      <c r="R184" s="202"/>
      <c r="S184" s="202" t="s">
        <v>4374</v>
      </c>
      <c r="T184" s="111">
        <v>3000000</v>
      </c>
      <c r="U184" s="166" t="s">
        <v>4548</v>
      </c>
      <c r="V184" s="166">
        <v>17769</v>
      </c>
      <c r="W184" s="111">
        <v>246.17877999999999</v>
      </c>
      <c r="X184" s="111">
        <f t="shared" si="49"/>
        <v>4374350.7418200001</v>
      </c>
      <c r="Y184" s="97" t="s">
        <v>724</v>
      </c>
      <c r="AC184" t="s">
        <v>25</v>
      </c>
      <c r="AI184" s="97">
        <v>164</v>
      </c>
      <c r="AJ184" s="111" t="s">
        <v>4979</v>
      </c>
      <c r="AK184" s="111">
        <v>50000</v>
      </c>
      <c r="AL184" s="97">
        <v>6</v>
      </c>
      <c r="AM184" s="20">
        <f t="shared" si="50"/>
        <v>949</v>
      </c>
      <c r="AN184" s="115">
        <f t="shared" si="51"/>
        <v>47450000</v>
      </c>
      <c r="AO184" s="20"/>
    </row>
    <row r="185" spans="5:44">
      <c r="L185" s="202" t="s">
        <v>5729</v>
      </c>
      <c r="M185" s="111">
        <v>189134.85153000001</v>
      </c>
      <c r="O185" s="112"/>
      <c r="P185" s="112"/>
      <c r="Q185" s="112"/>
      <c r="R185" s="202"/>
      <c r="S185" s="202" t="s">
        <v>4416</v>
      </c>
      <c r="T185" s="111">
        <v>2000000</v>
      </c>
      <c r="U185" s="166" t="s">
        <v>4548</v>
      </c>
      <c r="V185" s="166">
        <v>17769</v>
      </c>
      <c r="W185" s="111">
        <v>246.17877999999999</v>
      </c>
      <c r="X185" s="111">
        <f t="shared" si="49"/>
        <v>4374350.7418200001</v>
      </c>
      <c r="Y185" s="97" t="s">
        <v>434</v>
      </c>
      <c r="AI185" s="97">
        <v>165</v>
      </c>
      <c r="AJ185" s="111" t="s">
        <v>4989</v>
      </c>
      <c r="AK185" s="111">
        <v>-200000</v>
      </c>
      <c r="AL185" s="97">
        <v>0</v>
      </c>
      <c r="AM185" s="20">
        <f t="shared" si="50"/>
        <v>943</v>
      </c>
      <c r="AN185" s="115">
        <f t="shared" si="51"/>
        <v>-188600000</v>
      </c>
      <c r="AO185" s="20" t="s">
        <v>4990</v>
      </c>
    </row>
    <row r="186" spans="5:44">
      <c r="L186" s="202" t="s">
        <v>5731</v>
      </c>
      <c r="M186" s="111">
        <v>564888.82799599995</v>
      </c>
      <c r="P186" s="112"/>
      <c r="Q186" s="112"/>
      <c r="R186" s="202"/>
      <c r="S186" s="202" t="s">
        <v>4424</v>
      </c>
      <c r="T186" s="111">
        <v>1000000</v>
      </c>
      <c r="U186" s="302" t="s">
        <v>4550</v>
      </c>
      <c r="V186" s="302">
        <v>12438</v>
      </c>
      <c r="W186" s="90">
        <v>241.20465999999999</v>
      </c>
      <c r="X186" s="90">
        <f t="shared" si="49"/>
        <v>3000103.5610799999</v>
      </c>
      <c r="Y186" s="89" t="s">
        <v>4381</v>
      </c>
      <c r="AI186" s="97">
        <v>166</v>
      </c>
      <c r="AJ186" s="111" t="s">
        <v>4989</v>
      </c>
      <c r="AK186" s="111">
        <v>200000</v>
      </c>
      <c r="AL186" s="97">
        <v>3</v>
      </c>
      <c r="AM186" s="20">
        <f t="shared" si="50"/>
        <v>943</v>
      </c>
      <c r="AN186" s="115">
        <f t="shared" si="51"/>
        <v>188600000</v>
      </c>
      <c r="AO186" s="20"/>
      <c r="AR186" t="s">
        <v>25</v>
      </c>
    </row>
    <row r="187" spans="5:44">
      <c r="L187" s="202" t="s">
        <v>5756</v>
      </c>
      <c r="M187" s="111">
        <v>259993.58394100002</v>
      </c>
      <c r="O187" s="112"/>
      <c r="P187" s="112"/>
      <c r="Q187" s="112"/>
      <c r="R187" s="202"/>
      <c r="S187" s="202" t="s">
        <v>4428</v>
      </c>
      <c r="T187" s="111">
        <v>2000000</v>
      </c>
      <c r="U187" s="166" t="s">
        <v>4559</v>
      </c>
      <c r="V187" s="166">
        <v>27363</v>
      </c>
      <c r="W187" s="111">
        <v>239.3886</v>
      </c>
      <c r="X187" s="111">
        <f t="shared" si="49"/>
        <v>6550390.2617999995</v>
      </c>
      <c r="Y187" s="97" t="s">
        <v>724</v>
      </c>
      <c r="AI187" s="97">
        <v>167</v>
      </c>
      <c r="AJ187" s="111" t="s">
        <v>4996</v>
      </c>
      <c r="AK187" s="111">
        <v>200000</v>
      </c>
      <c r="AL187" s="97">
        <v>3</v>
      </c>
      <c r="AM187" s="20">
        <f t="shared" si="50"/>
        <v>940</v>
      </c>
      <c r="AN187" s="115">
        <f t="shared" si="51"/>
        <v>188000000</v>
      </c>
      <c r="AO187" s="20"/>
    </row>
    <row r="188" spans="5:44">
      <c r="L188" s="202" t="s">
        <v>5757</v>
      </c>
      <c r="M188" s="111">
        <v>269955.31205999997</v>
      </c>
      <c r="O188" s="112"/>
      <c r="P188" s="112"/>
      <c r="Q188" s="112"/>
      <c r="R188" s="202"/>
      <c r="S188" s="202" t="s">
        <v>958</v>
      </c>
      <c r="T188" s="111">
        <v>3000000</v>
      </c>
      <c r="U188" s="166" t="s">
        <v>4559</v>
      </c>
      <c r="V188" s="166">
        <v>27363</v>
      </c>
      <c r="W188" s="111">
        <v>239.3886</v>
      </c>
      <c r="X188" s="111">
        <f t="shared" si="49"/>
        <v>6550390.2617999995</v>
      </c>
      <c r="Y188" s="97" t="s">
        <v>434</v>
      </c>
      <c r="AI188" s="97">
        <v>168</v>
      </c>
      <c r="AJ188" s="111" t="s">
        <v>4999</v>
      </c>
      <c r="AK188" s="111">
        <v>30000</v>
      </c>
      <c r="AL188" s="97">
        <v>7</v>
      </c>
      <c r="AM188" s="20">
        <f t="shared" si="50"/>
        <v>937</v>
      </c>
      <c r="AN188" s="115">
        <f t="shared" si="51"/>
        <v>28110000</v>
      </c>
      <c r="AO188" s="20"/>
    </row>
    <row r="189" spans="5:44">
      <c r="L189" s="202" t="s">
        <v>6112</v>
      </c>
      <c r="M189" s="111">
        <v>560534.38387200003</v>
      </c>
      <c r="Q189" s="112"/>
      <c r="R189" s="202"/>
      <c r="S189" s="202" t="s">
        <v>4550</v>
      </c>
      <c r="T189" s="111">
        <v>3000000</v>
      </c>
      <c r="U189" s="201" t="s">
        <v>4561</v>
      </c>
      <c r="V189" s="201">
        <v>27437</v>
      </c>
      <c r="W189" s="111">
        <v>242.4015</v>
      </c>
      <c r="X189" s="111">
        <f t="shared" si="49"/>
        <v>6650769.9555000002</v>
      </c>
      <c r="Y189" s="97" t="s">
        <v>724</v>
      </c>
      <c r="AI189" s="97">
        <v>169</v>
      </c>
      <c r="AJ189" s="111" t="s">
        <v>4958</v>
      </c>
      <c r="AK189" s="111">
        <v>-10000000</v>
      </c>
      <c r="AL189" s="97">
        <v>0</v>
      </c>
      <c r="AM189" s="20">
        <f t="shared" si="50"/>
        <v>930</v>
      </c>
      <c r="AN189" s="115">
        <f t="shared" si="51"/>
        <v>-9300000000</v>
      </c>
      <c r="AO189" s="20" t="s">
        <v>4918</v>
      </c>
    </row>
    <row r="190" spans="5:44">
      <c r="L190" s="202" t="s">
        <v>6114</v>
      </c>
      <c r="M190" s="111">
        <v>581484.96802499995</v>
      </c>
      <c r="P190" s="112"/>
      <c r="Q190" s="112"/>
      <c r="R190" s="202" t="s">
        <v>4708</v>
      </c>
      <c r="S190" s="202" t="s">
        <v>4703</v>
      </c>
      <c r="T190" s="111">
        <v>-800000</v>
      </c>
      <c r="U190" s="201" t="s">
        <v>4561</v>
      </c>
      <c r="V190" s="201">
        <v>29104</v>
      </c>
      <c r="W190" s="111">
        <v>242.4015</v>
      </c>
      <c r="X190" s="111">
        <f t="shared" si="49"/>
        <v>7054853.2560000001</v>
      </c>
      <c r="Y190" s="97" t="s">
        <v>434</v>
      </c>
      <c r="AI190" s="97">
        <v>170</v>
      </c>
      <c r="AJ190" s="111" t="s">
        <v>4958</v>
      </c>
      <c r="AK190" s="111">
        <v>6000000</v>
      </c>
      <c r="AL190" s="97">
        <v>8</v>
      </c>
      <c r="AM190" s="20">
        <f t="shared" si="50"/>
        <v>930</v>
      </c>
      <c r="AN190" s="115">
        <f t="shared" si="51"/>
        <v>5580000000</v>
      </c>
      <c r="AO190" s="20"/>
      <c r="AQ190" t="s">
        <v>25</v>
      </c>
    </row>
    <row r="191" spans="5:44">
      <c r="L191" s="202" t="s">
        <v>6116</v>
      </c>
      <c r="M191" s="111">
        <v>2136964.3409779998</v>
      </c>
      <c r="P191" s="112"/>
      <c r="Q191" s="112"/>
      <c r="R191" s="202" t="s">
        <v>4709</v>
      </c>
      <c r="S191" s="202" t="s">
        <v>4703</v>
      </c>
      <c r="T191" s="111">
        <v>-900000</v>
      </c>
      <c r="U191" s="202" t="s">
        <v>4574</v>
      </c>
      <c r="V191" s="202">
        <v>8991</v>
      </c>
      <c r="W191" s="111">
        <v>238.64867000000001</v>
      </c>
      <c r="X191" s="111">
        <f t="shared" si="49"/>
        <v>2145690.19197</v>
      </c>
      <c r="Y191" s="97" t="s">
        <v>724</v>
      </c>
      <c r="AI191" s="97">
        <v>171</v>
      </c>
      <c r="AJ191" s="111" t="s">
        <v>5023</v>
      </c>
      <c r="AK191" s="111">
        <v>150000</v>
      </c>
      <c r="AL191" s="97">
        <v>7</v>
      </c>
      <c r="AM191" s="20">
        <f>AM192+AL191</f>
        <v>922</v>
      </c>
      <c r="AN191" s="115">
        <f>AK191*AM191</f>
        <v>138300000</v>
      </c>
      <c r="AO191" s="20"/>
    </row>
    <row r="192" spans="5:44">
      <c r="L192" s="202" t="s">
        <v>6119</v>
      </c>
      <c r="M192" s="111">
        <v>593783.22629999998</v>
      </c>
      <c r="P192" s="112"/>
      <c r="Q192" s="112"/>
      <c r="R192" s="202" t="s">
        <v>4709</v>
      </c>
      <c r="S192" s="202" t="s">
        <v>945</v>
      </c>
      <c r="T192" s="111">
        <v>-1100000</v>
      </c>
      <c r="U192" s="202" t="s">
        <v>4574</v>
      </c>
      <c r="V192" s="202">
        <v>8991</v>
      </c>
      <c r="W192" s="111">
        <v>238.64867000000001</v>
      </c>
      <c r="X192" s="111">
        <f t="shared" si="49"/>
        <v>2145690.19197</v>
      </c>
      <c r="Y192" s="97" t="s">
        <v>434</v>
      </c>
      <c r="AI192" s="97">
        <v>172</v>
      </c>
      <c r="AJ192" s="111" t="s">
        <v>5056</v>
      </c>
      <c r="AK192" s="111">
        <v>400000</v>
      </c>
      <c r="AL192" s="97">
        <v>1</v>
      </c>
      <c r="AM192" s="20">
        <f>AM193+AL192</f>
        <v>915</v>
      </c>
      <c r="AN192" s="115">
        <f>AK192*AM192</f>
        <v>366000000</v>
      </c>
      <c r="AO192" s="20"/>
    </row>
    <row r="193" spans="12:46">
      <c r="L193" s="202" t="s">
        <v>6123</v>
      </c>
      <c r="M193" s="111">
        <v>469469.96222000004</v>
      </c>
      <c r="P193" s="112"/>
      <c r="Q193" s="112"/>
      <c r="R193" s="187" t="s">
        <v>1050</v>
      </c>
      <c r="S193" s="187" t="s">
        <v>4731</v>
      </c>
      <c r="T193" s="191">
        <v>30000000</v>
      </c>
      <c r="U193" s="202" t="s">
        <v>4584</v>
      </c>
      <c r="V193" s="202">
        <v>18170</v>
      </c>
      <c r="W193" s="111">
        <v>240.48475999999999</v>
      </c>
      <c r="X193" s="111">
        <f t="shared" si="49"/>
        <v>4369608.0892000003</v>
      </c>
      <c r="Y193" s="97" t="s">
        <v>724</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19" t="s">
        <v>4805</v>
      </c>
      <c r="S194" s="19" t="s">
        <v>4803</v>
      </c>
      <c r="T194" s="115">
        <v>2000000</v>
      </c>
      <c r="U194" s="202" t="s">
        <v>4584</v>
      </c>
      <c r="V194" s="202">
        <v>18170</v>
      </c>
      <c r="W194" s="111">
        <v>240.48475999999999</v>
      </c>
      <c r="X194" s="111">
        <f t="shared" si="49"/>
        <v>4369608.0892000003</v>
      </c>
      <c r="Y194" s="97" t="s">
        <v>434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R195" s="186" t="s">
        <v>4826</v>
      </c>
      <c r="S195" s="186" t="s">
        <v>4825</v>
      </c>
      <c r="T195" s="185">
        <v>480105</v>
      </c>
      <c r="U195" s="202" t="s">
        <v>4586</v>
      </c>
      <c r="V195" s="202">
        <v>36797</v>
      </c>
      <c r="W195" s="111">
        <v>239.0822</v>
      </c>
      <c r="X195" s="111">
        <f t="shared" si="49"/>
        <v>8797507.7134000007</v>
      </c>
      <c r="Y195" s="97" t="s">
        <v>724</v>
      </c>
      <c r="AI195" s="97">
        <v>175</v>
      </c>
      <c r="AJ195" s="111" t="s">
        <v>5068</v>
      </c>
      <c r="AK195" s="111">
        <v>-400000</v>
      </c>
      <c r="AL195" s="97">
        <v>6</v>
      </c>
      <c r="AM195" s="20">
        <f t="shared" ref="AM195:AM203" si="52">AM196+AL195</f>
        <v>912</v>
      </c>
      <c r="AN195" s="115">
        <f t="shared" ref="AN195:AN203" si="53">AK195*AM195</f>
        <v>-364800000</v>
      </c>
      <c r="AO195" s="20"/>
    </row>
    <row r="196" spans="12:46">
      <c r="L196" s="202" t="s">
        <v>6163</v>
      </c>
      <c r="M196" s="111">
        <v>676700.69889600005</v>
      </c>
      <c r="P196" s="112"/>
      <c r="Q196" s="112"/>
      <c r="R196" s="186"/>
      <c r="S196" s="186" t="s">
        <v>4866</v>
      </c>
      <c r="T196" s="185">
        <v>30500000</v>
      </c>
      <c r="U196" s="202" t="s">
        <v>4586</v>
      </c>
      <c r="V196" s="202">
        <v>36797</v>
      </c>
      <c r="W196" s="111">
        <v>239.0822</v>
      </c>
      <c r="X196" s="111">
        <f t="shared" si="49"/>
        <v>8797507.7134000007</v>
      </c>
      <c r="Y196" s="97" t="s">
        <v>434</v>
      </c>
      <c r="AA196" t="s">
        <v>25</v>
      </c>
      <c r="AI196" s="97">
        <v>176</v>
      </c>
      <c r="AJ196" s="111" t="s">
        <v>5075</v>
      </c>
      <c r="AK196" s="111">
        <v>1300000</v>
      </c>
      <c r="AL196" s="97">
        <v>0</v>
      </c>
      <c r="AM196" s="20">
        <f t="shared" si="52"/>
        <v>906</v>
      </c>
      <c r="AN196" s="115">
        <f t="shared" si="53"/>
        <v>1177800000</v>
      </c>
      <c r="AO196" s="20"/>
      <c r="AS196" t="s">
        <v>25</v>
      </c>
    </row>
    <row r="197" spans="12:46">
      <c r="L197" s="202" t="s">
        <v>6171</v>
      </c>
      <c r="M197" s="111">
        <v>1105777.5430340001</v>
      </c>
      <c r="P197" s="112"/>
      <c r="Q197" s="112"/>
      <c r="R197" s="19" t="s">
        <v>4893</v>
      </c>
      <c r="S197" s="19" t="s">
        <v>4888</v>
      </c>
      <c r="T197" s="115">
        <v>-400000</v>
      </c>
      <c r="U197" s="202" t="s">
        <v>4595</v>
      </c>
      <c r="V197" s="202">
        <v>28066</v>
      </c>
      <c r="W197" s="111">
        <v>237.56970000000001</v>
      </c>
      <c r="X197" s="111">
        <f t="shared" si="49"/>
        <v>6667631.2002000008</v>
      </c>
      <c r="Y197" s="97" t="s">
        <v>724</v>
      </c>
      <c r="AI197" s="97">
        <v>177</v>
      </c>
      <c r="AJ197" s="111" t="s">
        <v>5075</v>
      </c>
      <c r="AK197" s="111">
        <v>230000</v>
      </c>
      <c r="AL197" s="97">
        <v>1</v>
      </c>
      <c r="AM197" s="20">
        <f t="shared" si="52"/>
        <v>906</v>
      </c>
      <c r="AN197" s="115">
        <f t="shared" si="53"/>
        <v>208380000</v>
      </c>
      <c r="AO197" s="20"/>
    </row>
    <row r="198" spans="12:46">
      <c r="L198" s="202" t="s">
        <v>6173</v>
      </c>
      <c r="M198" s="111">
        <v>2315234.8602510002</v>
      </c>
      <c r="P198" s="112"/>
      <c r="Q198" s="112"/>
      <c r="R198" s="186" t="s">
        <v>5002</v>
      </c>
      <c r="S198" s="186" t="s">
        <v>4923</v>
      </c>
      <c r="T198" s="185">
        <v>-349550</v>
      </c>
      <c r="U198" s="202" t="s">
        <v>4595</v>
      </c>
      <c r="V198" s="202">
        <v>28066</v>
      </c>
      <c r="W198" s="111">
        <v>237.56970000000001</v>
      </c>
      <c r="X198" s="111">
        <f t="shared" si="49"/>
        <v>6667631.2002000008</v>
      </c>
      <c r="Y198" s="97" t="s">
        <v>434</v>
      </c>
      <c r="Z198" t="s">
        <v>25</v>
      </c>
      <c r="AI198" s="97">
        <v>178</v>
      </c>
      <c r="AJ198" s="111" t="s">
        <v>5078</v>
      </c>
      <c r="AK198" s="111">
        <v>880000</v>
      </c>
      <c r="AL198" s="97">
        <v>4</v>
      </c>
      <c r="AM198" s="20">
        <f t="shared" si="52"/>
        <v>905</v>
      </c>
      <c r="AN198" s="115">
        <f t="shared" si="53"/>
        <v>796400000</v>
      </c>
      <c r="AO198" s="20"/>
    </row>
    <row r="199" spans="12:46">
      <c r="L199" s="202" t="s">
        <v>6174</v>
      </c>
      <c r="M199" s="111">
        <v>4136360.6541840001</v>
      </c>
      <c r="P199" s="112"/>
      <c r="Q199" s="112"/>
      <c r="R199" s="19" t="s">
        <v>4893</v>
      </c>
      <c r="S199" s="19" t="s">
        <v>5063</v>
      </c>
      <c r="T199" s="115">
        <v>-200000</v>
      </c>
      <c r="U199" s="202" t="s">
        <v>3647</v>
      </c>
      <c r="V199" s="202">
        <v>37457</v>
      </c>
      <c r="W199" s="111">
        <v>239.77</v>
      </c>
      <c r="X199" s="111">
        <f t="shared" si="49"/>
        <v>8981064.8900000006</v>
      </c>
      <c r="Y199" s="97" t="s">
        <v>724</v>
      </c>
      <c r="AI199" s="97">
        <v>179</v>
      </c>
      <c r="AJ199" s="111" t="s">
        <v>5082</v>
      </c>
      <c r="AK199" s="111">
        <v>-900000</v>
      </c>
      <c r="AL199" s="97">
        <v>1</v>
      </c>
      <c r="AM199" s="20">
        <f t="shared" si="52"/>
        <v>901</v>
      </c>
      <c r="AN199" s="115">
        <f t="shared" si="53"/>
        <v>-810900000</v>
      </c>
      <c r="AO199" s="20"/>
    </row>
    <row r="200" spans="12:46">
      <c r="L200" s="202" t="s">
        <v>6175</v>
      </c>
      <c r="M200" s="111">
        <v>3035714.4702960001</v>
      </c>
      <c r="O200" s="112"/>
      <c r="P200" s="112"/>
      <c r="Q200" s="112"/>
      <c r="R200" s="19" t="s">
        <v>4893</v>
      </c>
      <c r="S200" s="19" t="s">
        <v>5095</v>
      </c>
      <c r="T200" s="115">
        <v>-122000</v>
      </c>
      <c r="U200" s="202" t="s">
        <v>3647</v>
      </c>
      <c r="V200" s="202">
        <v>37457</v>
      </c>
      <c r="W200" s="111">
        <v>239.77</v>
      </c>
      <c r="X200" s="111">
        <f t="shared" si="49"/>
        <v>8981064.8900000006</v>
      </c>
      <c r="Y200" s="97" t="s">
        <v>434</v>
      </c>
      <c r="Z200" s="94" t="s">
        <v>25</v>
      </c>
      <c r="AI200" s="97">
        <v>180</v>
      </c>
      <c r="AJ200" s="111" t="s">
        <v>956</v>
      </c>
      <c r="AK200" s="111">
        <v>-3500000</v>
      </c>
      <c r="AL200" s="97">
        <v>1</v>
      </c>
      <c r="AM200" s="20">
        <f t="shared" si="52"/>
        <v>900</v>
      </c>
      <c r="AN200" s="115">
        <f t="shared" si="53"/>
        <v>-3150000000</v>
      </c>
      <c r="AO200" s="20"/>
      <c r="AS200" t="s">
        <v>25</v>
      </c>
    </row>
    <row r="201" spans="12:46">
      <c r="L201" s="202" t="s">
        <v>6182</v>
      </c>
      <c r="M201" s="111">
        <v>93814</v>
      </c>
      <c r="O201" t="s">
        <v>25</v>
      </c>
      <c r="P201" s="112"/>
      <c r="Q201" s="112"/>
      <c r="R201" s="19" t="s">
        <v>4893</v>
      </c>
      <c r="S201" s="19" t="s">
        <v>5103</v>
      </c>
      <c r="T201" s="115">
        <v>-700000</v>
      </c>
      <c r="U201" s="202" t="s">
        <v>4606</v>
      </c>
      <c r="V201" s="202">
        <v>38412</v>
      </c>
      <c r="W201" s="111">
        <v>239.03</v>
      </c>
      <c r="X201" s="111">
        <f t="shared" si="49"/>
        <v>9181620.3599999994</v>
      </c>
      <c r="Y201" s="97" t="s">
        <v>724</v>
      </c>
      <c r="Z201" t="s">
        <v>25</v>
      </c>
      <c r="AI201" s="97">
        <v>181</v>
      </c>
      <c r="AJ201" s="111" t="s">
        <v>4230</v>
      </c>
      <c r="AK201" s="111">
        <v>-1600000</v>
      </c>
      <c r="AL201" s="97">
        <v>1</v>
      </c>
      <c r="AM201" s="20">
        <f t="shared" si="52"/>
        <v>899</v>
      </c>
      <c r="AN201" s="115">
        <f t="shared" si="53"/>
        <v>-1438400000</v>
      </c>
      <c r="AO201" s="20"/>
      <c r="AR201" t="s">
        <v>25</v>
      </c>
    </row>
    <row r="202" spans="12:46">
      <c r="L202" s="202" t="s">
        <v>6185</v>
      </c>
      <c r="M202" s="111">
        <v>345069.28943499998</v>
      </c>
      <c r="P202" s="112"/>
      <c r="R202" s="19" t="s">
        <v>4893</v>
      </c>
      <c r="S202" s="19" t="s">
        <v>5113</v>
      </c>
      <c r="T202" s="115">
        <v>-60000</v>
      </c>
      <c r="U202" s="202" t="s">
        <v>4606</v>
      </c>
      <c r="V202" s="202">
        <v>38412</v>
      </c>
      <c r="W202" s="111">
        <v>239.03</v>
      </c>
      <c r="X202" s="111">
        <f t="shared" si="49"/>
        <v>9181620.3599999994</v>
      </c>
      <c r="Y202" s="97" t="s">
        <v>434</v>
      </c>
      <c r="AI202" s="97">
        <v>182</v>
      </c>
      <c r="AJ202" s="111" t="s">
        <v>5087</v>
      </c>
      <c r="AK202" s="111">
        <v>-800000</v>
      </c>
      <c r="AL202" s="97">
        <v>7</v>
      </c>
      <c r="AM202" s="20">
        <f t="shared" si="52"/>
        <v>898</v>
      </c>
      <c r="AN202" s="115">
        <f t="shared" si="53"/>
        <v>-718400000</v>
      </c>
      <c r="AO202" s="20"/>
    </row>
    <row r="203" spans="12:46">
      <c r="L203" s="202" t="s">
        <v>6274</v>
      </c>
      <c r="M203" s="111">
        <v>567785.37859199999</v>
      </c>
      <c r="O203" t="s">
        <v>25</v>
      </c>
      <c r="P203" s="112"/>
      <c r="R203" s="19" t="s">
        <v>4381</v>
      </c>
      <c r="S203" s="19" t="s">
        <v>5172</v>
      </c>
      <c r="T203" s="115">
        <v>700000</v>
      </c>
      <c r="U203" s="202" t="s">
        <v>4609</v>
      </c>
      <c r="V203" s="202">
        <v>49555</v>
      </c>
      <c r="W203" s="111">
        <v>238.345</v>
      </c>
      <c r="X203" s="111">
        <f t="shared" si="49"/>
        <v>11811186.475</v>
      </c>
      <c r="Y203" s="97" t="s">
        <v>724</v>
      </c>
      <c r="AI203" s="97">
        <v>183</v>
      </c>
      <c r="AJ203" s="111" t="s">
        <v>5095</v>
      </c>
      <c r="AK203" s="111">
        <v>50000</v>
      </c>
      <c r="AL203" s="97">
        <v>2</v>
      </c>
      <c r="AM203" s="20">
        <f t="shared" si="52"/>
        <v>891</v>
      </c>
      <c r="AN203" s="115">
        <f t="shared" si="53"/>
        <v>44550000</v>
      </c>
      <c r="AO203" s="20"/>
    </row>
    <row r="204" spans="12:46">
      <c r="L204" s="202" t="s">
        <v>6280</v>
      </c>
      <c r="M204" s="111">
        <v>189683.91675</v>
      </c>
      <c r="P204" s="112"/>
      <c r="R204" s="186" t="s">
        <v>1050</v>
      </c>
      <c r="S204" s="186" t="s">
        <v>5191</v>
      </c>
      <c r="T204" s="185">
        <v>40000000</v>
      </c>
      <c r="U204" s="202" t="s">
        <v>4609</v>
      </c>
      <c r="V204" s="202">
        <v>49555</v>
      </c>
      <c r="W204" s="111">
        <v>238.345</v>
      </c>
      <c r="X204" s="111">
        <f t="shared" si="49"/>
        <v>11811186.475</v>
      </c>
      <c r="Y204" s="97" t="s">
        <v>434</v>
      </c>
      <c r="AI204" s="97">
        <v>184</v>
      </c>
      <c r="AJ204" s="111" t="s">
        <v>5097</v>
      </c>
      <c r="AK204" s="111">
        <v>400000</v>
      </c>
      <c r="AL204" s="97">
        <v>8</v>
      </c>
      <c r="AM204" s="20">
        <f t="shared" ref="AM204:AM213" si="54">AM205+AL204</f>
        <v>889</v>
      </c>
      <c r="AN204" s="115">
        <f t="shared" ref="AN204:AN213" si="55">AK204*AM204</f>
        <v>355600000</v>
      </c>
      <c r="AO204" s="20"/>
      <c r="AS204" t="s">
        <v>25</v>
      </c>
    </row>
    <row r="205" spans="12:46">
      <c r="L205" s="202" t="s">
        <v>6281</v>
      </c>
      <c r="M205" s="111">
        <v>519135.75707200001</v>
      </c>
      <c r="P205" s="112"/>
      <c r="R205" s="19" t="s">
        <v>4381</v>
      </c>
      <c r="S205" s="19" t="s">
        <v>5195</v>
      </c>
      <c r="T205" s="115">
        <v>-800000</v>
      </c>
      <c r="U205" s="202" t="s">
        <v>4621</v>
      </c>
      <c r="V205" s="202">
        <v>160187</v>
      </c>
      <c r="W205" s="111">
        <v>257.49799999999999</v>
      </c>
      <c r="X205" s="111">
        <f t="shared" si="49"/>
        <v>41247832.126000002</v>
      </c>
      <c r="Y205" s="97" t="s">
        <v>724</v>
      </c>
      <c r="Z205" t="s">
        <v>25</v>
      </c>
      <c r="AI205" s="97">
        <v>185</v>
      </c>
      <c r="AJ205" s="111" t="s">
        <v>5073</v>
      </c>
      <c r="AK205" s="111">
        <v>-10000000</v>
      </c>
      <c r="AL205" s="97">
        <v>0</v>
      </c>
      <c r="AM205" s="20">
        <f t="shared" si="54"/>
        <v>881</v>
      </c>
      <c r="AN205" s="115">
        <f t="shared" si="55"/>
        <v>-8810000000</v>
      </c>
      <c r="AO205" s="20" t="s">
        <v>4918</v>
      </c>
    </row>
    <row r="206" spans="12:46">
      <c r="L206" s="202" t="s">
        <v>6287</v>
      </c>
      <c r="M206" s="111">
        <v>3406413.9029760002</v>
      </c>
      <c r="O206" t="s">
        <v>25</v>
      </c>
      <c r="P206" s="112"/>
      <c r="Q206" s="112"/>
      <c r="R206" s="202" t="s">
        <v>4381</v>
      </c>
      <c r="S206" s="202" t="s">
        <v>5277</v>
      </c>
      <c r="T206" s="115">
        <v>700000</v>
      </c>
      <c r="U206" s="202" t="s">
        <v>4621</v>
      </c>
      <c r="V206" s="202">
        <v>160187</v>
      </c>
      <c r="W206" s="111">
        <v>257.49799999999999</v>
      </c>
      <c r="X206" s="111">
        <f t="shared" si="49"/>
        <v>41247832.126000002</v>
      </c>
      <c r="Y206" s="97" t="s">
        <v>434</v>
      </c>
      <c r="AB206" t="s">
        <v>25</v>
      </c>
      <c r="AI206" s="97">
        <v>186</v>
      </c>
      <c r="AJ206" s="111" t="s">
        <v>5073</v>
      </c>
      <c r="AK206" s="111">
        <v>3000000</v>
      </c>
      <c r="AL206" s="97">
        <v>1</v>
      </c>
      <c r="AM206" s="20">
        <f t="shared" si="54"/>
        <v>881</v>
      </c>
      <c r="AN206" s="115">
        <f t="shared" si="55"/>
        <v>2643000000</v>
      </c>
      <c r="AO206" s="20"/>
    </row>
    <row r="207" spans="12:46">
      <c r="L207" s="318" t="s">
        <v>6288</v>
      </c>
      <c r="M207" s="77">
        <v>435036.348168</v>
      </c>
      <c r="Q207" s="112"/>
      <c r="R207" s="186" t="s">
        <v>5293</v>
      </c>
      <c r="S207" s="186" t="s">
        <v>5291</v>
      </c>
      <c r="T207" s="185">
        <v>-26000000</v>
      </c>
      <c r="U207" s="202" t="s">
        <v>4628</v>
      </c>
      <c r="V207" s="202">
        <v>144401</v>
      </c>
      <c r="W207" s="111">
        <v>258.5061</v>
      </c>
      <c r="X207" s="111">
        <f t="shared" si="49"/>
        <v>37328539.346100003</v>
      </c>
      <c r="Y207" s="97" t="s">
        <v>724</v>
      </c>
      <c r="AA207" t="s">
        <v>25</v>
      </c>
      <c r="AI207" s="97">
        <v>187</v>
      </c>
      <c r="AJ207" s="111" t="s">
        <v>5109</v>
      </c>
      <c r="AK207" s="111">
        <v>500000</v>
      </c>
      <c r="AL207" s="97">
        <v>23</v>
      </c>
      <c r="AM207" s="20">
        <f t="shared" si="54"/>
        <v>880</v>
      </c>
      <c r="AN207" s="115">
        <f t="shared" si="55"/>
        <v>440000000</v>
      </c>
      <c r="AO207" s="20"/>
      <c r="AS207" t="s">
        <v>25</v>
      </c>
    </row>
    <row r="208" spans="12:46">
      <c r="L208" s="202" t="s">
        <v>6309</v>
      </c>
      <c r="M208" s="111">
        <v>2321535.4633200001</v>
      </c>
      <c r="P208" s="112"/>
      <c r="Q208" s="112"/>
      <c r="R208" s="186" t="s">
        <v>5293</v>
      </c>
      <c r="S208" s="186" t="s">
        <v>5295</v>
      </c>
      <c r="T208" s="185">
        <v>-95900000</v>
      </c>
      <c r="U208" s="202" t="s">
        <v>4628</v>
      </c>
      <c r="V208" s="202">
        <v>144401</v>
      </c>
      <c r="W208" s="111">
        <v>258.5061</v>
      </c>
      <c r="X208" s="111">
        <f t="shared" si="49"/>
        <v>37328539.346100003</v>
      </c>
      <c r="Y208" s="97" t="s">
        <v>434</v>
      </c>
      <c r="AI208" s="97">
        <v>188</v>
      </c>
      <c r="AJ208" s="111" t="s">
        <v>5130</v>
      </c>
      <c r="AK208" s="111">
        <v>101268</v>
      </c>
      <c r="AL208" s="97">
        <v>1</v>
      </c>
      <c r="AM208" s="20">
        <f t="shared" si="54"/>
        <v>857</v>
      </c>
      <c r="AN208" s="115">
        <f t="shared" si="55"/>
        <v>86786676</v>
      </c>
      <c r="AO208" s="20"/>
      <c r="AS208" t="s">
        <v>25</v>
      </c>
    </row>
    <row r="209" spans="12:47">
      <c r="L209" s="202" t="s">
        <v>6590</v>
      </c>
      <c r="M209" s="111">
        <v>1098146.8035800001</v>
      </c>
      <c r="Q209" s="112"/>
      <c r="R209" s="186" t="s">
        <v>5293</v>
      </c>
      <c r="S209" s="186" t="s">
        <v>5296</v>
      </c>
      <c r="T209" s="185">
        <v>-28950000</v>
      </c>
      <c r="U209" s="166" t="s">
        <v>4634</v>
      </c>
      <c r="V209" s="166">
        <v>196500</v>
      </c>
      <c r="W209" s="111">
        <v>254.452</v>
      </c>
      <c r="X209" s="111">
        <f t="shared" si="49"/>
        <v>49999818</v>
      </c>
      <c r="Y209" s="97" t="s">
        <v>4636</v>
      </c>
      <c r="Z209" t="s">
        <v>25</v>
      </c>
      <c r="AI209" s="97">
        <v>189</v>
      </c>
      <c r="AJ209" s="111" t="s">
        <v>5133</v>
      </c>
      <c r="AK209" s="111">
        <v>101000</v>
      </c>
      <c r="AL209" s="97">
        <v>34</v>
      </c>
      <c r="AM209" s="20">
        <f t="shared" si="54"/>
        <v>856</v>
      </c>
      <c r="AN209" s="115">
        <f t="shared" si="55"/>
        <v>86456000</v>
      </c>
      <c r="AO209" s="20"/>
      <c r="AQ209" t="s">
        <v>25</v>
      </c>
      <c r="AU209" s="94" t="s">
        <v>25</v>
      </c>
    </row>
    <row r="210" spans="12:47">
      <c r="L210" s="202" t="s">
        <v>6595</v>
      </c>
      <c r="M210" s="111">
        <v>540424.560405</v>
      </c>
      <c r="Q210" s="112"/>
      <c r="R210" s="186" t="s">
        <v>5310</v>
      </c>
      <c r="S210" s="186" t="s">
        <v>5308</v>
      </c>
      <c r="T210" s="185">
        <v>1896188</v>
      </c>
      <c r="U210" s="202" t="s">
        <v>4634</v>
      </c>
      <c r="V210" s="202">
        <v>2561</v>
      </c>
      <c r="W210" s="111">
        <v>254.536</v>
      </c>
      <c r="X210" s="111">
        <f t="shared" si="49"/>
        <v>651866.696</v>
      </c>
      <c r="Y210" s="97" t="s">
        <v>4637</v>
      </c>
      <c r="AI210" s="97">
        <v>190</v>
      </c>
      <c r="AJ210" s="111" t="s">
        <v>5158</v>
      </c>
      <c r="AK210" s="111">
        <v>-488602</v>
      </c>
      <c r="AL210" s="97">
        <v>5</v>
      </c>
      <c r="AM210" s="20">
        <f t="shared" si="54"/>
        <v>822</v>
      </c>
      <c r="AN210" s="115">
        <f t="shared" si="55"/>
        <v>-401630844</v>
      </c>
      <c r="AO210" s="20"/>
      <c r="AS210" t="s">
        <v>25</v>
      </c>
    </row>
    <row r="211" spans="12:47">
      <c r="L211" s="202" t="s">
        <v>6596</v>
      </c>
      <c r="M211" s="111">
        <v>2781712.2405709997</v>
      </c>
      <c r="Q211" s="112"/>
      <c r="R211" s="186" t="s">
        <v>5461</v>
      </c>
      <c r="S211" s="186" t="s">
        <v>4186</v>
      </c>
      <c r="T211" s="185">
        <v>13752871.322800001</v>
      </c>
      <c r="U211" s="202" t="s">
        <v>4675</v>
      </c>
      <c r="V211" s="202">
        <v>-11795</v>
      </c>
      <c r="W211" s="111">
        <v>254.334</v>
      </c>
      <c r="X211" s="111">
        <f t="shared" si="49"/>
        <v>-2999869.5300000003</v>
      </c>
      <c r="Y211" s="97" t="s">
        <v>4676</v>
      </c>
      <c r="AB211" t="s">
        <v>25</v>
      </c>
      <c r="AI211" s="97">
        <v>191</v>
      </c>
      <c r="AJ211" s="111" t="s">
        <v>5172</v>
      </c>
      <c r="AK211" s="111">
        <v>360000</v>
      </c>
      <c r="AL211" s="97">
        <v>10</v>
      </c>
      <c r="AM211" s="20">
        <f t="shared" si="54"/>
        <v>817</v>
      </c>
      <c r="AN211" s="115">
        <f t="shared" si="55"/>
        <v>294120000</v>
      </c>
      <c r="AO211" s="20"/>
      <c r="AS211" t="s">
        <v>25</v>
      </c>
    </row>
    <row r="212" spans="12:47">
      <c r="L212" s="202" t="s">
        <v>6601</v>
      </c>
      <c r="M212" s="111">
        <v>109680.86334900001</v>
      </c>
      <c r="Q212" s="112"/>
      <c r="R212" s="19" t="s">
        <v>5472</v>
      </c>
      <c r="S212" s="19" t="s">
        <v>5470</v>
      </c>
      <c r="T212" s="115">
        <v>3123901.3702000002</v>
      </c>
      <c r="U212" s="202" t="s">
        <v>4675</v>
      </c>
      <c r="V212" s="202">
        <v>11795</v>
      </c>
      <c r="W212" s="111">
        <v>254.334</v>
      </c>
      <c r="X212" s="111">
        <f t="shared" si="49"/>
        <v>2999869.5300000003</v>
      </c>
      <c r="Y212" s="97" t="s">
        <v>4677</v>
      </c>
      <c r="AI212" s="97">
        <v>192</v>
      </c>
      <c r="AJ212" s="111" t="s">
        <v>5182</v>
      </c>
      <c r="AK212" s="111">
        <v>-3600000</v>
      </c>
      <c r="AL212" s="97">
        <v>4</v>
      </c>
      <c r="AM212" s="20">
        <f t="shared" si="54"/>
        <v>807</v>
      </c>
      <c r="AN212" s="115">
        <f t="shared" si="55"/>
        <v>-2905200000</v>
      </c>
      <c r="AO212" s="20"/>
      <c r="AT212" t="s">
        <v>25</v>
      </c>
    </row>
    <row r="213" spans="12:47">
      <c r="L213" s="202" t="s">
        <v>6619</v>
      </c>
      <c r="M213" s="111">
        <v>13945790.265610002</v>
      </c>
      <c r="P213" s="112"/>
      <c r="Q213" s="112"/>
      <c r="R213" s="186" t="s">
        <v>5761</v>
      </c>
      <c r="S213" s="186" t="s">
        <v>5542</v>
      </c>
      <c r="T213" s="185">
        <v>-322076.40905199997</v>
      </c>
      <c r="U213" s="202" t="s">
        <v>4689</v>
      </c>
      <c r="V213" s="202">
        <v>260</v>
      </c>
      <c r="W213" s="111">
        <v>263.19</v>
      </c>
      <c r="X213" s="111">
        <f t="shared" si="49"/>
        <v>68429.399999999994</v>
      </c>
      <c r="Y213" s="97" t="s">
        <v>434</v>
      </c>
      <c r="AI213" s="97">
        <v>193</v>
      </c>
      <c r="AJ213" s="111" t="s">
        <v>5188</v>
      </c>
      <c r="AK213" s="111">
        <v>-1000000</v>
      </c>
      <c r="AL213" s="97">
        <v>5</v>
      </c>
      <c r="AM213" s="20">
        <f t="shared" si="54"/>
        <v>803</v>
      </c>
      <c r="AN213" s="115">
        <f t="shared" si="55"/>
        <v>-803000000</v>
      </c>
      <c r="AO213" s="20"/>
      <c r="AS213" t="s">
        <v>25</v>
      </c>
    </row>
    <row r="214" spans="12:47">
      <c r="L214" s="202" t="s">
        <v>6621</v>
      </c>
      <c r="M214" s="111">
        <v>457914.84466800001</v>
      </c>
      <c r="P214" s="112"/>
      <c r="R214" s="19" t="s">
        <v>4893</v>
      </c>
      <c r="S214" s="19" t="s">
        <v>5542</v>
      </c>
      <c r="T214" s="115">
        <v>-1500000</v>
      </c>
      <c r="U214" s="202" t="s">
        <v>4698</v>
      </c>
      <c r="V214" s="202">
        <v>15257</v>
      </c>
      <c r="W214" s="111">
        <v>262.19018</v>
      </c>
      <c r="X214" s="111">
        <f t="shared" si="49"/>
        <v>4000235.57626</v>
      </c>
      <c r="Y214" s="97" t="s">
        <v>434</v>
      </c>
      <c r="AI214" s="97">
        <v>194</v>
      </c>
      <c r="AJ214" s="111" t="s">
        <v>5193</v>
      </c>
      <c r="AK214" s="111">
        <v>360000</v>
      </c>
      <c r="AL214" s="97">
        <v>2</v>
      </c>
      <c r="AM214" s="20">
        <f t="shared" ref="AM214:AM281" si="56">AM215+AL214</f>
        <v>798</v>
      </c>
      <c r="AN214" s="115">
        <f t="shared" ref="AN214:AN281" si="57">AK214*AM214</f>
        <v>287280000</v>
      </c>
      <c r="AO214" s="20"/>
      <c r="AR214" t="s">
        <v>25</v>
      </c>
    </row>
    <row r="215" spans="12:47">
      <c r="L215" s="202" t="s">
        <v>6622</v>
      </c>
      <c r="M215" s="111">
        <v>974570.33942399989</v>
      </c>
      <c r="O215" t="s">
        <v>25</v>
      </c>
      <c r="P215" s="112"/>
      <c r="Q215" s="112"/>
      <c r="R215" s="186" t="s">
        <v>5555</v>
      </c>
      <c r="S215" s="186" t="s">
        <v>5542</v>
      </c>
      <c r="T215" s="185">
        <v>15000000</v>
      </c>
      <c r="U215" s="202" t="s">
        <v>4698</v>
      </c>
      <c r="V215" s="202">
        <v>8444</v>
      </c>
      <c r="W215" s="111">
        <v>266.43029999999999</v>
      </c>
      <c r="X215" s="111">
        <f t="shared" si="49"/>
        <v>2249737.4531999999</v>
      </c>
      <c r="Y215" s="97" t="s">
        <v>434</v>
      </c>
      <c r="AI215" s="97">
        <v>195</v>
      </c>
      <c r="AJ215" s="111" t="s">
        <v>5198</v>
      </c>
      <c r="AK215" s="111">
        <v>2000000</v>
      </c>
      <c r="AL215" s="97">
        <v>1</v>
      </c>
      <c r="AM215" s="20">
        <f t="shared" si="56"/>
        <v>796</v>
      </c>
      <c r="AN215" s="115">
        <f t="shared" si="57"/>
        <v>1592000000</v>
      </c>
      <c r="AO215" s="20"/>
    </row>
    <row r="216" spans="12:47">
      <c r="L216" s="202" t="s">
        <v>6623</v>
      </c>
      <c r="M216" s="111">
        <v>746198.52596400003</v>
      </c>
      <c r="P216" s="112"/>
      <c r="Q216" s="112"/>
      <c r="R216" s="186" t="s">
        <v>5566</v>
      </c>
      <c r="S216" s="186" t="s">
        <v>5562</v>
      </c>
      <c r="T216" s="185">
        <v>-1500000</v>
      </c>
      <c r="U216" s="302" t="s">
        <v>4703</v>
      </c>
      <c r="V216" s="302">
        <v>-6209</v>
      </c>
      <c r="W216" s="90">
        <v>273.79649999999998</v>
      </c>
      <c r="X216" s="90">
        <f t="shared" si="49"/>
        <v>-1700002.4685</v>
      </c>
      <c r="Y216" s="89" t="s">
        <v>6306</v>
      </c>
      <c r="AI216" s="97">
        <v>196</v>
      </c>
      <c r="AJ216" s="111" t="s">
        <v>5200</v>
      </c>
      <c r="AK216" s="111">
        <v>20000000</v>
      </c>
      <c r="AL216" s="97">
        <v>0</v>
      </c>
      <c r="AM216" s="20">
        <f t="shared" si="56"/>
        <v>795</v>
      </c>
      <c r="AN216" s="115">
        <f t="shared" si="57"/>
        <v>15900000000</v>
      </c>
      <c r="AO216" s="20" t="s">
        <v>4635</v>
      </c>
      <c r="AS216" t="s">
        <v>25</v>
      </c>
    </row>
    <row r="217" spans="12:47">
      <c r="L217" s="202" t="s">
        <v>6625</v>
      </c>
      <c r="M217" s="111">
        <v>416108</v>
      </c>
      <c r="P217" s="112"/>
      <c r="R217" s="186" t="s">
        <v>5629</v>
      </c>
      <c r="S217" s="186" t="s">
        <v>5627</v>
      </c>
      <c r="T217" s="185">
        <v>-70000</v>
      </c>
      <c r="U217" s="202" t="s">
        <v>4703</v>
      </c>
      <c r="V217" s="202">
        <v>-8014</v>
      </c>
      <c r="W217" s="111">
        <v>273.79649999999998</v>
      </c>
      <c r="X217" s="111">
        <f t="shared" si="49"/>
        <v>-2194205.1510000001</v>
      </c>
      <c r="Y217" s="97" t="s">
        <v>724</v>
      </c>
      <c r="AI217" s="97">
        <v>197</v>
      </c>
      <c r="AJ217" s="111" t="s">
        <v>5200</v>
      </c>
      <c r="AK217" s="111">
        <v>-4700000</v>
      </c>
      <c r="AL217" s="97">
        <v>1</v>
      </c>
      <c r="AM217" s="20">
        <f t="shared" si="56"/>
        <v>795</v>
      </c>
      <c r="AN217" s="115">
        <f t="shared" si="57"/>
        <v>-3736500000</v>
      </c>
      <c r="AO217" s="20"/>
    </row>
    <row r="218" spans="12:47">
      <c r="L218" s="202" t="s">
        <v>6637</v>
      </c>
      <c r="M218" s="111">
        <v>361620.57555000001</v>
      </c>
      <c r="P218" s="112"/>
      <c r="Q218" s="112"/>
      <c r="R218" s="186" t="s">
        <v>5635</v>
      </c>
      <c r="S218" s="186" t="s">
        <v>5633</v>
      </c>
      <c r="T218" s="185">
        <v>1300000</v>
      </c>
      <c r="U218" s="202" t="s">
        <v>4712</v>
      </c>
      <c r="V218" s="202">
        <v>-9176</v>
      </c>
      <c r="W218" s="111">
        <v>273.79649999999998</v>
      </c>
      <c r="X218" s="111">
        <f t="shared" si="49"/>
        <v>-2512356.6839999999</v>
      </c>
      <c r="Y218" s="97" t="s">
        <v>434</v>
      </c>
      <c r="AI218" s="97">
        <v>198</v>
      </c>
      <c r="AJ218" s="111" t="s">
        <v>5203</v>
      </c>
      <c r="AK218" s="111">
        <v>3000000</v>
      </c>
      <c r="AL218" s="97">
        <v>4</v>
      </c>
      <c r="AM218" s="20">
        <f t="shared" si="56"/>
        <v>794</v>
      </c>
      <c r="AN218" s="115">
        <f t="shared" si="57"/>
        <v>2382000000</v>
      </c>
      <c r="AO218" s="20"/>
      <c r="AT218" t="s">
        <v>25</v>
      </c>
    </row>
    <row r="219" spans="12:47">
      <c r="L219" s="202" t="s">
        <v>6638</v>
      </c>
      <c r="M219" s="111">
        <v>761310.51884999999</v>
      </c>
      <c r="P219" s="112"/>
      <c r="Q219" s="112"/>
      <c r="R219" s="186" t="s">
        <v>60</v>
      </c>
      <c r="S219" s="186" t="s">
        <v>5641</v>
      </c>
      <c r="T219" s="185">
        <v>90000000</v>
      </c>
      <c r="U219" s="202" t="s">
        <v>4712</v>
      </c>
      <c r="V219" s="202">
        <v>1087</v>
      </c>
      <c r="W219" s="111">
        <v>273.79649999999998</v>
      </c>
      <c r="X219" s="111">
        <f t="shared" si="49"/>
        <v>297616.79550000001</v>
      </c>
      <c r="Y219" s="97" t="s">
        <v>434</v>
      </c>
      <c r="AI219" s="97">
        <v>199</v>
      </c>
      <c r="AJ219" s="111" t="s">
        <v>5205</v>
      </c>
      <c r="AK219" s="111">
        <v>1500000</v>
      </c>
      <c r="AL219" s="97">
        <v>1</v>
      </c>
      <c r="AM219" s="20">
        <f t="shared" si="56"/>
        <v>790</v>
      </c>
      <c r="AN219" s="115">
        <f t="shared" si="57"/>
        <v>1185000000</v>
      </c>
      <c r="AO219" s="20"/>
    </row>
    <row r="220" spans="12:47">
      <c r="L220" s="202" t="s">
        <v>6639</v>
      </c>
      <c r="M220" s="111">
        <v>3047100.3041699999</v>
      </c>
      <c r="P220" s="112"/>
      <c r="R220" s="186" t="s">
        <v>5722</v>
      </c>
      <c r="S220" s="186" t="s">
        <v>5718</v>
      </c>
      <c r="T220" s="185">
        <v>33832510.64875</v>
      </c>
      <c r="U220" s="302" t="s">
        <v>945</v>
      </c>
      <c r="V220" s="302">
        <v>-4017</v>
      </c>
      <c r="W220" s="90">
        <v>273.79649999999998</v>
      </c>
      <c r="X220" s="90">
        <f t="shared" si="49"/>
        <v>-1099840.5404999999</v>
      </c>
      <c r="Y220" s="89" t="s">
        <v>4381</v>
      </c>
      <c r="AI220" s="97">
        <v>200</v>
      </c>
      <c r="AJ220" s="111" t="s">
        <v>5207</v>
      </c>
      <c r="AK220" s="111">
        <v>30000000</v>
      </c>
      <c r="AL220" s="97">
        <v>33</v>
      </c>
      <c r="AM220" s="20">
        <f t="shared" si="56"/>
        <v>789</v>
      </c>
      <c r="AN220" s="115">
        <f t="shared" si="57"/>
        <v>23670000000</v>
      </c>
      <c r="AO220" s="20"/>
    </row>
    <row r="221" spans="12:47">
      <c r="L221" s="202" t="s">
        <v>6641</v>
      </c>
      <c r="M221" s="111">
        <v>2437078.451072</v>
      </c>
      <c r="Q221" s="112"/>
      <c r="R221" s="186" t="s">
        <v>5736</v>
      </c>
      <c r="S221" s="186" t="s">
        <v>5734</v>
      </c>
      <c r="T221" s="185">
        <v>21634932</v>
      </c>
      <c r="U221" s="202" t="s">
        <v>945</v>
      </c>
      <c r="V221" s="202">
        <v>4017</v>
      </c>
      <c r="W221" s="111">
        <v>273.79649999999998</v>
      </c>
      <c r="X221" s="111">
        <f t="shared" si="49"/>
        <v>1099840.5404999999</v>
      </c>
      <c r="Y221" s="97" t="s">
        <v>434</v>
      </c>
      <c r="AI221" s="97">
        <v>201</v>
      </c>
      <c r="AJ221" s="111" t="s">
        <v>5281</v>
      </c>
      <c r="AK221" s="111">
        <v>3000000</v>
      </c>
      <c r="AL221" s="97">
        <v>1</v>
      </c>
      <c r="AM221" s="20">
        <f t="shared" si="56"/>
        <v>756</v>
      </c>
      <c r="AN221" s="115">
        <f t="shared" si="57"/>
        <v>2268000000</v>
      </c>
      <c r="AO221" s="20"/>
    </row>
    <row r="222" spans="12:47">
      <c r="L222" s="202" t="s">
        <v>6715</v>
      </c>
      <c r="M222" s="111">
        <v>7747639.4065840002</v>
      </c>
      <c r="P222" s="112"/>
      <c r="R222" s="186" t="s">
        <v>4691</v>
      </c>
      <c r="S222" s="186" t="s">
        <v>5734</v>
      </c>
      <c r="T222" s="185">
        <v>-22520813.151772</v>
      </c>
      <c r="U222" s="202" t="s">
        <v>4718</v>
      </c>
      <c r="V222" s="202">
        <v>3137</v>
      </c>
      <c r="W222" s="111">
        <v>283.69110000000001</v>
      </c>
      <c r="X222" s="111">
        <f t="shared" si="49"/>
        <v>889938.98070000007</v>
      </c>
      <c r="Y222" s="97" t="s">
        <v>434</v>
      </c>
      <c r="Z222" t="s">
        <v>25</v>
      </c>
      <c r="AI222" s="97">
        <v>202</v>
      </c>
      <c r="AJ222" s="111" t="s">
        <v>5282</v>
      </c>
      <c r="AK222" s="111">
        <v>7000000</v>
      </c>
      <c r="AL222" s="97">
        <v>4</v>
      </c>
      <c r="AM222" s="20">
        <f t="shared" si="56"/>
        <v>755</v>
      </c>
      <c r="AN222" s="115">
        <f t="shared" si="57"/>
        <v>5285000000</v>
      </c>
      <c r="AO222" s="20"/>
    </row>
    <row r="223" spans="12:47">
      <c r="L223" s="202" t="s">
        <v>6716</v>
      </c>
      <c r="M223" s="111">
        <v>5584918.3522559991</v>
      </c>
      <c r="O223" t="s">
        <v>25</v>
      </c>
      <c r="P223" s="112"/>
      <c r="R223" s="19" t="s">
        <v>6118</v>
      </c>
      <c r="S223" s="19" t="s">
        <v>6116</v>
      </c>
      <c r="T223" s="115">
        <v>-6000000</v>
      </c>
      <c r="U223" s="202" t="s">
        <v>4731</v>
      </c>
      <c r="V223" s="202">
        <v>101933</v>
      </c>
      <c r="W223" s="111">
        <v>294.30973999999998</v>
      </c>
      <c r="X223" s="111">
        <f t="shared" si="49"/>
        <v>29999874.727419998</v>
      </c>
      <c r="Y223" s="97" t="s">
        <v>1050</v>
      </c>
      <c r="Z223" t="s">
        <v>25</v>
      </c>
      <c r="AI223" s="97">
        <v>203</v>
      </c>
      <c r="AJ223" s="111" t="s">
        <v>5290</v>
      </c>
      <c r="AK223" s="111">
        <v>8800000</v>
      </c>
      <c r="AL223" s="97">
        <v>2</v>
      </c>
      <c r="AM223" s="20">
        <f t="shared" si="56"/>
        <v>751</v>
      </c>
      <c r="AN223" s="115">
        <f t="shared" si="57"/>
        <v>6608800000</v>
      </c>
      <c r="AO223" s="20"/>
    </row>
    <row r="224" spans="12:47" ht="28.5" customHeight="1">
      <c r="L224" s="202" t="s">
        <v>6717</v>
      </c>
      <c r="M224" s="111">
        <v>573666.77206800005</v>
      </c>
      <c r="R224" s="186" t="s">
        <v>5326</v>
      </c>
      <c r="S224" s="186" t="s">
        <v>6185</v>
      </c>
      <c r="T224" s="185">
        <v>130888.351165</v>
      </c>
      <c r="U224" s="202" t="s">
        <v>4738</v>
      </c>
      <c r="V224" s="202">
        <v>3407</v>
      </c>
      <c r="W224" s="111">
        <v>293.43799999999999</v>
      </c>
      <c r="X224" s="111">
        <f t="shared" si="49"/>
        <v>999743.26599999995</v>
      </c>
      <c r="Y224" s="97" t="s">
        <v>434</v>
      </c>
      <c r="AI224" s="97">
        <v>204</v>
      </c>
      <c r="AJ224" s="111" t="s">
        <v>5295</v>
      </c>
      <c r="AK224" s="111">
        <v>40000000</v>
      </c>
      <c r="AL224" s="97">
        <v>8</v>
      </c>
      <c r="AM224" s="20">
        <f t="shared" si="56"/>
        <v>749</v>
      </c>
      <c r="AN224" s="115">
        <f t="shared" si="57"/>
        <v>29960000000</v>
      </c>
      <c r="AO224" s="20" t="s">
        <v>4635</v>
      </c>
    </row>
    <row r="225" spans="4:46">
      <c r="L225" s="202" t="s">
        <v>6721</v>
      </c>
      <c r="M225" s="111">
        <v>1870018.6536539998</v>
      </c>
      <c r="P225" s="112"/>
      <c r="Q225" s="112"/>
      <c r="R225" s="186" t="s">
        <v>6285</v>
      </c>
      <c r="S225" s="186" t="s">
        <v>6281</v>
      </c>
      <c r="T225" s="185">
        <v>50000000</v>
      </c>
      <c r="U225" s="202" t="s">
        <v>4739</v>
      </c>
      <c r="V225" s="202">
        <v>68796</v>
      </c>
      <c r="W225" s="111">
        <v>293.53250000000003</v>
      </c>
      <c r="X225" s="111">
        <f t="shared" si="49"/>
        <v>20193861.870000001</v>
      </c>
      <c r="Y225" s="97" t="s">
        <v>724</v>
      </c>
      <c r="AI225" s="97">
        <v>205</v>
      </c>
      <c r="AJ225" s="111" t="s">
        <v>5308</v>
      </c>
      <c r="AK225" s="111">
        <v>400000</v>
      </c>
      <c r="AL225" s="97">
        <v>17</v>
      </c>
      <c r="AM225" s="20">
        <f t="shared" si="56"/>
        <v>741</v>
      </c>
      <c r="AN225" s="115">
        <f t="shared" si="57"/>
        <v>296400000</v>
      </c>
      <c r="AO225" s="20"/>
      <c r="AS225" t="s">
        <v>25</v>
      </c>
    </row>
    <row r="226" spans="4:46">
      <c r="L226" s="202" t="s">
        <v>6725</v>
      </c>
      <c r="M226" s="111">
        <v>117222.435308</v>
      </c>
      <c r="P226" s="112"/>
      <c r="Q226" s="112"/>
      <c r="R226" s="19" t="s">
        <v>6303</v>
      </c>
      <c r="S226" s="19" t="s">
        <v>6302</v>
      </c>
      <c r="T226" s="115">
        <v>96000</v>
      </c>
      <c r="U226" s="202" t="s">
        <v>4739</v>
      </c>
      <c r="V226" s="202">
        <v>154791</v>
      </c>
      <c r="W226" s="111">
        <v>293.53250000000003</v>
      </c>
      <c r="X226" s="111">
        <f t="shared" si="49"/>
        <v>45436189.207500003</v>
      </c>
      <c r="Y226" s="97" t="s">
        <v>434</v>
      </c>
      <c r="AI226" s="97">
        <v>206</v>
      </c>
      <c r="AJ226" s="111" t="s">
        <v>5328</v>
      </c>
      <c r="AK226" s="111">
        <v>-20000000</v>
      </c>
      <c r="AL226" s="97">
        <v>18</v>
      </c>
      <c r="AM226" s="20">
        <f t="shared" si="56"/>
        <v>724</v>
      </c>
      <c r="AN226" s="115">
        <f t="shared" si="57"/>
        <v>-14480000000</v>
      </c>
      <c r="AO226" s="20" t="s">
        <v>4918</v>
      </c>
    </row>
    <row r="227" spans="4:46">
      <c r="D227" s="94"/>
      <c r="E227" s="94"/>
      <c r="L227" s="202" t="s">
        <v>6726</v>
      </c>
      <c r="M227" s="111">
        <v>1940857.6749900002</v>
      </c>
      <c r="Q227" s="112"/>
      <c r="R227" s="186" t="s">
        <v>6697</v>
      </c>
      <c r="S227" s="186" t="s">
        <v>6695</v>
      </c>
      <c r="T227" s="185">
        <v>-40615000</v>
      </c>
      <c r="U227" s="202" t="s">
        <v>4739</v>
      </c>
      <c r="V227" s="202">
        <v>-11923</v>
      </c>
      <c r="W227" s="111">
        <v>293.53250000000003</v>
      </c>
      <c r="X227" s="111">
        <f t="shared" si="49"/>
        <v>-3499787.9975000005</v>
      </c>
      <c r="Y227" s="97" t="s">
        <v>434</v>
      </c>
      <c r="AI227" s="97">
        <v>207</v>
      </c>
      <c r="AJ227" s="111" t="s">
        <v>5342</v>
      </c>
      <c r="AK227" s="111">
        <v>3006000</v>
      </c>
      <c r="AL227" s="97">
        <v>19</v>
      </c>
      <c r="AM227" s="20">
        <f t="shared" si="56"/>
        <v>706</v>
      </c>
      <c r="AN227" s="115">
        <f t="shared" si="57"/>
        <v>2122236000</v>
      </c>
      <c r="AO227" s="20"/>
    </row>
    <row r="228" spans="4:46">
      <c r="D228" s="94"/>
      <c r="E228" s="94"/>
      <c r="K228" s="94"/>
      <c r="L228" s="202" t="s">
        <v>6745</v>
      </c>
      <c r="M228" s="111">
        <v>195324.59944799999</v>
      </c>
      <c r="P228" s="112"/>
      <c r="Q228" s="112"/>
      <c r="R228" s="186" t="s">
        <v>6718</v>
      </c>
      <c r="S228" s="186" t="s">
        <v>6717</v>
      </c>
      <c r="T228" s="185">
        <v>7300000</v>
      </c>
      <c r="U228" s="202" t="s">
        <v>4751</v>
      </c>
      <c r="V228" s="202">
        <v>8424</v>
      </c>
      <c r="W228" s="111">
        <v>299.15170000000001</v>
      </c>
      <c r="X228" s="111">
        <f t="shared" si="49"/>
        <v>2520053.9208</v>
      </c>
      <c r="Y228" s="97" t="s">
        <v>434</v>
      </c>
      <c r="AI228" s="97">
        <v>208</v>
      </c>
      <c r="AJ228" s="111" t="s">
        <v>5243</v>
      </c>
      <c r="AK228" s="111">
        <v>-130382924</v>
      </c>
      <c r="AL228" s="97">
        <v>0</v>
      </c>
      <c r="AM228" s="20">
        <f t="shared" si="56"/>
        <v>687</v>
      </c>
      <c r="AN228" s="115">
        <f t="shared" si="57"/>
        <v>-89573068788</v>
      </c>
      <c r="AO228" s="20" t="s">
        <v>5365</v>
      </c>
      <c r="AS228" t="s">
        <v>25</v>
      </c>
    </row>
    <row r="229" spans="4:46">
      <c r="D229" s="94"/>
      <c r="E229" s="94"/>
      <c r="K229" s="94"/>
      <c r="L229" s="202" t="s">
        <v>6745</v>
      </c>
      <c r="M229" s="111">
        <v>20318581.172208</v>
      </c>
      <c r="P229" t="s">
        <v>25</v>
      </c>
      <c r="Q229" s="112"/>
      <c r="R229" s="19" t="s">
        <v>6753</v>
      </c>
      <c r="S229" s="19" t="s">
        <v>6750</v>
      </c>
      <c r="T229" s="115">
        <v>-6128000</v>
      </c>
      <c r="U229" s="202" t="s">
        <v>4786</v>
      </c>
      <c r="V229" s="202">
        <v>15943</v>
      </c>
      <c r="W229" s="111">
        <v>307.34415000000001</v>
      </c>
      <c r="X229" s="111">
        <f t="shared" si="49"/>
        <v>4899987.78345</v>
      </c>
      <c r="Y229" s="97" t="s">
        <v>434</v>
      </c>
      <c r="AI229" s="97">
        <v>209</v>
      </c>
      <c r="AJ229" s="111" t="s">
        <v>5243</v>
      </c>
      <c r="AK229" s="111">
        <v>125000000</v>
      </c>
      <c r="AL229" s="97">
        <v>1</v>
      </c>
      <c r="AM229" s="20">
        <f t="shared" si="56"/>
        <v>687</v>
      </c>
      <c r="AN229" s="115">
        <f t="shared" si="57"/>
        <v>85875000000</v>
      </c>
      <c r="AO229" s="20"/>
      <c r="AS229" t="s">
        <v>25</v>
      </c>
    </row>
    <row r="230" spans="4:46">
      <c r="D230" s="94"/>
      <c r="E230" s="94"/>
      <c r="K230" s="94"/>
      <c r="L230" s="202" t="s">
        <v>6747</v>
      </c>
      <c r="M230" s="111">
        <v>2893976.613864</v>
      </c>
      <c r="Q230" s="112"/>
      <c r="R230" s="186" t="s">
        <v>6792</v>
      </c>
      <c r="S230" s="186" t="s">
        <v>6790</v>
      </c>
      <c r="T230" s="185">
        <v>-79825035</v>
      </c>
      <c r="U230" s="202" t="s">
        <v>4798</v>
      </c>
      <c r="V230" s="202">
        <v>3741</v>
      </c>
      <c r="W230" s="111">
        <v>307.34415000000001</v>
      </c>
      <c r="X230" s="111">
        <f t="shared" si="49"/>
        <v>1149774.4651500001</v>
      </c>
      <c r="Y230" s="97" t="s">
        <v>434</v>
      </c>
      <c r="AA230" t="s">
        <v>25</v>
      </c>
      <c r="AI230" s="97">
        <v>210</v>
      </c>
      <c r="AJ230" s="111" t="s">
        <v>5364</v>
      </c>
      <c r="AK230" s="111">
        <v>7200000</v>
      </c>
      <c r="AL230" s="97">
        <v>15</v>
      </c>
      <c r="AM230" s="20">
        <f t="shared" si="56"/>
        <v>686</v>
      </c>
      <c r="AN230" s="115">
        <f t="shared" si="57"/>
        <v>4939200000</v>
      </c>
      <c r="AO230" s="20"/>
      <c r="AR230" t="s">
        <v>25</v>
      </c>
      <c r="AT230" t="s">
        <v>25</v>
      </c>
    </row>
    <row r="231" spans="4:46">
      <c r="D231" s="94"/>
      <c r="E231" s="94"/>
      <c r="K231" s="94"/>
      <c r="L231" s="202" t="s">
        <v>6748</v>
      </c>
      <c r="M231" s="111">
        <v>348175.86130300001</v>
      </c>
      <c r="Q231" s="112"/>
      <c r="R231" s="19" t="s">
        <v>6816</v>
      </c>
      <c r="S231" s="19" t="s">
        <v>6811</v>
      </c>
      <c r="T231" s="115">
        <v>-11300000</v>
      </c>
      <c r="U231" s="202" t="s">
        <v>4803</v>
      </c>
      <c r="V231" s="202">
        <v>-6207</v>
      </c>
      <c r="W231" s="111">
        <v>322.214</v>
      </c>
      <c r="X231" s="111">
        <f t="shared" si="49"/>
        <v>-1999982.298</v>
      </c>
      <c r="Y231" s="97" t="s">
        <v>724</v>
      </c>
      <c r="AI231" s="97">
        <v>211</v>
      </c>
      <c r="AJ231" s="111" t="s">
        <v>5381</v>
      </c>
      <c r="AK231" s="111">
        <v>2050000</v>
      </c>
      <c r="AL231" s="97">
        <v>7</v>
      </c>
      <c r="AM231" s="20">
        <f t="shared" si="56"/>
        <v>671</v>
      </c>
      <c r="AN231" s="115">
        <f t="shared" si="57"/>
        <v>1375550000</v>
      </c>
      <c r="AO231" s="20"/>
      <c r="AS231" t="s">
        <v>25</v>
      </c>
      <c r="AT231" t="s">
        <v>25</v>
      </c>
    </row>
    <row r="232" spans="4:46">
      <c r="D232" s="94"/>
      <c r="E232" s="94"/>
      <c r="K232" s="94"/>
      <c r="L232" s="202" t="s">
        <v>6750</v>
      </c>
      <c r="M232" s="111">
        <v>315280.48550000001</v>
      </c>
      <c r="P232" s="112"/>
      <c r="Q232" s="112"/>
      <c r="R232" s="186"/>
      <c r="S232" s="186" t="s">
        <v>6830</v>
      </c>
      <c r="T232" s="185">
        <v>-15162600</v>
      </c>
      <c r="U232" s="202" t="s">
        <v>4803</v>
      </c>
      <c r="V232" s="202">
        <v>6207</v>
      </c>
      <c r="W232" s="111">
        <v>322.214</v>
      </c>
      <c r="X232" s="111">
        <f t="shared" si="49"/>
        <v>1999982.298</v>
      </c>
      <c r="Y232" s="97" t="s">
        <v>4381</v>
      </c>
      <c r="AI232" s="97">
        <v>212</v>
      </c>
      <c r="AJ232" s="111" t="s">
        <v>5391</v>
      </c>
      <c r="AK232" s="111">
        <v>50000000</v>
      </c>
      <c r="AL232" s="97">
        <v>24</v>
      </c>
      <c r="AM232" s="20">
        <f t="shared" si="56"/>
        <v>664</v>
      </c>
      <c r="AN232" s="115">
        <f t="shared" si="57"/>
        <v>33200000000</v>
      </c>
      <c r="AO232" s="20" t="s">
        <v>4635</v>
      </c>
    </row>
    <row r="233" spans="4:46">
      <c r="D233" s="94"/>
      <c r="E233" s="94"/>
      <c r="K233" s="94"/>
      <c r="L233" s="202" t="s">
        <v>6754</v>
      </c>
      <c r="M233" s="111">
        <v>184045.65498799999</v>
      </c>
      <c r="P233" s="112"/>
      <c r="Q233" s="112"/>
      <c r="R233" s="186"/>
      <c r="S233" s="186" t="s">
        <v>6835</v>
      </c>
      <c r="T233" s="185">
        <v>-10216551.764954999</v>
      </c>
      <c r="U233" s="202" t="s">
        <v>4758</v>
      </c>
      <c r="V233" s="202">
        <v>776</v>
      </c>
      <c r="W233" s="111">
        <v>322.214</v>
      </c>
      <c r="X233" s="111">
        <f t="shared" si="49"/>
        <v>250038.06400000001</v>
      </c>
      <c r="Y233" s="97" t="s">
        <v>434</v>
      </c>
      <c r="AI233" s="97">
        <v>213</v>
      </c>
      <c r="AJ233" s="111" t="s">
        <v>5425</v>
      </c>
      <c r="AK233" s="111">
        <v>-58196600</v>
      </c>
      <c r="AL233" s="97">
        <v>22</v>
      </c>
      <c r="AM233" s="20">
        <f t="shared" si="56"/>
        <v>640</v>
      </c>
      <c r="AN233" s="115">
        <f t="shared" si="57"/>
        <v>-37245824000</v>
      </c>
      <c r="AO233" s="20" t="s">
        <v>4812</v>
      </c>
    </row>
    <row r="234" spans="4:46">
      <c r="K234" s="94"/>
      <c r="L234" s="384" t="s">
        <v>6766</v>
      </c>
      <c r="M234" s="385">
        <v>3224064.2855249997</v>
      </c>
      <c r="P234" s="112"/>
      <c r="R234" s="186"/>
      <c r="S234" s="186" t="s">
        <v>6840</v>
      </c>
      <c r="T234" s="185">
        <v>-5095614.0723999999</v>
      </c>
      <c r="U234" s="202" t="s">
        <v>4825</v>
      </c>
      <c r="V234" s="202">
        <v>1524</v>
      </c>
      <c r="W234" s="111">
        <v>314.95999999999998</v>
      </c>
      <c r="X234" s="111">
        <f t="shared" si="49"/>
        <v>479999.04</v>
      </c>
      <c r="Y234" s="97" t="s">
        <v>1050</v>
      </c>
      <c r="AI234" s="97">
        <v>214</v>
      </c>
      <c r="AJ234" s="111" t="s">
        <v>5463</v>
      </c>
      <c r="AK234" s="111">
        <v>25000</v>
      </c>
      <c r="AL234" s="97">
        <v>8</v>
      </c>
      <c r="AM234" s="20">
        <f t="shared" si="56"/>
        <v>618</v>
      </c>
      <c r="AN234" s="115">
        <f t="shared" si="57"/>
        <v>15450000</v>
      </c>
      <c r="AO234" s="20"/>
    </row>
    <row r="235" spans="4:46">
      <c r="L235" s="202" t="s">
        <v>6767</v>
      </c>
      <c r="M235" s="111">
        <v>145302.32212200001</v>
      </c>
      <c r="P235" s="112"/>
      <c r="R235" s="186" t="s">
        <v>6853</v>
      </c>
      <c r="S235" s="186" t="s">
        <v>6851</v>
      </c>
      <c r="T235" s="185">
        <v>-5464072.8466919996</v>
      </c>
      <c r="U235" s="202" t="s">
        <v>4832</v>
      </c>
      <c r="V235" s="202">
        <v>4435</v>
      </c>
      <c r="W235" s="111">
        <v>316.4375</v>
      </c>
      <c r="X235" s="111">
        <f t="shared" si="49"/>
        <v>1403400.3125</v>
      </c>
      <c r="Y235" s="97" t="s">
        <v>434</v>
      </c>
      <c r="AI235" s="97">
        <v>215</v>
      </c>
      <c r="AJ235" s="111" t="s">
        <v>5482</v>
      </c>
      <c r="AK235" s="111">
        <v>70000</v>
      </c>
      <c r="AL235" s="97">
        <v>6</v>
      </c>
      <c r="AM235" s="20">
        <f t="shared" si="56"/>
        <v>610</v>
      </c>
      <c r="AN235" s="115">
        <f t="shared" si="57"/>
        <v>42700000</v>
      </c>
      <c r="AO235" s="20"/>
    </row>
    <row r="236" spans="4:46">
      <c r="L236" s="202" t="s">
        <v>6768</v>
      </c>
      <c r="M236" s="111">
        <v>7184125.4612399992</v>
      </c>
      <c r="P236" s="112"/>
      <c r="Q236" s="112"/>
      <c r="R236" s="19"/>
      <c r="S236" s="19"/>
      <c r="T236" s="115"/>
      <c r="U236" s="202" t="s">
        <v>4835</v>
      </c>
      <c r="V236" s="202">
        <v>624</v>
      </c>
      <c r="W236" s="111">
        <v>320.5</v>
      </c>
      <c r="X236" s="111">
        <f t="shared" si="49"/>
        <v>199992</v>
      </c>
      <c r="Y236" s="97" t="s">
        <v>434</v>
      </c>
      <c r="AI236" s="97">
        <v>216</v>
      </c>
      <c r="AJ236" s="111" t="s">
        <v>5487</v>
      </c>
      <c r="AK236" s="111">
        <v>70000</v>
      </c>
      <c r="AL236" s="97">
        <v>1</v>
      </c>
      <c r="AM236" s="20">
        <f t="shared" si="56"/>
        <v>604</v>
      </c>
      <c r="AN236" s="115">
        <f t="shared" si="57"/>
        <v>42280000</v>
      </c>
      <c r="AO236" s="20"/>
      <c r="AS236" t="s">
        <v>25</v>
      </c>
    </row>
    <row r="237" spans="4:46">
      <c r="L237" s="202" t="s">
        <v>6770</v>
      </c>
      <c r="M237" s="111">
        <v>8260484.4756000005</v>
      </c>
      <c r="P237" s="112"/>
      <c r="Q237" s="112"/>
      <c r="R237" s="202" t="s">
        <v>25</v>
      </c>
      <c r="S237" s="202"/>
      <c r="T237" s="111"/>
      <c r="U237" s="202" t="s">
        <v>4840</v>
      </c>
      <c r="V237" s="202">
        <v>1086</v>
      </c>
      <c r="W237" s="111">
        <v>317.55</v>
      </c>
      <c r="X237" s="111">
        <f t="shared" si="49"/>
        <v>344859.3</v>
      </c>
      <c r="Y237" s="97" t="s">
        <v>434</v>
      </c>
      <c r="AI237" s="97">
        <v>217</v>
      </c>
      <c r="AJ237" s="111" t="s">
        <v>5477</v>
      </c>
      <c r="AK237" s="111">
        <v>150000</v>
      </c>
      <c r="AL237" s="97">
        <v>0</v>
      </c>
      <c r="AM237" s="20">
        <f t="shared" si="56"/>
        <v>603</v>
      </c>
      <c r="AN237" s="115">
        <f t="shared" si="57"/>
        <v>90450000</v>
      </c>
      <c r="AO237" s="20"/>
      <c r="AR237" t="s">
        <v>25</v>
      </c>
      <c r="AT237" t="s">
        <v>25</v>
      </c>
    </row>
    <row r="238" spans="4:46">
      <c r="L238" s="202" t="s">
        <v>6771</v>
      </c>
      <c r="M238" s="111">
        <v>2791202.6544840001</v>
      </c>
      <c r="P238" s="112"/>
      <c r="R238" s="202"/>
      <c r="S238" s="202"/>
      <c r="T238" s="111">
        <f>SUM(T184:T237)</f>
        <v>-5553916.551955983</v>
      </c>
      <c r="U238" s="202" t="s">
        <v>4845</v>
      </c>
      <c r="V238" s="202">
        <v>2820</v>
      </c>
      <c r="W238" s="111">
        <v>319.1096</v>
      </c>
      <c r="X238" s="111">
        <f t="shared" si="49"/>
        <v>899889.07200000004</v>
      </c>
      <c r="Y238" s="97" t="s">
        <v>434</v>
      </c>
      <c r="AI238" s="97">
        <v>218</v>
      </c>
      <c r="AJ238" s="111" t="s">
        <v>5477</v>
      </c>
      <c r="AK238" s="111">
        <v>-95599450</v>
      </c>
      <c r="AL238" s="97">
        <v>7</v>
      </c>
      <c r="AM238" s="20">
        <f t="shared" si="56"/>
        <v>603</v>
      </c>
      <c r="AN238" s="115">
        <f t="shared" si="57"/>
        <v>-57646468350</v>
      </c>
      <c r="AO238" s="20" t="s">
        <v>5490</v>
      </c>
      <c r="AS238" t="s">
        <v>25</v>
      </c>
    </row>
    <row r="239" spans="4:46">
      <c r="L239" s="202" t="s">
        <v>6772</v>
      </c>
      <c r="M239" s="111">
        <v>248142.0681</v>
      </c>
      <c r="P239" s="112"/>
      <c r="R239" s="41"/>
      <c r="S239" s="202"/>
      <c r="T239" s="202" t="s">
        <v>6</v>
      </c>
      <c r="U239" s="202" t="s">
        <v>4848</v>
      </c>
      <c r="V239" s="202">
        <v>1145</v>
      </c>
      <c r="W239" s="111">
        <v>325.44</v>
      </c>
      <c r="X239" s="111">
        <f t="shared" si="49"/>
        <v>372628.8</v>
      </c>
      <c r="Y239" s="97" t="s">
        <v>434</v>
      </c>
      <c r="Z239" t="s">
        <v>25</v>
      </c>
      <c r="AI239" s="97">
        <v>219</v>
      </c>
      <c r="AJ239" s="111" t="s">
        <v>5498</v>
      </c>
      <c r="AK239" s="111">
        <v>200000</v>
      </c>
      <c r="AL239" s="97">
        <v>7</v>
      </c>
      <c r="AM239" s="20">
        <f t="shared" si="56"/>
        <v>596</v>
      </c>
      <c r="AN239" s="115">
        <f t="shared" si="57"/>
        <v>119200000</v>
      </c>
      <c r="AO239" s="20"/>
      <c r="AS239" t="s">
        <v>25</v>
      </c>
    </row>
    <row r="240" spans="4:46">
      <c r="L240" s="202" t="s">
        <v>6790</v>
      </c>
      <c r="M240" s="111">
        <v>3374278.1910000001</v>
      </c>
      <c r="P240" s="112"/>
      <c r="R240" s="94"/>
      <c r="U240" s="202" t="s">
        <v>4856</v>
      </c>
      <c r="V240" s="202">
        <v>20153</v>
      </c>
      <c r="W240" s="111">
        <v>322</v>
      </c>
      <c r="X240" s="111">
        <f t="shared" si="49"/>
        <v>6489266</v>
      </c>
      <c r="Y240" s="97" t="s">
        <v>434</v>
      </c>
      <c r="AI240" s="97">
        <v>220</v>
      </c>
      <c r="AJ240" s="111" t="s">
        <v>5503</v>
      </c>
      <c r="AK240" s="111">
        <v>150000</v>
      </c>
      <c r="AL240" s="97">
        <v>5</v>
      </c>
      <c r="AM240" s="20">
        <f t="shared" si="56"/>
        <v>589</v>
      </c>
      <c r="AN240" s="115">
        <f t="shared" si="57"/>
        <v>88350000</v>
      </c>
      <c r="AO240" s="20"/>
    </row>
    <row r="241" spans="9:47">
      <c r="L241" s="202" t="s">
        <v>6811</v>
      </c>
      <c r="M241" s="111">
        <v>2616960</v>
      </c>
      <c r="R241" s="94" t="s">
        <v>25</v>
      </c>
      <c r="S241" s="94" t="s">
        <v>25</v>
      </c>
      <c r="U241" s="202" t="s">
        <v>4866</v>
      </c>
      <c r="V241" s="202">
        <v>93720</v>
      </c>
      <c r="W241" s="111">
        <v>325.435</v>
      </c>
      <c r="X241" s="111">
        <f t="shared" si="49"/>
        <v>30499768.199999999</v>
      </c>
      <c r="Y241" s="97" t="s">
        <v>1050</v>
      </c>
      <c r="AI241" s="97">
        <v>221</v>
      </c>
      <c r="AJ241" s="111" t="s">
        <v>5506</v>
      </c>
      <c r="AK241" s="111">
        <v>310000</v>
      </c>
      <c r="AL241" s="97">
        <v>31</v>
      </c>
      <c r="AM241" s="20">
        <f t="shared" si="56"/>
        <v>584</v>
      </c>
      <c r="AN241" s="115">
        <f t="shared" si="57"/>
        <v>181040000</v>
      </c>
      <c r="AO241" s="20"/>
      <c r="AS241" t="s">
        <v>25</v>
      </c>
    </row>
    <row r="242" spans="9:47">
      <c r="L242" s="202" t="s">
        <v>6817</v>
      </c>
      <c r="M242" s="111">
        <v>253557.36216800002</v>
      </c>
      <c r="R242" s="94" t="s">
        <v>25</v>
      </c>
      <c r="S242" s="94" t="s">
        <v>25</v>
      </c>
      <c r="T242" t="s">
        <v>25</v>
      </c>
      <c r="U242" s="202" t="s">
        <v>4866</v>
      </c>
      <c r="V242" s="202">
        <v>20895</v>
      </c>
      <c r="W242" s="111">
        <v>325.435</v>
      </c>
      <c r="X242" s="111">
        <f t="shared" si="49"/>
        <v>6799964.3250000002</v>
      </c>
      <c r="Y242" s="97" t="s">
        <v>724</v>
      </c>
      <c r="AI242" s="97">
        <v>222</v>
      </c>
      <c r="AJ242" s="111" t="s">
        <v>5542</v>
      </c>
      <c r="AK242" s="111">
        <v>4200000</v>
      </c>
      <c r="AL242" s="97">
        <v>53</v>
      </c>
      <c r="AM242" s="20">
        <f t="shared" si="56"/>
        <v>553</v>
      </c>
      <c r="AN242" s="115">
        <f t="shared" si="57"/>
        <v>2322600000</v>
      </c>
      <c r="AO242" s="20"/>
      <c r="AU242" s="94" t="s">
        <v>25</v>
      </c>
    </row>
    <row r="243" spans="9:47">
      <c r="L243" s="202" t="s">
        <v>6820</v>
      </c>
      <c r="M243" s="111">
        <v>933193.93063399999</v>
      </c>
      <c r="P243" s="112"/>
      <c r="T243" t="s">
        <v>25</v>
      </c>
      <c r="U243" s="202" t="s">
        <v>4873</v>
      </c>
      <c r="V243" s="202">
        <v>2611</v>
      </c>
      <c r="W243" s="111">
        <v>325.435</v>
      </c>
      <c r="X243" s="111">
        <f t="shared" si="49"/>
        <v>849710.78500000003</v>
      </c>
      <c r="Y243" s="97" t="s">
        <v>724</v>
      </c>
      <c r="AI243" s="97">
        <v>223</v>
      </c>
      <c r="AJ243" s="111" t="s">
        <v>5593</v>
      </c>
      <c r="AK243" s="111">
        <v>260000000</v>
      </c>
      <c r="AL243" s="97">
        <v>22</v>
      </c>
      <c r="AM243" s="20">
        <f t="shared" si="56"/>
        <v>500</v>
      </c>
      <c r="AN243" s="115">
        <f t="shared" si="57"/>
        <v>130000000000</v>
      </c>
      <c r="AO243" s="20" t="s">
        <v>5594</v>
      </c>
    </row>
    <row r="244" spans="9:47">
      <c r="L244" s="202" t="s">
        <v>6823</v>
      </c>
      <c r="M244" s="111">
        <v>1191707.1852839999</v>
      </c>
      <c r="P244" s="112"/>
      <c r="R244" s="97" t="s">
        <v>724</v>
      </c>
      <c r="S244" s="97"/>
      <c r="T244" t="s">
        <v>25</v>
      </c>
      <c r="U244" s="202" t="s">
        <v>4880</v>
      </c>
      <c r="V244" s="202">
        <v>6750</v>
      </c>
      <c r="W244" s="111">
        <v>339.3</v>
      </c>
      <c r="X244" s="111">
        <f t="shared" si="49"/>
        <v>2290275</v>
      </c>
      <c r="Y244" s="97" t="s">
        <v>724</v>
      </c>
      <c r="AB244" t="s">
        <v>25</v>
      </c>
      <c r="AI244" s="97">
        <v>224</v>
      </c>
      <c r="AJ244" s="111" t="s">
        <v>5620</v>
      </c>
      <c r="AK244" s="111">
        <v>20000</v>
      </c>
      <c r="AL244" s="97">
        <v>7</v>
      </c>
      <c r="AM244" s="20">
        <f t="shared" si="56"/>
        <v>478</v>
      </c>
      <c r="AN244" s="115">
        <f t="shared" si="57"/>
        <v>9560000</v>
      </c>
      <c r="AO244" s="20"/>
      <c r="AQ244" t="s">
        <v>25</v>
      </c>
    </row>
    <row r="245" spans="9:47">
      <c r="L245" s="202" t="s">
        <v>6824</v>
      </c>
      <c r="M245" s="111">
        <v>2538812.595222</v>
      </c>
      <c r="R245" s="97" t="s">
        <v>4374</v>
      </c>
      <c r="S245" s="93">
        <v>172908000</v>
      </c>
      <c r="T245" t="s">
        <v>25</v>
      </c>
      <c r="U245" s="202" t="s">
        <v>4888</v>
      </c>
      <c r="V245" s="202">
        <v>1850</v>
      </c>
      <c r="W245" s="111">
        <v>334.10050000000001</v>
      </c>
      <c r="X245" s="111">
        <f t="shared" si="49"/>
        <v>618085.92500000005</v>
      </c>
      <c r="Y245" s="97" t="s">
        <v>434</v>
      </c>
      <c r="Z245" t="s">
        <v>25</v>
      </c>
      <c r="AI245" s="97">
        <v>225</v>
      </c>
      <c r="AJ245" s="111" t="s">
        <v>5627</v>
      </c>
      <c r="AK245" s="111">
        <v>70000</v>
      </c>
      <c r="AL245" s="97">
        <v>1</v>
      </c>
      <c r="AM245" s="20">
        <f t="shared" si="56"/>
        <v>471</v>
      </c>
      <c r="AN245" s="115">
        <f t="shared" si="57"/>
        <v>32970000</v>
      </c>
      <c r="AO245" s="20"/>
    </row>
    <row r="246" spans="9:47">
      <c r="L246" s="202" t="s">
        <v>6830</v>
      </c>
      <c r="M246" s="111">
        <v>2016850.526604</v>
      </c>
      <c r="R246" s="97" t="s">
        <v>4403</v>
      </c>
      <c r="S246" s="93">
        <v>1400000</v>
      </c>
      <c r="U246" s="202" t="s">
        <v>4888</v>
      </c>
      <c r="V246" s="202">
        <v>-1194</v>
      </c>
      <c r="W246" s="111">
        <v>335</v>
      </c>
      <c r="X246" s="111">
        <f t="shared" si="49"/>
        <v>-399990</v>
      </c>
      <c r="Y246" s="97" t="s">
        <v>4381</v>
      </c>
      <c r="Z246" t="s">
        <v>25</v>
      </c>
      <c r="AI246" s="97">
        <v>226</v>
      </c>
      <c r="AJ246" s="111" t="s">
        <v>5633</v>
      </c>
      <c r="AK246" s="111">
        <v>330000</v>
      </c>
      <c r="AL246" s="97">
        <v>1</v>
      </c>
      <c r="AM246" s="20">
        <f t="shared" si="56"/>
        <v>470</v>
      </c>
      <c r="AN246" s="115">
        <f t="shared" si="57"/>
        <v>155100000</v>
      </c>
      <c r="AO246" s="20"/>
    </row>
    <row r="247" spans="9:47">
      <c r="L247" s="202" t="s">
        <v>6833</v>
      </c>
      <c r="M247" s="111">
        <v>130754.575732</v>
      </c>
      <c r="R247" s="97" t="s">
        <v>4182</v>
      </c>
      <c r="S247" s="93">
        <v>247393</v>
      </c>
      <c r="T247" t="s">
        <v>25</v>
      </c>
      <c r="U247" s="202" t="s">
        <v>4888</v>
      </c>
      <c r="V247" s="202">
        <v>1194</v>
      </c>
      <c r="W247" s="111">
        <v>335</v>
      </c>
      <c r="X247" s="111">
        <f t="shared" si="49"/>
        <v>399990</v>
      </c>
      <c r="Y247" s="97" t="s">
        <v>724</v>
      </c>
      <c r="AI247" s="97">
        <v>227</v>
      </c>
      <c r="AJ247" s="111" t="s">
        <v>5718</v>
      </c>
      <c r="AK247" s="111">
        <v>33833075</v>
      </c>
      <c r="AL247" s="97">
        <v>18</v>
      </c>
      <c r="AM247" s="20">
        <f t="shared" si="56"/>
        <v>469</v>
      </c>
      <c r="AN247" s="115">
        <f t="shared" si="57"/>
        <v>15867712175</v>
      </c>
      <c r="AO247" s="20" t="s">
        <v>5722</v>
      </c>
    </row>
    <row r="248" spans="9:47">
      <c r="L248" s="202" t="s">
        <v>6834</v>
      </c>
      <c r="M248" s="111">
        <v>153756.41398000001</v>
      </c>
      <c r="R248" s="97" t="s">
        <v>4181</v>
      </c>
      <c r="S248" s="93">
        <v>6780000</v>
      </c>
      <c r="U248" s="202" t="s">
        <v>4895</v>
      </c>
      <c r="V248" s="202">
        <v>433</v>
      </c>
      <c r="W248" s="111">
        <v>345.68</v>
      </c>
      <c r="X248" s="111">
        <f t="shared" si="49"/>
        <v>149679.44</v>
      </c>
      <c r="Y248" s="97" t="s">
        <v>724</v>
      </c>
      <c r="AI248" s="97">
        <v>228</v>
      </c>
      <c r="AJ248" s="111" t="s">
        <v>5729</v>
      </c>
      <c r="AK248" s="111">
        <v>150000</v>
      </c>
      <c r="AL248" s="97">
        <v>10</v>
      </c>
      <c r="AM248" s="20">
        <f t="shared" si="56"/>
        <v>451</v>
      </c>
      <c r="AN248" s="115">
        <f t="shared" si="57"/>
        <v>67650000</v>
      </c>
      <c r="AO248" s="20"/>
    </row>
    <row r="249" spans="9:47">
      <c r="L249" s="202" t="s">
        <v>6840</v>
      </c>
      <c r="M249" s="111">
        <v>549780</v>
      </c>
      <c r="R249" s="97" t="s">
        <v>4496</v>
      </c>
      <c r="S249" s="93">
        <v>-4000000</v>
      </c>
      <c r="U249" s="202" t="s">
        <v>4899</v>
      </c>
      <c r="V249" s="202">
        <v>55459</v>
      </c>
      <c r="W249" s="111">
        <v>362.51978000000003</v>
      </c>
      <c r="X249" s="111">
        <f t="shared" si="49"/>
        <v>20104984.479020003</v>
      </c>
      <c r="Y249" s="97" t="s">
        <v>434</v>
      </c>
      <c r="AI249" s="97">
        <v>229</v>
      </c>
      <c r="AJ249" s="111" t="s">
        <v>5734</v>
      </c>
      <c r="AK249" s="111">
        <v>-341847876.93843603</v>
      </c>
      <c r="AL249" s="97">
        <v>1</v>
      </c>
      <c r="AM249" s="20">
        <f t="shared" si="56"/>
        <v>441</v>
      </c>
      <c r="AN249" s="115">
        <f t="shared" si="57"/>
        <v>-150754913729.85028</v>
      </c>
      <c r="AO249" s="20" t="s">
        <v>4691</v>
      </c>
      <c r="AQ249" t="s">
        <v>25</v>
      </c>
    </row>
    <row r="250" spans="9:47" ht="20.25" customHeight="1">
      <c r="L250" s="202" t="s">
        <v>6841</v>
      </c>
      <c r="M250" s="111">
        <v>1464826.6705450001</v>
      </c>
      <c r="R250" s="97" t="s">
        <v>4521</v>
      </c>
      <c r="S250" s="93">
        <v>16727037</v>
      </c>
      <c r="U250" s="202" t="s">
        <v>4903</v>
      </c>
      <c r="V250" s="202">
        <v>-57212</v>
      </c>
      <c r="W250" s="111">
        <v>368.45400000000001</v>
      </c>
      <c r="X250" s="111">
        <f t="shared" si="49"/>
        <v>-21079990.248</v>
      </c>
      <c r="Y250" s="97" t="s">
        <v>434</v>
      </c>
      <c r="AI250" s="97">
        <v>230</v>
      </c>
      <c r="AJ250" s="111" t="s">
        <v>5744</v>
      </c>
      <c r="AK250" s="111">
        <v>100000000</v>
      </c>
      <c r="AL250" s="97">
        <v>0</v>
      </c>
      <c r="AM250" s="20">
        <f t="shared" si="56"/>
        <v>440</v>
      </c>
      <c r="AN250" s="115">
        <f t="shared" si="57"/>
        <v>44000000000</v>
      </c>
      <c r="AO250" s="20" t="s">
        <v>5745</v>
      </c>
    </row>
    <row r="251" spans="9:47" ht="30">
      <c r="L251" s="202" t="s">
        <v>6845</v>
      </c>
      <c r="M251" s="111">
        <v>298481.41232</v>
      </c>
      <c r="R251" s="97" t="s">
        <v>4526</v>
      </c>
      <c r="S251" s="93">
        <v>46460683</v>
      </c>
      <c r="T251" t="s">
        <v>25</v>
      </c>
      <c r="U251" s="202" t="s">
        <v>4904</v>
      </c>
      <c r="V251" s="202">
        <v>-15881</v>
      </c>
      <c r="W251" s="111">
        <v>374.61599999999999</v>
      </c>
      <c r="X251" s="111">
        <f t="shared" si="49"/>
        <v>-5949276.6959999995</v>
      </c>
      <c r="Y251" s="97" t="s">
        <v>434</v>
      </c>
      <c r="AI251" s="97">
        <v>231</v>
      </c>
      <c r="AJ251" s="111" t="s">
        <v>5744</v>
      </c>
      <c r="AK251" s="111">
        <v>-100000000</v>
      </c>
      <c r="AL251" s="97">
        <v>1</v>
      </c>
      <c r="AM251" s="20">
        <f t="shared" si="56"/>
        <v>440</v>
      </c>
      <c r="AN251" s="115">
        <f t="shared" si="57"/>
        <v>-44000000000</v>
      </c>
      <c r="AO251" s="252" t="s">
        <v>5746</v>
      </c>
    </row>
    <row r="252" spans="9:47">
      <c r="L252" s="202" t="s">
        <v>6856</v>
      </c>
      <c r="M252" s="111">
        <v>787043.60540100001</v>
      </c>
      <c r="R252" s="97" t="s">
        <v>4527</v>
      </c>
      <c r="S252" s="93">
        <v>19663646</v>
      </c>
      <c r="U252" s="202" t="s">
        <v>4910</v>
      </c>
      <c r="V252" s="202">
        <v>-41289</v>
      </c>
      <c r="W252" s="111">
        <v>372.27</v>
      </c>
      <c r="X252" s="111">
        <f t="shared" si="49"/>
        <v>-15370656.029999999</v>
      </c>
      <c r="Y252" s="97" t="s">
        <v>434</v>
      </c>
      <c r="AI252" s="97">
        <v>232</v>
      </c>
      <c r="AJ252" s="111" t="s">
        <v>5747</v>
      </c>
      <c r="AK252" s="111">
        <v>90000000</v>
      </c>
      <c r="AL252" s="97">
        <v>0</v>
      </c>
      <c r="AM252" s="20">
        <f t="shared" si="56"/>
        <v>439</v>
      </c>
      <c r="AN252" s="115">
        <f t="shared" si="57"/>
        <v>39510000000</v>
      </c>
      <c r="AO252" s="20"/>
    </row>
    <row r="253" spans="9:47" ht="30">
      <c r="L253" s="202" t="s">
        <v>6869</v>
      </c>
      <c r="M253" s="111">
        <v>679637.190848</v>
      </c>
      <c r="R253" s="97" t="s">
        <v>4548</v>
      </c>
      <c r="S253" s="93">
        <v>4374525</v>
      </c>
      <c r="U253" s="202" t="s">
        <v>4916</v>
      </c>
      <c r="V253" s="202">
        <v>13563</v>
      </c>
      <c r="W253" s="111">
        <v>365.69799999999998</v>
      </c>
      <c r="X253" s="111">
        <f t="shared" si="49"/>
        <v>4959961.9739999995</v>
      </c>
      <c r="Y253" s="97" t="s">
        <v>434</v>
      </c>
      <c r="AI253" s="97">
        <v>233</v>
      </c>
      <c r="AJ253" s="111" t="s">
        <v>5747</v>
      </c>
      <c r="AK253" s="111">
        <v>-90000000</v>
      </c>
      <c r="AL253" s="97">
        <v>1</v>
      </c>
      <c r="AM253" s="20">
        <f t="shared" si="56"/>
        <v>439</v>
      </c>
      <c r="AN253" s="115">
        <f t="shared" si="57"/>
        <v>-39510000000</v>
      </c>
      <c r="AO253" s="252" t="s">
        <v>5748</v>
      </c>
      <c r="AR253" t="s">
        <v>25</v>
      </c>
      <c r="AT253" t="s">
        <v>25</v>
      </c>
    </row>
    <row r="254" spans="9:47">
      <c r="L254" s="202" t="s">
        <v>6875</v>
      </c>
      <c r="M254" s="111">
        <v>403055.30508300004</v>
      </c>
      <c r="R254" s="97" t="s">
        <v>4559</v>
      </c>
      <c r="S254" s="93">
        <v>6550580</v>
      </c>
      <c r="U254" s="202" t="s">
        <v>4916</v>
      </c>
      <c r="V254" s="202">
        <v>27344</v>
      </c>
      <c r="W254" s="111">
        <v>365.69799999999998</v>
      </c>
      <c r="X254" s="111">
        <f t="shared" si="49"/>
        <v>9999646.1119999997</v>
      </c>
      <c r="Y254" s="97" t="s">
        <v>434</v>
      </c>
      <c r="AI254" s="97">
        <v>234</v>
      </c>
      <c r="AJ254" s="111" t="s">
        <v>5749</v>
      </c>
      <c r="AK254" s="111">
        <v>30000000</v>
      </c>
      <c r="AL254" s="97">
        <v>0</v>
      </c>
      <c r="AM254" s="20">
        <f t="shared" si="56"/>
        <v>438</v>
      </c>
      <c r="AN254" s="115">
        <f t="shared" si="57"/>
        <v>13140000000</v>
      </c>
      <c r="AO254" s="252"/>
    </row>
    <row r="255" spans="9:47" ht="30">
      <c r="L255" s="202" t="s">
        <v>6902</v>
      </c>
      <c r="M255" s="111">
        <v>477190.63777500001</v>
      </c>
      <c r="P255" t="s">
        <v>25</v>
      </c>
      <c r="R255" s="97" t="s">
        <v>4561</v>
      </c>
      <c r="S255" s="93">
        <v>6650895</v>
      </c>
      <c r="U255" s="202" t="s">
        <v>4923</v>
      </c>
      <c r="V255" s="202">
        <v>-103145</v>
      </c>
      <c r="W255" s="111">
        <v>393.334</v>
      </c>
      <c r="X255" s="111">
        <f t="shared" si="49"/>
        <v>-40570435.43</v>
      </c>
      <c r="Y255" s="36" t="s">
        <v>4928</v>
      </c>
      <c r="AI255" s="97">
        <v>235</v>
      </c>
      <c r="AJ255" s="111" t="s">
        <v>5749</v>
      </c>
      <c r="AK255" s="111">
        <v>-30000000</v>
      </c>
      <c r="AL255" s="97">
        <v>3</v>
      </c>
      <c r="AM255" s="20">
        <f t="shared" si="56"/>
        <v>438</v>
      </c>
      <c r="AN255" s="115">
        <f t="shared" si="57"/>
        <v>-13140000000</v>
      </c>
      <c r="AO255" s="252" t="s">
        <v>5750</v>
      </c>
    </row>
    <row r="256" spans="9:47">
      <c r="I256" t="s">
        <v>25</v>
      </c>
      <c r="L256" s="202" t="s">
        <v>6904</v>
      </c>
      <c r="M256" s="111">
        <v>914936.54489999998</v>
      </c>
      <c r="R256" s="97" t="s">
        <v>4574</v>
      </c>
      <c r="S256" s="93">
        <v>2145814</v>
      </c>
      <c r="U256" s="202" t="s">
        <v>4923</v>
      </c>
      <c r="V256" s="202">
        <v>-369</v>
      </c>
      <c r="W256" s="111">
        <v>393.334</v>
      </c>
      <c r="X256" s="111">
        <f t="shared" si="49"/>
        <v>-145140.24600000001</v>
      </c>
      <c r="Y256" s="36" t="s">
        <v>5000</v>
      </c>
      <c r="AI256" s="97">
        <v>236</v>
      </c>
      <c r="AJ256" s="111" t="s">
        <v>5756</v>
      </c>
      <c r="AK256" s="111">
        <v>50000000</v>
      </c>
      <c r="AL256" s="97">
        <v>1</v>
      </c>
      <c r="AM256" s="20">
        <f t="shared" si="56"/>
        <v>435</v>
      </c>
      <c r="AN256" s="115">
        <f t="shared" si="57"/>
        <v>21750000000</v>
      </c>
      <c r="AO256" s="252"/>
    </row>
    <row r="257" spans="12:46" ht="30">
      <c r="L257" s="202" t="s">
        <v>6906</v>
      </c>
      <c r="M257" s="111">
        <v>348393.04457099998</v>
      </c>
      <c r="R257" s="97" t="s">
        <v>4584</v>
      </c>
      <c r="S257" s="93">
        <v>4369730</v>
      </c>
      <c r="U257" s="202" t="s">
        <v>4923</v>
      </c>
      <c r="V257" s="202">
        <v>-889</v>
      </c>
      <c r="W257" s="111">
        <v>393.334</v>
      </c>
      <c r="X257" s="111">
        <f t="shared" si="49"/>
        <v>-349673.92599999998</v>
      </c>
      <c r="Y257" s="36" t="s">
        <v>5001</v>
      </c>
      <c r="AI257" s="97">
        <v>237</v>
      </c>
      <c r="AJ257" s="111" t="s">
        <v>5757</v>
      </c>
      <c r="AK257" s="111">
        <v>-50000000</v>
      </c>
      <c r="AL257" s="97">
        <v>5</v>
      </c>
      <c r="AM257" s="20">
        <f t="shared" si="56"/>
        <v>434</v>
      </c>
      <c r="AN257" s="115">
        <f t="shared" si="57"/>
        <v>-21700000000</v>
      </c>
      <c r="AO257" s="252" t="s">
        <v>5758</v>
      </c>
      <c r="AQ257" t="s">
        <v>25</v>
      </c>
    </row>
    <row r="258" spans="12:46">
      <c r="L258" s="202" t="s">
        <v>6917</v>
      </c>
      <c r="M258" s="111">
        <v>720592.02784799994</v>
      </c>
      <c r="R258" s="97" t="s">
        <v>4586</v>
      </c>
      <c r="S258" s="93">
        <v>8739459</v>
      </c>
      <c r="T258" t="s">
        <v>25</v>
      </c>
      <c r="U258" s="202" t="s">
        <v>4932</v>
      </c>
      <c r="V258" s="202">
        <v>2546</v>
      </c>
      <c r="W258" s="111">
        <v>393</v>
      </c>
      <c r="X258" s="111">
        <f t="shared" si="49"/>
        <v>1000578</v>
      </c>
      <c r="Y258" s="36" t="s">
        <v>434</v>
      </c>
      <c r="AI258" s="97">
        <v>238</v>
      </c>
      <c r="AJ258" s="111" t="s">
        <v>6103</v>
      </c>
      <c r="AK258" s="111">
        <v>10000</v>
      </c>
      <c r="AL258" s="97">
        <v>1</v>
      </c>
      <c r="AM258" s="20">
        <f t="shared" si="56"/>
        <v>429</v>
      </c>
      <c r="AN258" s="115">
        <f t="shared" si="57"/>
        <v>4290000</v>
      </c>
      <c r="AO258" s="252"/>
    </row>
    <row r="259" spans="12:46" ht="15" customHeight="1">
      <c r="L259" s="202" t="s">
        <v>6918</v>
      </c>
      <c r="M259" s="111">
        <v>870021.48342200008</v>
      </c>
      <c r="R259" s="97" t="s">
        <v>4595</v>
      </c>
      <c r="S259" s="93">
        <v>6667654</v>
      </c>
      <c r="U259" s="202" t="s">
        <v>4933</v>
      </c>
      <c r="V259" s="202">
        <v>1034</v>
      </c>
      <c r="W259" s="111">
        <v>386.608</v>
      </c>
      <c r="X259" s="111">
        <f t="shared" si="49"/>
        <v>399752.67200000002</v>
      </c>
      <c r="Y259" s="36" t="s">
        <v>434</v>
      </c>
      <c r="AI259" s="97">
        <v>239</v>
      </c>
      <c r="AJ259" s="111" t="s">
        <v>6106</v>
      </c>
      <c r="AK259" s="111">
        <v>50000000</v>
      </c>
      <c r="AL259" s="97">
        <v>43</v>
      </c>
      <c r="AM259" s="20">
        <f t="shared" si="56"/>
        <v>428</v>
      </c>
      <c r="AN259" s="115">
        <f t="shared" si="57"/>
        <v>21400000000</v>
      </c>
      <c r="AO259" s="252" t="s">
        <v>5298</v>
      </c>
    </row>
    <row r="260" spans="12:46">
      <c r="L260" s="202" t="s">
        <v>6919</v>
      </c>
      <c r="M260" s="111">
        <v>379028.51315999997</v>
      </c>
      <c r="R260" s="97" t="s">
        <v>4602</v>
      </c>
      <c r="S260" s="93">
        <v>8981245</v>
      </c>
      <c r="U260" s="202" t="s">
        <v>4940</v>
      </c>
      <c r="V260" s="202">
        <v>300</v>
      </c>
      <c r="W260" s="111">
        <v>400</v>
      </c>
      <c r="X260" s="111">
        <f t="shared" si="49"/>
        <v>120000</v>
      </c>
      <c r="Y260" s="36" t="s">
        <v>434</v>
      </c>
      <c r="AI260" s="97">
        <v>240</v>
      </c>
      <c r="AJ260" s="111" t="s">
        <v>6150</v>
      </c>
      <c r="AK260" s="111">
        <v>50000000</v>
      </c>
      <c r="AL260" s="97">
        <v>10</v>
      </c>
      <c r="AM260" s="20">
        <f t="shared" si="56"/>
        <v>385</v>
      </c>
      <c r="AN260" s="115">
        <f t="shared" si="57"/>
        <v>19250000000</v>
      </c>
      <c r="AO260" s="252" t="s">
        <v>6151</v>
      </c>
    </row>
    <row r="261" spans="12:46">
      <c r="L261" s="202" t="s">
        <v>6883</v>
      </c>
      <c r="M261" s="111">
        <v>727150.09922600002</v>
      </c>
      <c r="P261" t="s">
        <v>25</v>
      </c>
      <c r="R261" s="97" t="s">
        <v>4606</v>
      </c>
      <c r="S261" s="93">
        <v>9181756</v>
      </c>
      <c r="U261" s="202" t="s">
        <v>4948</v>
      </c>
      <c r="V261" s="202">
        <v>782</v>
      </c>
      <c r="W261" s="111">
        <v>409</v>
      </c>
      <c r="X261" s="111">
        <f t="shared" si="49"/>
        <v>319838</v>
      </c>
      <c r="Y261" s="36" t="s">
        <v>724</v>
      </c>
      <c r="AI261" s="97">
        <v>241</v>
      </c>
      <c r="AJ261" s="111" t="s">
        <v>6152</v>
      </c>
      <c r="AK261" s="111">
        <v>8200000</v>
      </c>
      <c r="AL261" s="97">
        <v>29</v>
      </c>
      <c r="AM261" s="20">
        <f t="shared" si="56"/>
        <v>375</v>
      </c>
      <c r="AN261" s="115">
        <f t="shared" si="57"/>
        <v>3075000000</v>
      </c>
      <c r="AO261" s="252" t="s">
        <v>6151</v>
      </c>
      <c r="AS261" t="s">
        <v>25</v>
      </c>
      <c r="AT261" t="s">
        <v>25</v>
      </c>
    </row>
    <row r="262" spans="12:46">
      <c r="L262" s="202"/>
      <c r="M262" s="111"/>
      <c r="O262" t="s">
        <v>25</v>
      </c>
      <c r="R262" s="97" t="s">
        <v>4609</v>
      </c>
      <c r="S262" s="93">
        <v>11811208</v>
      </c>
      <c r="T262" t="s">
        <v>25</v>
      </c>
      <c r="U262" s="202" t="s">
        <v>4952</v>
      </c>
      <c r="V262" s="202">
        <v>1220</v>
      </c>
      <c r="W262" s="111">
        <v>409.9</v>
      </c>
      <c r="X262" s="111">
        <f t="shared" si="49"/>
        <v>500078</v>
      </c>
      <c r="Y262" s="36" t="s">
        <v>724</v>
      </c>
      <c r="AI262" s="97">
        <v>242</v>
      </c>
      <c r="AJ262" s="111" t="s">
        <v>6182</v>
      </c>
      <c r="AK262" s="111">
        <v>-180000000</v>
      </c>
      <c r="AL262" s="97">
        <v>16</v>
      </c>
      <c r="AM262" s="20">
        <f t="shared" si="56"/>
        <v>346</v>
      </c>
      <c r="AN262" s="115">
        <f t="shared" si="57"/>
        <v>-62280000000</v>
      </c>
      <c r="AO262" s="252" t="s">
        <v>6184</v>
      </c>
    </row>
    <row r="263" spans="12:46" ht="17.25" customHeight="1">
      <c r="L263" s="202"/>
      <c r="M263" s="111"/>
      <c r="R263" s="97" t="s">
        <v>4621</v>
      </c>
      <c r="S263" s="93">
        <v>41248054</v>
      </c>
      <c r="T263" t="s">
        <v>25</v>
      </c>
      <c r="U263" s="202" t="s">
        <v>4954</v>
      </c>
      <c r="V263" s="202">
        <v>1285</v>
      </c>
      <c r="W263" s="111">
        <v>388.84</v>
      </c>
      <c r="X263" s="111">
        <f t="shared" si="49"/>
        <v>499659.39999999997</v>
      </c>
      <c r="Y263" s="36" t="s">
        <v>434</v>
      </c>
      <c r="AI263" s="97">
        <v>243</v>
      </c>
      <c r="AJ263" s="111" t="s">
        <v>6281</v>
      </c>
      <c r="AK263" s="111">
        <v>60000000</v>
      </c>
      <c r="AL263" s="97">
        <v>6</v>
      </c>
      <c r="AM263" s="20">
        <f t="shared" si="56"/>
        <v>330</v>
      </c>
      <c r="AN263" s="115">
        <f t="shared" si="57"/>
        <v>19800000000</v>
      </c>
      <c r="AO263" s="252" t="s">
        <v>6282</v>
      </c>
      <c r="AT263" t="s">
        <v>25</v>
      </c>
    </row>
    <row r="264" spans="12:46">
      <c r="L264" s="202"/>
      <c r="M264" s="111"/>
      <c r="R264" s="97" t="s">
        <v>4628</v>
      </c>
      <c r="S264" s="93">
        <v>37328780</v>
      </c>
      <c r="U264" s="202" t="s">
        <v>4945</v>
      </c>
      <c r="V264" s="202">
        <v>1924</v>
      </c>
      <c r="W264" s="111">
        <v>386.69600000000003</v>
      </c>
      <c r="X264" s="111">
        <f t="shared" si="49"/>
        <v>744003.10400000005</v>
      </c>
      <c r="Y264" s="36" t="s">
        <v>434</v>
      </c>
      <c r="AI264" s="97">
        <v>244</v>
      </c>
      <c r="AJ264" s="111" t="s">
        <v>6289</v>
      </c>
      <c r="AK264" s="111">
        <v>5000</v>
      </c>
      <c r="AL264" s="97">
        <v>8</v>
      </c>
      <c r="AM264" s="20">
        <f t="shared" si="56"/>
        <v>324</v>
      </c>
      <c r="AN264" s="115">
        <f t="shared" si="57"/>
        <v>1620000</v>
      </c>
      <c r="AO264" s="252" t="s">
        <v>6151</v>
      </c>
    </row>
    <row r="265" spans="12:46">
      <c r="L265" s="202"/>
      <c r="M265" s="111"/>
      <c r="O265" t="s">
        <v>25</v>
      </c>
      <c r="R265" s="97" t="s">
        <v>4703</v>
      </c>
      <c r="S265" s="93">
        <v>-2194100</v>
      </c>
      <c r="U265" s="202" t="s">
        <v>4970</v>
      </c>
      <c r="V265" s="202">
        <v>165</v>
      </c>
      <c r="W265" s="111">
        <v>393.5</v>
      </c>
      <c r="X265" s="111">
        <f t="shared" si="49"/>
        <v>64927.5</v>
      </c>
      <c r="Y265" s="36" t="s">
        <v>434</v>
      </c>
      <c r="AI265" s="97">
        <v>245</v>
      </c>
      <c r="AJ265" s="111" t="s">
        <v>6290</v>
      </c>
      <c r="AK265" s="111">
        <v>102750000</v>
      </c>
      <c r="AL265" s="97">
        <v>5</v>
      </c>
      <c r="AM265" s="20">
        <f t="shared" si="56"/>
        <v>316</v>
      </c>
      <c r="AN265" s="115">
        <f t="shared" si="57"/>
        <v>32469000000</v>
      </c>
      <c r="AO265" s="252"/>
    </row>
    <row r="266" spans="12:46" ht="30">
      <c r="L266" s="202"/>
      <c r="M266" s="111"/>
      <c r="R266" s="97" t="s">
        <v>4739</v>
      </c>
      <c r="S266" s="93">
        <v>20193916</v>
      </c>
      <c r="U266" s="202" t="s">
        <v>4975</v>
      </c>
      <c r="V266" s="202">
        <v>-34859</v>
      </c>
      <c r="W266" s="111">
        <v>403.1585</v>
      </c>
      <c r="X266" s="111">
        <f t="shared" si="49"/>
        <v>-14053702.1515</v>
      </c>
      <c r="Y266" s="36" t="s">
        <v>4978</v>
      </c>
      <c r="AI266" s="97">
        <v>246</v>
      </c>
      <c r="AJ266" s="111" t="s">
        <v>6296</v>
      </c>
      <c r="AK266" s="111">
        <v>-60000000</v>
      </c>
      <c r="AL266" s="97">
        <v>42</v>
      </c>
      <c r="AM266" s="20">
        <f t="shared" si="56"/>
        <v>311</v>
      </c>
      <c r="AN266" s="115">
        <f t="shared" si="57"/>
        <v>-18660000000</v>
      </c>
      <c r="AO266" s="252" t="s">
        <v>6300</v>
      </c>
    </row>
    <row r="267" spans="12:46" ht="20.25" customHeight="1">
      <c r="L267" s="202" t="s">
        <v>25</v>
      </c>
      <c r="M267" s="111" t="s">
        <v>25</v>
      </c>
      <c r="R267" s="97" t="s">
        <v>4803</v>
      </c>
      <c r="S267" s="93">
        <v>-2000000</v>
      </c>
      <c r="U267" s="202" t="s">
        <v>4946</v>
      </c>
      <c r="V267" s="202">
        <v>8476</v>
      </c>
      <c r="W267" s="111">
        <v>419.49900000000002</v>
      </c>
      <c r="X267" s="111">
        <f t="shared" si="49"/>
        <v>3555673.5240000002</v>
      </c>
      <c r="Y267" s="36" t="s">
        <v>4984</v>
      </c>
      <c r="AI267" s="97">
        <v>247</v>
      </c>
      <c r="AJ267" s="111" t="s">
        <v>6599</v>
      </c>
      <c r="AK267" s="111">
        <v>50000</v>
      </c>
      <c r="AL267" s="97">
        <v>59</v>
      </c>
      <c r="AM267" s="20">
        <f t="shared" si="56"/>
        <v>269</v>
      </c>
      <c r="AN267" s="115">
        <f t="shared" si="57"/>
        <v>13450000</v>
      </c>
      <c r="AO267" s="252" t="s">
        <v>6151</v>
      </c>
      <c r="AT267" t="s">
        <v>25</v>
      </c>
    </row>
    <row r="268" spans="12:46">
      <c r="L268" s="202" t="s">
        <v>5421</v>
      </c>
      <c r="M268" s="111">
        <v>-87000000</v>
      </c>
      <c r="O268" t="s">
        <v>25</v>
      </c>
      <c r="P268" t="s">
        <v>25</v>
      </c>
      <c r="R268" s="97" t="s">
        <v>4866</v>
      </c>
      <c r="S268" s="93">
        <v>6800000</v>
      </c>
      <c r="T268" t="s">
        <v>25</v>
      </c>
      <c r="U268" s="202" t="s">
        <v>4996</v>
      </c>
      <c r="V268" s="202">
        <v>903</v>
      </c>
      <c r="W268" s="111">
        <v>442.77379999999999</v>
      </c>
      <c r="X268" s="111">
        <f t="shared" si="49"/>
        <v>399824.7414</v>
      </c>
      <c r="Y268" s="36" t="s">
        <v>724</v>
      </c>
      <c r="AI268" s="97">
        <v>248</v>
      </c>
      <c r="AJ268" s="111" t="s">
        <v>6714</v>
      </c>
      <c r="AK268" s="111">
        <v>300000</v>
      </c>
      <c r="AL268" s="97">
        <v>55</v>
      </c>
      <c r="AM268" s="20">
        <f t="shared" si="56"/>
        <v>210</v>
      </c>
      <c r="AN268" s="115">
        <f t="shared" si="57"/>
        <v>63000000</v>
      </c>
      <c r="AO268" s="252"/>
    </row>
    <row r="269" spans="12:46" ht="21.75" customHeight="1">
      <c r="L269" s="202"/>
      <c r="M269" s="111"/>
      <c r="R269" s="97" t="s">
        <v>4873</v>
      </c>
      <c r="S269" s="93">
        <v>850000</v>
      </c>
      <c r="U269" s="202" t="s">
        <v>4999</v>
      </c>
      <c r="V269" s="202">
        <v>113</v>
      </c>
      <c r="W269" s="111">
        <v>442.48200000000003</v>
      </c>
      <c r="X269" s="111">
        <f t="shared" ref="X269:X350" si="58">V269*W269</f>
        <v>50000.466</v>
      </c>
      <c r="Y269" s="36" t="s">
        <v>724</v>
      </c>
      <c r="AI269" s="97">
        <v>249</v>
      </c>
      <c r="AJ269" s="111" t="s">
        <v>6739</v>
      </c>
      <c r="AK269" s="111">
        <v>200000000</v>
      </c>
      <c r="AL269" s="97">
        <v>7</v>
      </c>
      <c r="AM269" s="20">
        <f t="shared" si="56"/>
        <v>155</v>
      </c>
      <c r="AN269" s="115">
        <f t="shared" si="57"/>
        <v>31000000000</v>
      </c>
      <c r="AO269" s="252" t="s">
        <v>6740</v>
      </c>
    </row>
    <row r="270" spans="12:46">
      <c r="L270" s="202"/>
      <c r="M270" s="1"/>
      <c r="R270" s="97" t="s">
        <v>4880</v>
      </c>
      <c r="S270" s="93">
        <v>2290500</v>
      </c>
      <c r="U270" s="202" t="s">
        <v>5009</v>
      </c>
      <c r="V270" s="202">
        <v>671</v>
      </c>
      <c r="W270" s="111">
        <v>447</v>
      </c>
      <c r="X270" s="111">
        <f t="shared" si="58"/>
        <v>299937</v>
      </c>
      <c r="Y270" s="36" t="s">
        <v>724</v>
      </c>
      <c r="AI270" s="97">
        <v>250</v>
      </c>
      <c r="AJ270" s="111" t="s">
        <v>6743</v>
      </c>
      <c r="AK270" s="111">
        <v>50000</v>
      </c>
      <c r="AL270" s="97">
        <v>83</v>
      </c>
      <c r="AM270" s="20">
        <f t="shared" si="56"/>
        <v>148</v>
      </c>
      <c r="AN270" s="115">
        <f t="shared" si="57"/>
        <v>7400000</v>
      </c>
      <c r="AO270" s="20" t="s">
        <v>6151</v>
      </c>
    </row>
    <row r="271" spans="12:46">
      <c r="L271" s="202"/>
      <c r="M271" s="1"/>
      <c r="P271" t="s">
        <v>25</v>
      </c>
      <c r="R271" s="97" t="s">
        <v>4888</v>
      </c>
      <c r="S271" s="93">
        <v>400000</v>
      </c>
      <c r="T271" t="s">
        <v>25</v>
      </c>
      <c r="U271" s="202" t="s">
        <v>5011</v>
      </c>
      <c r="V271" s="202">
        <v>7</v>
      </c>
      <c r="W271" s="111">
        <v>465.31200000000001</v>
      </c>
      <c r="X271" s="111">
        <f t="shared" si="58"/>
        <v>3257.1840000000002</v>
      </c>
      <c r="Y271" s="36" t="s">
        <v>434</v>
      </c>
      <c r="AD271" t="s">
        <v>25</v>
      </c>
      <c r="AI271" s="97">
        <v>251</v>
      </c>
      <c r="AJ271" s="111" t="s">
        <v>6790</v>
      </c>
      <c r="AK271" s="111">
        <v>20000000</v>
      </c>
      <c r="AL271" s="97">
        <v>0</v>
      </c>
      <c r="AM271" s="20">
        <f t="shared" si="56"/>
        <v>65</v>
      </c>
      <c r="AN271" s="115">
        <f t="shared" si="57"/>
        <v>1300000000</v>
      </c>
      <c r="AO271" s="20" t="s">
        <v>6796</v>
      </c>
      <c r="AS271" t="s">
        <v>25</v>
      </c>
    </row>
    <row r="272" spans="12:46">
      <c r="L272" s="202"/>
      <c r="M272" s="1"/>
      <c r="R272" s="97" t="s">
        <v>4895</v>
      </c>
      <c r="S272" s="93">
        <v>150000</v>
      </c>
      <c r="U272" s="202" t="s">
        <v>5015</v>
      </c>
      <c r="V272" s="202">
        <v>12950</v>
      </c>
      <c r="W272" s="111">
        <v>463.31599999999997</v>
      </c>
      <c r="X272" s="111">
        <f t="shared" si="58"/>
        <v>5999942.1999999993</v>
      </c>
      <c r="Y272" s="36" t="s">
        <v>434</v>
      </c>
      <c r="AI272" s="97">
        <v>252</v>
      </c>
      <c r="AJ272" s="111" t="s">
        <v>6795</v>
      </c>
      <c r="AK272" s="111">
        <v>-562402000</v>
      </c>
      <c r="AL272" s="97">
        <v>1</v>
      </c>
      <c r="AM272" s="20">
        <f t="shared" si="56"/>
        <v>65</v>
      </c>
      <c r="AN272" s="115">
        <f t="shared" si="57"/>
        <v>-36556130000</v>
      </c>
      <c r="AO272" s="20" t="s">
        <v>6797</v>
      </c>
    </row>
    <row r="273" spans="7:47">
      <c r="L273" s="202" t="s">
        <v>6</v>
      </c>
      <c r="M273" s="1">
        <f>SUM(M81:M272)</f>
        <v>1603557555.3119168</v>
      </c>
      <c r="R273" s="97" t="s">
        <v>4923</v>
      </c>
      <c r="S273" s="93">
        <v>-144950</v>
      </c>
      <c r="U273" s="202" t="s">
        <v>5017</v>
      </c>
      <c r="V273" s="202">
        <v>37</v>
      </c>
      <c r="W273" s="111">
        <v>463.315</v>
      </c>
      <c r="X273" s="111">
        <f t="shared" si="58"/>
        <v>17142.654999999999</v>
      </c>
      <c r="Y273" s="36" t="s">
        <v>434</v>
      </c>
      <c r="AI273" s="97">
        <v>253</v>
      </c>
      <c r="AJ273" s="111" t="s">
        <v>6798</v>
      </c>
      <c r="AK273" s="111">
        <v>30000000</v>
      </c>
      <c r="AL273" s="97">
        <v>1</v>
      </c>
      <c r="AM273" s="20">
        <f t="shared" si="56"/>
        <v>64</v>
      </c>
      <c r="AN273" s="115">
        <f t="shared" si="57"/>
        <v>1920000000</v>
      </c>
      <c r="AO273" s="20" t="s">
        <v>6803</v>
      </c>
    </row>
    <row r="274" spans="7:47">
      <c r="L274" s="267"/>
      <c r="M274" s="1"/>
      <c r="R274" s="97" t="s">
        <v>4948</v>
      </c>
      <c r="S274" s="93">
        <v>320000</v>
      </c>
      <c r="U274" s="202" t="s">
        <v>5018</v>
      </c>
      <c r="V274" s="202">
        <v>19</v>
      </c>
      <c r="W274" s="111">
        <v>434.3</v>
      </c>
      <c r="X274" s="111">
        <f t="shared" si="58"/>
        <v>8251.7000000000007</v>
      </c>
      <c r="Y274" s="36" t="s">
        <v>434</v>
      </c>
      <c r="Z274" t="s">
        <v>25</v>
      </c>
      <c r="AI274" s="97">
        <v>254</v>
      </c>
      <c r="AJ274" s="111" t="s">
        <v>6805</v>
      </c>
      <c r="AK274" s="111">
        <v>50000000</v>
      </c>
      <c r="AL274" s="97">
        <v>59</v>
      </c>
      <c r="AM274" s="20">
        <f t="shared" si="56"/>
        <v>63</v>
      </c>
      <c r="AN274" s="115">
        <f t="shared" si="57"/>
        <v>3150000000</v>
      </c>
      <c r="AO274" s="20" t="s">
        <v>6803</v>
      </c>
      <c r="AQ274" t="s">
        <v>25</v>
      </c>
    </row>
    <row r="275" spans="7:47">
      <c r="P275" t="s">
        <v>25</v>
      </c>
      <c r="R275" s="97" t="s">
        <v>4952</v>
      </c>
      <c r="S275" s="93">
        <v>500000</v>
      </c>
      <c r="T275" t="s">
        <v>25</v>
      </c>
      <c r="U275" s="202" t="s">
        <v>5020</v>
      </c>
      <c r="V275" s="202">
        <v>16</v>
      </c>
      <c r="W275" s="111">
        <v>439</v>
      </c>
      <c r="X275" s="111">
        <f t="shared" si="58"/>
        <v>7024</v>
      </c>
      <c r="Y275" s="36" t="s">
        <v>434</v>
      </c>
      <c r="Z275" t="s">
        <v>25</v>
      </c>
      <c r="AI275" s="97">
        <v>255</v>
      </c>
      <c r="AJ275" s="111" t="s">
        <v>6851</v>
      </c>
      <c r="AK275" s="111">
        <v>-364449030</v>
      </c>
      <c r="AL275" s="97">
        <v>2</v>
      </c>
      <c r="AM275" s="20">
        <f t="shared" ref="AM275:AM280" si="59">AM276+AL275</f>
        <v>4</v>
      </c>
      <c r="AN275" s="115">
        <f t="shared" ref="AN275:AN280" si="60">AK275*AM275</f>
        <v>-1457796120</v>
      </c>
      <c r="AO275" s="20" t="s">
        <v>6853</v>
      </c>
      <c r="AQ275" t="s">
        <v>25</v>
      </c>
    </row>
    <row r="276" spans="7:47" ht="45">
      <c r="R276" s="97" t="s">
        <v>4996</v>
      </c>
      <c r="S276" s="93">
        <v>400000</v>
      </c>
      <c r="T276" t="s">
        <v>25</v>
      </c>
      <c r="U276" s="202" t="s">
        <v>5020</v>
      </c>
      <c r="V276" s="202">
        <v>9191</v>
      </c>
      <c r="W276" s="111">
        <v>440.24630000000002</v>
      </c>
      <c r="X276" s="111">
        <f t="shared" si="58"/>
        <v>4046303.7433000002</v>
      </c>
      <c r="Y276" s="36" t="s">
        <v>5021</v>
      </c>
      <c r="AI276" s="97">
        <v>256</v>
      </c>
      <c r="AJ276" s="111" t="s">
        <v>6861</v>
      </c>
      <c r="AK276" s="111">
        <v>25000000</v>
      </c>
      <c r="AL276" s="97">
        <v>1</v>
      </c>
      <c r="AM276" s="20">
        <f t="shared" si="59"/>
        <v>2</v>
      </c>
      <c r="AN276" s="115">
        <f t="shared" si="60"/>
        <v>50000000</v>
      </c>
      <c r="AO276" s="20" t="s">
        <v>6862</v>
      </c>
    </row>
    <row r="277" spans="7:47">
      <c r="K277" t="s">
        <v>25</v>
      </c>
      <c r="R277" s="97" t="s">
        <v>4999</v>
      </c>
      <c r="S277" s="93">
        <v>50000</v>
      </c>
      <c r="T277" t="s">
        <v>25</v>
      </c>
      <c r="U277" s="202" t="s">
        <v>5023</v>
      </c>
      <c r="V277" s="202">
        <v>-8792</v>
      </c>
      <c r="W277" s="111">
        <v>441.90665999999999</v>
      </c>
      <c r="X277" s="111">
        <f t="shared" si="58"/>
        <v>-3885243.3547199997</v>
      </c>
      <c r="Y277" s="36" t="s">
        <v>5024</v>
      </c>
      <c r="AI277" s="97">
        <v>256</v>
      </c>
      <c r="AJ277" s="111" t="s">
        <v>6868</v>
      </c>
      <c r="AK277" s="111">
        <v>58000000</v>
      </c>
      <c r="AL277" s="97">
        <v>1</v>
      </c>
      <c r="AM277" s="20">
        <f t="shared" si="59"/>
        <v>1</v>
      </c>
      <c r="AN277" s="115">
        <f t="shared" si="60"/>
        <v>58000000</v>
      </c>
      <c r="AO277" s="20" t="s">
        <v>6862</v>
      </c>
    </row>
    <row r="278" spans="7:47">
      <c r="G278" s="94"/>
      <c r="R278" s="97" t="s">
        <v>5009</v>
      </c>
      <c r="S278" s="93">
        <v>300000</v>
      </c>
      <c r="U278" s="202" t="s">
        <v>5030</v>
      </c>
      <c r="V278" s="202">
        <v>530</v>
      </c>
      <c r="W278" s="111">
        <v>472</v>
      </c>
      <c r="X278" s="111">
        <f t="shared" si="58"/>
        <v>250160</v>
      </c>
      <c r="Y278" s="36" t="s">
        <v>724</v>
      </c>
      <c r="AI278" s="97"/>
      <c r="AJ278" s="111"/>
      <c r="AK278" s="111"/>
      <c r="AL278" s="97"/>
      <c r="AM278" s="20">
        <f t="shared" si="59"/>
        <v>0</v>
      </c>
      <c r="AN278" s="115">
        <f t="shared" si="60"/>
        <v>0</v>
      </c>
      <c r="AO278" s="20"/>
    </row>
    <row r="279" spans="7:47" ht="30">
      <c r="G279" s="94"/>
      <c r="J279" t="s">
        <v>25</v>
      </c>
      <c r="R279" s="97" t="s">
        <v>5030</v>
      </c>
      <c r="S279" s="93">
        <v>250000</v>
      </c>
      <c r="U279" s="202" t="s">
        <v>5030</v>
      </c>
      <c r="V279" s="202">
        <v>12</v>
      </c>
      <c r="W279" s="111">
        <v>481.86</v>
      </c>
      <c r="X279" s="111">
        <f t="shared" si="58"/>
        <v>5782.32</v>
      </c>
      <c r="Y279" s="36" t="s">
        <v>5032</v>
      </c>
      <c r="AI279" s="97"/>
      <c r="AJ279" s="111"/>
      <c r="AK279" s="111"/>
      <c r="AL279" s="97"/>
      <c r="AM279" s="20">
        <f t="shared" si="59"/>
        <v>0</v>
      </c>
      <c r="AN279" s="115">
        <f t="shared" si="60"/>
        <v>0</v>
      </c>
      <c r="AO279" s="20"/>
      <c r="AU279" s="94" t="s">
        <v>25</v>
      </c>
    </row>
    <row r="280" spans="7:47">
      <c r="G280" s="94"/>
      <c r="R280" s="97" t="s">
        <v>5063</v>
      </c>
      <c r="S280" s="93">
        <v>200000</v>
      </c>
      <c r="U280" s="202" t="s">
        <v>5056</v>
      </c>
      <c r="V280" s="202">
        <v>846</v>
      </c>
      <c r="W280" s="111">
        <v>472.7</v>
      </c>
      <c r="X280" s="111">
        <f t="shared" si="58"/>
        <v>399904.2</v>
      </c>
      <c r="Y280" s="36" t="s">
        <v>434</v>
      </c>
      <c r="AI280" s="97"/>
      <c r="AJ280" s="111"/>
      <c r="AK280" s="111">
        <v>0</v>
      </c>
      <c r="AL280" s="97"/>
      <c r="AM280" s="20">
        <f t="shared" si="59"/>
        <v>0</v>
      </c>
      <c r="AN280" s="115">
        <f t="shared" si="60"/>
        <v>0</v>
      </c>
      <c r="AO280" s="20"/>
    </row>
    <row r="281" spans="7:47">
      <c r="G281" s="94"/>
      <c r="R281" s="97" t="s">
        <v>5095</v>
      </c>
      <c r="S281" s="93">
        <v>122000</v>
      </c>
      <c r="U281" s="202" t="s">
        <v>5059</v>
      </c>
      <c r="V281" s="202">
        <v>191</v>
      </c>
      <c r="W281" s="111">
        <v>484.572</v>
      </c>
      <c r="X281" s="111">
        <f t="shared" si="58"/>
        <v>92553.252000000008</v>
      </c>
      <c r="Y281" s="36" t="s">
        <v>5060</v>
      </c>
      <c r="AI281" s="97"/>
      <c r="AJ281" s="111"/>
      <c r="AK281" s="111"/>
      <c r="AL281" s="97">
        <v>0</v>
      </c>
      <c r="AM281" s="20">
        <f t="shared" si="56"/>
        <v>0</v>
      </c>
      <c r="AN281" s="115">
        <f t="shared" si="57"/>
        <v>0</v>
      </c>
      <c r="AO281" s="20"/>
      <c r="AT281" t="s">
        <v>25</v>
      </c>
    </row>
    <row r="282" spans="7:47">
      <c r="R282" s="97" t="s">
        <v>5103</v>
      </c>
      <c r="S282" s="93">
        <v>200000</v>
      </c>
      <c r="T282" t="s">
        <v>25</v>
      </c>
      <c r="U282" s="202" t="s">
        <v>5059</v>
      </c>
      <c r="V282" s="202">
        <v>-206</v>
      </c>
      <c r="W282" s="111">
        <v>484.572</v>
      </c>
      <c r="X282" s="111">
        <f t="shared" si="58"/>
        <v>-99821.831999999995</v>
      </c>
      <c r="Y282" s="36" t="s">
        <v>5062</v>
      </c>
      <c r="AI282" s="97"/>
      <c r="AJ282" s="97"/>
      <c r="AK282" s="93">
        <f>SUM(AK20:AK281)</f>
        <v>-75215074.938436031</v>
      </c>
      <c r="AL282" s="97"/>
      <c r="AM282" s="97">
        <v>0</v>
      </c>
      <c r="AN282" s="93">
        <f>SUM(AN20:AN281)</f>
        <v>631603426320.14966</v>
      </c>
      <c r="AO282" s="93">
        <f>AN282*AO285/31</f>
        <v>339578526.01541728</v>
      </c>
    </row>
    <row r="283" spans="7:47">
      <c r="J283" t="s">
        <v>25</v>
      </c>
      <c r="R283" s="97" t="s">
        <v>5113</v>
      </c>
      <c r="S283" s="93">
        <v>60000</v>
      </c>
      <c r="U283" s="202" t="s">
        <v>5063</v>
      </c>
      <c r="V283" s="202">
        <v>20685</v>
      </c>
      <c r="W283" s="111">
        <v>483.43312200000003</v>
      </c>
      <c r="X283" s="111">
        <f t="shared" si="58"/>
        <v>9999814.1285699997</v>
      </c>
      <c r="Y283" s="36" t="s">
        <v>5065</v>
      </c>
      <c r="AI283" s="97"/>
      <c r="AJ283" s="97"/>
      <c r="AK283" s="97" t="s">
        <v>4022</v>
      </c>
      <c r="AL283" s="97"/>
      <c r="AM283" s="97"/>
      <c r="AN283" s="97" t="s">
        <v>284</v>
      </c>
      <c r="AO283" s="97" t="s">
        <v>907</v>
      </c>
    </row>
    <row r="284" spans="7:47">
      <c r="R284" s="97" t="s">
        <v>5172</v>
      </c>
      <c r="S284" s="93">
        <v>-200000</v>
      </c>
      <c r="T284" t="s">
        <v>25</v>
      </c>
      <c r="U284" s="202" t="s">
        <v>5063</v>
      </c>
      <c r="V284" s="202">
        <v>-413</v>
      </c>
      <c r="W284" s="111">
        <v>483.40199999999999</v>
      </c>
      <c r="X284" s="111">
        <f t="shared" si="58"/>
        <v>-199645.02599999998</v>
      </c>
      <c r="Y284" s="36" t="s">
        <v>4381</v>
      </c>
      <c r="AI284" s="97"/>
      <c r="AJ284" s="97"/>
      <c r="AK284" s="97"/>
      <c r="AL284" s="97"/>
      <c r="AM284" s="97"/>
      <c r="AN284" s="97"/>
      <c r="AO284" s="97"/>
    </row>
    <row r="285" spans="7:47">
      <c r="R285" s="97" t="s">
        <v>5234</v>
      </c>
      <c r="S285" s="93">
        <v>-9000000</v>
      </c>
      <c r="U285" s="202" t="s">
        <v>5063</v>
      </c>
      <c r="V285" s="202">
        <v>413</v>
      </c>
      <c r="W285" s="111">
        <v>483.40199999999999</v>
      </c>
      <c r="X285" s="111">
        <f t="shared" si="58"/>
        <v>199645.02599999998</v>
      </c>
      <c r="Y285" s="36" t="s">
        <v>724</v>
      </c>
      <c r="AI285" s="97"/>
      <c r="AJ285" s="97"/>
      <c r="AK285" s="97"/>
      <c r="AL285" s="97"/>
      <c r="AM285" s="97"/>
      <c r="AN285" s="97" t="s">
        <v>4023</v>
      </c>
      <c r="AO285" s="97">
        <v>1.6667000000000001E-2</v>
      </c>
      <c r="AR285" t="s">
        <v>25</v>
      </c>
    </row>
    <row r="286" spans="7:47">
      <c r="R286" s="97" t="s">
        <v>5291</v>
      </c>
      <c r="S286" s="93">
        <v>-26000000</v>
      </c>
      <c r="U286" s="202" t="s">
        <v>5068</v>
      </c>
      <c r="V286" s="202">
        <v>-828</v>
      </c>
      <c r="W286" s="111">
        <v>483.43312200000003</v>
      </c>
      <c r="X286" s="111">
        <f t="shared" si="58"/>
        <v>-400282.62501600001</v>
      </c>
      <c r="Y286" s="36" t="s">
        <v>434</v>
      </c>
      <c r="AI286" s="97"/>
      <c r="AJ286" s="97"/>
      <c r="AK286" s="97"/>
      <c r="AL286" s="97"/>
      <c r="AM286" s="97"/>
      <c r="AN286" s="97"/>
      <c r="AO286" s="97"/>
    </row>
    <row r="287" spans="7:47">
      <c r="J287" t="s">
        <v>25</v>
      </c>
      <c r="R287" s="97" t="s">
        <v>5295</v>
      </c>
      <c r="S287" s="93">
        <v>-95900000</v>
      </c>
      <c r="U287" s="202" t="s">
        <v>5071</v>
      </c>
      <c r="V287" s="202">
        <v>12</v>
      </c>
      <c r="W287" s="111">
        <v>473.61898300000001</v>
      </c>
      <c r="X287" s="111">
        <f t="shared" si="58"/>
        <v>5683.4277959999999</v>
      </c>
      <c r="Y287" s="36" t="s">
        <v>434</v>
      </c>
      <c r="AI287" s="97"/>
      <c r="AJ287" s="97" t="s">
        <v>4024</v>
      </c>
      <c r="AK287" s="93">
        <f>AK282+AO282</f>
        <v>264363451.07698125</v>
      </c>
      <c r="AL287" s="97"/>
      <c r="AM287" s="97"/>
      <c r="AN287" s="97"/>
      <c r="AO287" s="97"/>
    </row>
    <row r="288" spans="7:47">
      <c r="J288" t="s">
        <v>25</v>
      </c>
      <c r="R288" s="97" t="s">
        <v>5296</v>
      </c>
      <c r="S288" s="93">
        <v>-28950000</v>
      </c>
      <c r="T288" t="s">
        <v>25</v>
      </c>
      <c r="U288" s="202" t="s">
        <v>5074</v>
      </c>
      <c r="V288" s="202">
        <v>963</v>
      </c>
      <c r="W288" s="111">
        <v>477.92200000000003</v>
      </c>
      <c r="X288" s="111">
        <f t="shared" si="58"/>
        <v>460238.886</v>
      </c>
      <c r="Y288" s="36" t="s">
        <v>434</v>
      </c>
      <c r="AJ288" t="s">
        <v>4027</v>
      </c>
      <c r="AK288" s="112">
        <f>SUM(N42:N48)</f>
        <v>7374762557</v>
      </c>
      <c r="AN288" t="s">
        <v>25</v>
      </c>
    </row>
    <row r="289" spans="15:46">
      <c r="R289" s="97" t="s">
        <v>5425</v>
      </c>
      <c r="S289" s="93">
        <v>-93000000</v>
      </c>
      <c r="T289" t="s">
        <v>25</v>
      </c>
      <c r="U289" s="202" t="s">
        <v>5075</v>
      </c>
      <c r="V289" s="202">
        <v>2815</v>
      </c>
      <c r="W289" s="111">
        <v>461.79</v>
      </c>
      <c r="X289" s="111">
        <f t="shared" si="58"/>
        <v>1299938.8500000001</v>
      </c>
      <c r="Y289" s="36" t="s">
        <v>434</v>
      </c>
      <c r="AJ289" t="s">
        <v>4093</v>
      </c>
      <c r="AK289" s="112">
        <f>AK288-AK282</f>
        <v>7449977631.9384365</v>
      </c>
      <c r="AN289" t="s">
        <v>25</v>
      </c>
      <c r="AT289" t="s">
        <v>25</v>
      </c>
    </row>
    <row r="290" spans="15:46">
      <c r="R290" s="97" t="s">
        <v>5434</v>
      </c>
      <c r="S290" s="93">
        <v>50000000</v>
      </c>
      <c r="U290" s="202" t="s">
        <v>5075</v>
      </c>
      <c r="V290" s="202">
        <v>1581</v>
      </c>
      <c r="W290" s="111">
        <v>461.79</v>
      </c>
      <c r="X290" s="111">
        <f t="shared" si="58"/>
        <v>730089.99</v>
      </c>
      <c r="Y290" s="36" t="s">
        <v>434</v>
      </c>
      <c r="Z290" t="s">
        <v>25</v>
      </c>
      <c r="AJ290" t="s">
        <v>907</v>
      </c>
      <c r="AK290" s="112">
        <f>AO282</f>
        <v>339578526.01541728</v>
      </c>
      <c r="AO290" t="s">
        <v>25</v>
      </c>
    </row>
    <row r="291" spans="15:46">
      <c r="R291" s="97" t="s">
        <v>4186</v>
      </c>
      <c r="S291" s="93">
        <v>2749471.1668000002</v>
      </c>
      <c r="U291" s="202" t="s">
        <v>956</v>
      </c>
      <c r="V291" s="202">
        <v>41</v>
      </c>
      <c r="W291" s="111">
        <v>514.48099999999999</v>
      </c>
      <c r="X291" s="111">
        <f t="shared" si="58"/>
        <v>21093.721000000001</v>
      </c>
      <c r="Y291" s="36" t="s">
        <v>5060</v>
      </c>
      <c r="AJ291" t="s">
        <v>4028</v>
      </c>
      <c r="AK291" s="112">
        <f>AK288-AK287</f>
        <v>7110399105.9230185</v>
      </c>
      <c r="AO291" t="s">
        <v>25</v>
      </c>
    </row>
    <row r="292" spans="15:46">
      <c r="R292" s="97" t="s">
        <v>5518</v>
      </c>
      <c r="S292" s="93">
        <v>-680940.07019999996</v>
      </c>
      <c r="U292" s="202" t="s">
        <v>4230</v>
      </c>
      <c r="V292" s="202">
        <v>71</v>
      </c>
      <c r="W292" s="111">
        <v>482.57</v>
      </c>
      <c r="X292" s="111">
        <f t="shared" si="58"/>
        <v>34262.47</v>
      </c>
      <c r="Y292" s="36" t="s">
        <v>5060</v>
      </c>
      <c r="AN292" t="s">
        <v>25</v>
      </c>
    </row>
    <row r="293" spans="15:46">
      <c r="R293" s="97" t="s">
        <v>5518</v>
      </c>
      <c r="S293" s="93">
        <v>-48684800.338199995</v>
      </c>
      <c r="U293" s="202" t="s">
        <v>5095</v>
      </c>
      <c r="V293" s="202">
        <v>-250</v>
      </c>
      <c r="W293" s="111">
        <v>487.125</v>
      </c>
      <c r="X293" s="111">
        <f t="shared" si="58"/>
        <v>-121781.25</v>
      </c>
      <c r="Y293" s="36" t="s">
        <v>4381</v>
      </c>
      <c r="AK293" t="s">
        <v>25</v>
      </c>
    </row>
    <row r="294" spans="15:46">
      <c r="R294" s="97" t="s">
        <v>5542</v>
      </c>
      <c r="S294" s="93">
        <v>1500000</v>
      </c>
      <c r="T294" t="s">
        <v>25</v>
      </c>
      <c r="U294" s="202" t="s">
        <v>5095</v>
      </c>
      <c r="V294" s="202">
        <v>250</v>
      </c>
      <c r="W294" s="111">
        <v>487.125</v>
      </c>
      <c r="X294" s="111">
        <f t="shared" si="58"/>
        <v>121781.25</v>
      </c>
      <c r="Y294" s="36" t="s">
        <v>724</v>
      </c>
    </row>
    <row r="295" spans="15:46">
      <c r="R295" s="97" t="s">
        <v>944</v>
      </c>
      <c r="S295" s="93">
        <v>11221062</v>
      </c>
      <c r="T295" t="s">
        <v>25</v>
      </c>
      <c r="U295" s="202" t="s">
        <v>5103</v>
      </c>
      <c r="V295" s="202">
        <v>-1439</v>
      </c>
      <c r="W295" s="111">
        <v>486.53068999999999</v>
      </c>
      <c r="X295" s="111">
        <f t="shared" si="58"/>
        <v>-700117.66290999996</v>
      </c>
      <c r="Y295" s="36" t="s">
        <v>4381</v>
      </c>
    </row>
    <row r="296" spans="15:46">
      <c r="R296" s="97" t="s">
        <v>5723</v>
      </c>
      <c r="S296" s="93">
        <v>20031495.928431001</v>
      </c>
      <c r="U296" s="202" t="s">
        <v>5103</v>
      </c>
      <c r="V296" s="202">
        <v>411</v>
      </c>
      <c r="W296" s="111">
        <v>486.53068999999999</v>
      </c>
      <c r="X296" s="111">
        <f t="shared" si="58"/>
        <v>199964.11358999999</v>
      </c>
      <c r="Y296" s="36" t="s">
        <v>724</v>
      </c>
      <c r="Z296" t="s">
        <v>25</v>
      </c>
    </row>
    <row r="297" spans="15:46">
      <c r="O297" t="s">
        <v>25</v>
      </c>
      <c r="R297" s="97" t="s">
        <v>5734</v>
      </c>
      <c r="S297" s="93">
        <v>-154353015.43906799</v>
      </c>
      <c r="T297" t="s">
        <v>25</v>
      </c>
      <c r="U297" s="202" t="s">
        <v>5073</v>
      </c>
      <c r="V297" s="202">
        <v>-4290</v>
      </c>
      <c r="W297" s="111">
        <v>497.57670000000002</v>
      </c>
      <c r="X297" s="111">
        <f t="shared" si="58"/>
        <v>-2134604.0430000001</v>
      </c>
      <c r="Y297" s="36" t="s">
        <v>434</v>
      </c>
    </row>
    <row r="298" spans="15:46">
      <c r="R298" s="97" t="s">
        <v>5752</v>
      </c>
      <c r="S298" s="93">
        <v>16643927.89773</v>
      </c>
      <c r="T298" t="s">
        <v>25</v>
      </c>
      <c r="U298" s="202" t="s">
        <v>5110</v>
      </c>
      <c r="V298" s="202">
        <v>-644</v>
      </c>
      <c r="W298" s="111">
        <v>494.76464499999997</v>
      </c>
      <c r="X298" s="111">
        <f t="shared" si="58"/>
        <v>-318628.43137999997</v>
      </c>
      <c r="Y298" s="36" t="s">
        <v>434</v>
      </c>
      <c r="AI298" s="97" t="s">
        <v>3604</v>
      </c>
      <c r="AJ298" s="97" t="s">
        <v>180</v>
      </c>
      <c r="AK298" s="97" t="s">
        <v>267</v>
      </c>
      <c r="AL298" s="97" t="s">
        <v>4021</v>
      </c>
      <c r="AM298" s="97" t="s">
        <v>4013</v>
      </c>
      <c r="AN298" s="97" t="s">
        <v>282</v>
      </c>
      <c r="AO298" s="97" t="s">
        <v>4242</v>
      </c>
    </row>
    <row r="299" spans="15:46">
      <c r="R299" s="97" t="s">
        <v>5753</v>
      </c>
      <c r="S299" s="93">
        <v>33355467.51292</v>
      </c>
      <c r="U299" s="202" t="s">
        <v>5113</v>
      </c>
      <c r="V299" s="202">
        <v>-112</v>
      </c>
      <c r="W299" s="111">
        <v>485.78</v>
      </c>
      <c r="X299" s="111">
        <f t="shared" si="58"/>
        <v>-54407.360000000001</v>
      </c>
      <c r="Y299" s="36" t="s">
        <v>434</v>
      </c>
      <c r="AI299" s="97">
        <v>1</v>
      </c>
      <c r="AJ299" s="97" t="s">
        <v>3912</v>
      </c>
      <c r="AK299" s="115">
        <v>3555820</v>
      </c>
      <c r="AL299" s="97">
        <v>2</v>
      </c>
      <c r="AM299" s="97">
        <f>AL299+AM300</f>
        <v>991</v>
      </c>
      <c r="AN299" s="97">
        <f>AK299*AM299</f>
        <v>3523817620</v>
      </c>
      <c r="AO299" s="97" t="s">
        <v>4259</v>
      </c>
    </row>
    <row r="300" spans="15:46">
      <c r="R300" s="97" t="s">
        <v>6103</v>
      </c>
      <c r="S300" s="93">
        <v>30000000</v>
      </c>
      <c r="T300" t="s">
        <v>25</v>
      </c>
      <c r="U300" s="202" t="s">
        <v>5113</v>
      </c>
      <c r="V300" s="202">
        <v>123</v>
      </c>
      <c r="W300" s="111">
        <v>485.78</v>
      </c>
      <c r="X300" s="111">
        <f t="shared" si="58"/>
        <v>59750.939999999995</v>
      </c>
      <c r="Y300" s="36" t="s">
        <v>724</v>
      </c>
      <c r="AI300" s="97">
        <v>2</v>
      </c>
      <c r="AJ300" s="97" t="s">
        <v>3987</v>
      </c>
      <c r="AK300" s="115">
        <v>1720837</v>
      </c>
      <c r="AL300" s="97">
        <v>51</v>
      </c>
      <c r="AM300" s="97">
        <f t="shared" ref="AM300:AM309" si="61">AL300+AM301</f>
        <v>989</v>
      </c>
      <c r="AN300" s="97">
        <f t="shared" ref="AN300:AN328" si="62">AK300*AM300</f>
        <v>1701907793</v>
      </c>
      <c r="AO300" s="97" t="s">
        <v>4260</v>
      </c>
      <c r="AS300" t="s">
        <v>25</v>
      </c>
    </row>
    <row r="301" spans="15:46">
      <c r="R301" s="97" t="s">
        <v>6116</v>
      </c>
      <c r="S301" s="93">
        <v>6000000</v>
      </c>
      <c r="U301" s="202" t="s">
        <v>5113</v>
      </c>
      <c r="V301" s="202">
        <v>-123</v>
      </c>
      <c r="W301" s="111">
        <v>485.78</v>
      </c>
      <c r="X301" s="111">
        <f t="shared" si="58"/>
        <v>-59750.939999999995</v>
      </c>
      <c r="Y301" s="36" t="s">
        <v>4381</v>
      </c>
      <c r="AI301" s="97">
        <v>3</v>
      </c>
      <c r="AJ301" s="97" t="s">
        <v>4087</v>
      </c>
      <c r="AK301" s="115">
        <v>150000</v>
      </c>
      <c r="AL301" s="97">
        <v>3</v>
      </c>
      <c r="AM301" s="97">
        <f t="shared" si="61"/>
        <v>938</v>
      </c>
      <c r="AN301" s="97">
        <f t="shared" si="62"/>
        <v>140700000</v>
      </c>
      <c r="AO301" s="97"/>
    </row>
    <row r="302" spans="15:46">
      <c r="R302" s="97" t="s">
        <v>6185</v>
      </c>
      <c r="S302" s="93">
        <v>126128.77475900001</v>
      </c>
      <c r="U302" s="202" t="s">
        <v>5156</v>
      </c>
      <c r="V302" s="202">
        <v>32367</v>
      </c>
      <c r="W302" s="111">
        <v>556.12900000000002</v>
      </c>
      <c r="X302" s="111">
        <f t="shared" si="58"/>
        <v>18000227.343000002</v>
      </c>
      <c r="Y302" s="36" t="s">
        <v>434</v>
      </c>
      <c r="AI302" s="97">
        <v>4</v>
      </c>
      <c r="AJ302" s="97" t="s">
        <v>4102</v>
      </c>
      <c r="AK302" s="115">
        <v>-95000</v>
      </c>
      <c r="AL302" s="97">
        <v>8</v>
      </c>
      <c r="AM302" s="97">
        <f t="shared" si="61"/>
        <v>935</v>
      </c>
      <c r="AN302" s="97">
        <f t="shared" si="62"/>
        <v>-88825000</v>
      </c>
      <c r="AO302" s="97"/>
    </row>
    <row r="303" spans="15:46">
      <c r="R303" s="97" t="s">
        <v>6717</v>
      </c>
      <c r="S303" s="93">
        <v>7000000</v>
      </c>
      <c r="U303" s="202" t="s">
        <v>5172</v>
      </c>
      <c r="V303" s="202">
        <v>1254</v>
      </c>
      <c r="W303" s="111">
        <v>558.24400000000003</v>
      </c>
      <c r="X303" s="111">
        <f t="shared" si="58"/>
        <v>700037.97600000002</v>
      </c>
      <c r="Y303" s="36" t="s">
        <v>4381</v>
      </c>
      <c r="AI303" s="97">
        <v>5</v>
      </c>
      <c r="AJ303" s="97" t="s">
        <v>4126</v>
      </c>
      <c r="AK303" s="115">
        <v>3150000</v>
      </c>
      <c r="AL303" s="97">
        <v>16</v>
      </c>
      <c r="AM303" s="97">
        <f t="shared" si="61"/>
        <v>927</v>
      </c>
      <c r="AN303" s="97">
        <f t="shared" si="62"/>
        <v>2920050000</v>
      </c>
      <c r="AO303" s="97"/>
    </row>
    <row r="304" spans="15:46">
      <c r="R304" s="97" t="s">
        <v>6790</v>
      </c>
      <c r="S304" s="93">
        <v>-450269000</v>
      </c>
      <c r="T304" t="s">
        <v>25</v>
      </c>
      <c r="U304" s="166" t="s">
        <v>5172</v>
      </c>
      <c r="V304" s="202">
        <v>-358</v>
      </c>
      <c r="W304" s="111">
        <v>558.24400000000003</v>
      </c>
      <c r="X304" s="111">
        <f t="shared" si="58"/>
        <v>-199851.35200000001</v>
      </c>
      <c r="Y304" s="36" t="s">
        <v>724</v>
      </c>
      <c r="AA304" t="s">
        <v>25</v>
      </c>
      <c r="AI304" s="97">
        <v>6</v>
      </c>
      <c r="AJ304" s="97" t="s">
        <v>4191</v>
      </c>
      <c r="AK304" s="115">
        <v>-65000</v>
      </c>
      <c r="AL304" s="97">
        <v>1</v>
      </c>
      <c r="AM304" s="97">
        <f t="shared" si="61"/>
        <v>911</v>
      </c>
      <c r="AN304" s="97">
        <f t="shared" si="62"/>
        <v>-59215000</v>
      </c>
      <c r="AO304" s="97"/>
    </row>
    <row r="305" spans="15:41">
      <c r="O305" t="s">
        <v>25</v>
      </c>
      <c r="R305" s="97" t="s">
        <v>6798</v>
      </c>
      <c r="S305" s="93">
        <v>50000000</v>
      </c>
      <c r="U305" s="186" t="s">
        <v>5191</v>
      </c>
      <c r="V305" s="186">
        <v>63259</v>
      </c>
      <c r="W305" s="185">
        <v>632.31960000000004</v>
      </c>
      <c r="X305" s="185">
        <f t="shared" si="58"/>
        <v>39999905.576400004</v>
      </c>
      <c r="Y305" s="251" t="s">
        <v>1050</v>
      </c>
      <c r="AI305" s="97">
        <v>7</v>
      </c>
      <c r="AJ305" s="97" t="s">
        <v>4261</v>
      </c>
      <c r="AK305" s="115">
        <v>-95000</v>
      </c>
      <c r="AL305" s="97">
        <v>6</v>
      </c>
      <c r="AM305" s="97">
        <f t="shared" si="61"/>
        <v>910</v>
      </c>
      <c r="AN305" s="97">
        <f t="shared" si="62"/>
        <v>-86450000</v>
      </c>
      <c r="AO305" s="97"/>
    </row>
    <row r="306" spans="15:41">
      <c r="R306" s="97" t="s">
        <v>6804</v>
      </c>
      <c r="S306" s="93">
        <v>50000000</v>
      </c>
      <c r="U306" s="19" t="s">
        <v>5195</v>
      </c>
      <c r="V306" s="19">
        <v>-1278</v>
      </c>
      <c r="W306" s="115">
        <v>625.98</v>
      </c>
      <c r="X306" s="115">
        <f t="shared" si="58"/>
        <v>-800002.44000000006</v>
      </c>
      <c r="Y306" s="252" t="s">
        <v>5196</v>
      </c>
      <c r="AI306" s="97">
        <v>8</v>
      </c>
      <c r="AJ306" s="97" t="s">
        <v>4262</v>
      </c>
      <c r="AK306" s="115">
        <v>232000</v>
      </c>
      <c r="AL306" s="97">
        <v>7</v>
      </c>
      <c r="AM306" s="97">
        <f t="shared" si="61"/>
        <v>904</v>
      </c>
      <c r="AN306" s="97">
        <f t="shared" si="62"/>
        <v>209728000</v>
      </c>
      <c r="AO306" s="97"/>
    </row>
    <row r="307" spans="15:41">
      <c r="R307" s="97" t="s">
        <v>6805</v>
      </c>
      <c r="S307" s="93">
        <v>50000000</v>
      </c>
      <c r="T307" t="s">
        <v>25</v>
      </c>
      <c r="U307" s="19" t="s">
        <v>5200</v>
      </c>
      <c r="V307" s="19">
        <v>32049</v>
      </c>
      <c r="W307" s="115">
        <v>624.04600000000005</v>
      </c>
      <c r="X307" s="115">
        <f t="shared" si="58"/>
        <v>20000050.254000001</v>
      </c>
      <c r="Y307" s="252" t="s">
        <v>5065</v>
      </c>
      <c r="AA307" t="s">
        <v>25</v>
      </c>
      <c r="AI307" s="97">
        <v>9</v>
      </c>
      <c r="AJ307" s="97" t="s">
        <v>4241</v>
      </c>
      <c r="AK307" s="115">
        <v>13000000</v>
      </c>
      <c r="AL307" s="97">
        <v>2</v>
      </c>
      <c r="AM307" s="97">
        <f t="shared" si="61"/>
        <v>897</v>
      </c>
      <c r="AN307" s="97">
        <f t="shared" si="62"/>
        <v>11661000000</v>
      </c>
      <c r="AO307" s="97"/>
    </row>
    <row r="308" spans="15:41" ht="30">
      <c r="R308" s="97" t="s">
        <v>6806</v>
      </c>
      <c r="S308" s="93">
        <v>50000000</v>
      </c>
      <c r="U308" s="19" t="s">
        <v>5207</v>
      </c>
      <c r="V308" s="19">
        <v>45094</v>
      </c>
      <c r="W308" s="115">
        <v>614.13559759999998</v>
      </c>
      <c r="X308" s="115">
        <f t="shared" si="58"/>
        <v>27693830.6381744</v>
      </c>
      <c r="Y308" s="252" t="s">
        <v>5209</v>
      </c>
      <c r="Z308" t="s">
        <v>25</v>
      </c>
      <c r="AI308" s="97">
        <v>10</v>
      </c>
      <c r="AJ308" s="97" t="s">
        <v>4263</v>
      </c>
      <c r="AK308" s="115">
        <v>10000000</v>
      </c>
      <c r="AL308" s="97">
        <v>3</v>
      </c>
      <c r="AM308" s="97">
        <f t="shared" si="61"/>
        <v>895</v>
      </c>
      <c r="AN308" s="97">
        <f t="shared" si="62"/>
        <v>8950000000</v>
      </c>
      <c r="AO308" s="97"/>
    </row>
    <row r="309" spans="15:41">
      <c r="R309" s="97" t="s">
        <v>6807</v>
      </c>
      <c r="S309" s="93">
        <v>100000000</v>
      </c>
      <c r="T309" t="s">
        <v>25</v>
      </c>
      <c r="U309" s="19" t="s">
        <v>5234</v>
      </c>
      <c r="V309" s="19">
        <v>-11804</v>
      </c>
      <c r="W309" s="115">
        <v>762.46640000000002</v>
      </c>
      <c r="X309" s="115">
        <f t="shared" si="58"/>
        <v>-9000153.3856000006</v>
      </c>
      <c r="Y309" s="252" t="s">
        <v>5236</v>
      </c>
      <c r="AI309" s="97">
        <v>11</v>
      </c>
      <c r="AJ309" s="97" t="s">
        <v>4252</v>
      </c>
      <c r="AK309" s="115">
        <v>3400000</v>
      </c>
      <c r="AL309" s="97">
        <v>9</v>
      </c>
      <c r="AM309" s="97">
        <f t="shared" si="61"/>
        <v>892</v>
      </c>
      <c r="AN309" s="97">
        <f t="shared" si="62"/>
        <v>3032800000</v>
      </c>
      <c r="AO309" s="97"/>
    </row>
    <row r="310" spans="15:41">
      <c r="R310" s="97" t="s">
        <v>6809</v>
      </c>
      <c r="S310" s="93">
        <v>50000000</v>
      </c>
      <c r="T310" t="s">
        <v>25</v>
      </c>
      <c r="U310" s="19" t="s">
        <v>5277</v>
      </c>
      <c r="V310" s="19">
        <v>844</v>
      </c>
      <c r="W310" s="115">
        <v>830</v>
      </c>
      <c r="X310" s="115">
        <f t="shared" si="58"/>
        <v>700520</v>
      </c>
      <c r="Y310" s="252" t="s">
        <v>4381</v>
      </c>
      <c r="Z310" t="s">
        <v>25</v>
      </c>
      <c r="AI310" s="97">
        <v>12</v>
      </c>
      <c r="AJ310" s="97" t="s">
        <v>4289</v>
      </c>
      <c r="AK310" s="115">
        <v>-8736514</v>
      </c>
      <c r="AL310" s="97">
        <v>1</v>
      </c>
      <c r="AM310" s="97">
        <f>AL310+AM311</f>
        <v>883</v>
      </c>
      <c r="AN310" s="97">
        <f t="shared" si="62"/>
        <v>-7714341862</v>
      </c>
      <c r="AO310" s="97"/>
    </row>
    <row r="311" spans="15:41">
      <c r="R311" s="97" t="s">
        <v>6811</v>
      </c>
      <c r="S311" s="93">
        <v>11300000</v>
      </c>
      <c r="U311" s="19" t="s">
        <v>5281</v>
      </c>
      <c r="V311" s="19">
        <v>8662</v>
      </c>
      <c r="W311" s="115">
        <v>832.57011999999997</v>
      </c>
      <c r="X311" s="115">
        <f t="shared" si="58"/>
        <v>7211722.3794399993</v>
      </c>
      <c r="Y311" s="252" t="s">
        <v>5060</v>
      </c>
      <c r="AA311" t="s">
        <v>25</v>
      </c>
      <c r="AI311" s="97">
        <v>13</v>
      </c>
      <c r="AJ311" s="97" t="s">
        <v>4290</v>
      </c>
      <c r="AK311" s="115">
        <v>555000</v>
      </c>
      <c r="AL311" s="97">
        <v>5</v>
      </c>
      <c r="AM311" s="97">
        <f t="shared" ref="AM311:AM327" si="63">AL311+AM312</f>
        <v>882</v>
      </c>
      <c r="AN311" s="97">
        <f t="shared" si="62"/>
        <v>489510000</v>
      </c>
      <c r="AO311" s="97"/>
    </row>
    <row r="312" spans="15:41" ht="30">
      <c r="R312" s="97" t="s">
        <v>6811</v>
      </c>
      <c r="S312" s="93">
        <v>65111600</v>
      </c>
      <c r="U312" s="19" t="s">
        <v>5282</v>
      </c>
      <c r="V312" s="19">
        <v>10253</v>
      </c>
      <c r="W312" s="115">
        <v>827.2568</v>
      </c>
      <c r="X312" s="115">
        <f t="shared" si="58"/>
        <v>8481863.9704</v>
      </c>
      <c r="Y312" s="252" t="s">
        <v>5285</v>
      </c>
      <c r="AB312" t="s">
        <v>25</v>
      </c>
      <c r="AI312" s="97">
        <v>14</v>
      </c>
      <c r="AJ312" s="97" t="s">
        <v>4314</v>
      </c>
      <c r="AK312" s="115">
        <v>-448308</v>
      </c>
      <c r="AL312" s="97">
        <v>6</v>
      </c>
      <c r="AM312" s="97">
        <f t="shared" si="63"/>
        <v>877</v>
      </c>
      <c r="AN312" s="97">
        <f t="shared" si="62"/>
        <v>-393166116</v>
      </c>
      <c r="AO312" s="97"/>
    </row>
    <row r="313" spans="15:41">
      <c r="O313" t="s">
        <v>25</v>
      </c>
      <c r="R313" s="97" t="s">
        <v>6815</v>
      </c>
      <c r="S313" s="93">
        <v>25000000</v>
      </c>
      <c r="U313" s="225" t="s">
        <v>5286</v>
      </c>
      <c r="V313" s="225">
        <v>-33077</v>
      </c>
      <c r="W313" s="226">
        <v>786.02973999999995</v>
      </c>
      <c r="X313" s="226">
        <f t="shared" si="58"/>
        <v>-25999505.70998</v>
      </c>
      <c r="Y313" s="260" t="s">
        <v>5288</v>
      </c>
      <c r="AI313" s="97">
        <v>15</v>
      </c>
      <c r="AJ313" s="97" t="s">
        <v>4341</v>
      </c>
      <c r="AK313" s="115">
        <v>33225</v>
      </c>
      <c r="AL313" s="97">
        <v>0</v>
      </c>
      <c r="AM313" s="97">
        <f t="shared" si="63"/>
        <v>871</v>
      </c>
      <c r="AN313" s="97">
        <f t="shared" si="62"/>
        <v>28938975</v>
      </c>
      <c r="AO313" s="97"/>
    </row>
    <row r="314" spans="15:41">
      <c r="P314" t="s">
        <v>25</v>
      </c>
      <c r="R314" s="97" t="s">
        <v>6851</v>
      </c>
      <c r="S314" s="93">
        <v>-35640108.705879003</v>
      </c>
      <c r="U314" s="19" t="s">
        <v>5286</v>
      </c>
      <c r="V314" s="19">
        <v>-33077</v>
      </c>
      <c r="W314" s="115">
        <v>786.02973999999995</v>
      </c>
      <c r="X314" s="115">
        <f t="shared" si="58"/>
        <v>-25999505.70998</v>
      </c>
      <c r="Y314" s="252" t="s">
        <v>5289</v>
      </c>
      <c r="Z314" t="s">
        <v>25</v>
      </c>
      <c r="AI314" s="147">
        <v>16</v>
      </c>
      <c r="AJ314" s="147" t="s">
        <v>4341</v>
      </c>
      <c r="AK314" s="185">
        <v>4098523</v>
      </c>
      <c r="AL314" s="147">
        <v>2</v>
      </c>
      <c r="AM314" s="147">
        <f t="shared" si="63"/>
        <v>871</v>
      </c>
      <c r="AN314" s="147">
        <f t="shared" si="62"/>
        <v>3569813533</v>
      </c>
      <c r="AO314" s="147" t="s">
        <v>630</v>
      </c>
    </row>
    <row r="315" spans="15:41">
      <c r="R315" s="97"/>
      <c r="S315" s="93"/>
      <c r="U315" s="19" t="s">
        <v>5286</v>
      </c>
      <c r="V315" s="19">
        <v>1983</v>
      </c>
      <c r="W315" s="115">
        <v>786.02973999999995</v>
      </c>
      <c r="X315" s="115">
        <f t="shared" si="58"/>
        <v>1558696.9744199999</v>
      </c>
      <c r="Y315" s="252" t="s">
        <v>5060</v>
      </c>
      <c r="AI315" s="147">
        <v>17</v>
      </c>
      <c r="AJ315" s="147" t="s">
        <v>4351</v>
      </c>
      <c r="AK315" s="185">
        <v>-1000000</v>
      </c>
      <c r="AL315" s="147">
        <v>7</v>
      </c>
      <c r="AM315" s="147">
        <f t="shared" si="63"/>
        <v>869</v>
      </c>
      <c r="AN315" s="147">
        <f t="shared" si="62"/>
        <v>-869000000</v>
      </c>
      <c r="AO315" s="147" t="s">
        <v>630</v>
      </c>
    </row>
    <row r="316" spans="15:41">
      <c r="R316" s="97"/>
      <c r="S316" s="93"/>
      <c r="U316" s="225" t="s">
        <v>5290</v>
      </c>
      <c r="V316" s="225">
        <v>-119753</v>
      </c>
      <c r="W316" s="226">
        <v>800.81560000000002</v>
      </c>
      <c r="X316" s="226">
        <f t="shared" si="58"/>
        <v>-95900070.546800002</v>
      </c>
      <c r="Y316" s="260" t="s">
        <v>5288</v>
      </c>
      <c r="AI316" s="147">
        <v>18</v>
      </c>
      <c r="AJ316" s="147" t="s">
        <v>4371</v>
      </c>
      <c r="AK316" s="185">
        <v>750000</v>
      </c>
      <c r="AL316" s="147">
        <v>1</v>
      </c>
      <c r="AM316" s="147">
        <f t="shared" si="63"/>
        <v>862</v>
      </c>
      <c r="AN316" s="147">
        <f t="shared" si="62"/>
        <v>646500000</v>
      </c>
      <c r="AO316" s="147" t="s">
        <v>630</v>
      </c>
    </row>
    <row r="317" spans="15:41">
      <c r="R317" s="97" t="s">
        <v>25</v>
      </c>
      <c r="S317" s="93"/>
      <c r="U317" s="19" t="s">
        <v>5290</v>
      </c>
      <c r="V317" s="19">
        <v>-119753</v>
      </c>
      <c r="W317" s="115">
        <v>800.81560000000002</v>
      </c>
      <c r="X317" s="115">
        <f t="shared" si="58"/>
        <v>-95900070.546800002</v>
      </c>
      <c r="Y317" s="252" t="s">
        <v>5289</v>
      </c>
      <c r="AI317" s="190">
        <v>19</v>
      </c>
      <c r="AJ317" s="190" t="s">
        <v>4372</v>
      </c>
      <c r="AK317" s="191">
        <v>-604152</v>
      </c>
      <c r="AL317" s="190">
        <v>0</v>
      </c>
      <c r="AM317" s="190">
        <f t="shared" si="63"/>
        <v>861</v>
      </c>
      <c r="AN317" s="190">
        <f t="shared" si="62"/>
        <v>-520174872</v>
      </c>
      <c r="AO317" s="190" t="s">
        <v>630</v>
      </c>
    </row>
    <row r="318" spans="15:41">
      <c r="R318" s="97"/>
      <c r="S318" s="93">
        <f>SUM(S245:S317)</f>
        <v>124345113.72729298</v>
      </c>
      <c r="U318" s="19" t="s">
        <v>5290</v>
      </c>
      <c r="V318" s="19">
        <v>11291</v>
      </c>
      <c r="W318" s="115">
        <v>800.81560000000002</v>
      </c>
      <c r="X318" s="115">
        <f t="shared" si="58"/>
        <v>9042008.9396000002</v>
      </c>
      <c r="Y318" s="252" t="s">
        <v>434</v>
      </c>
      <c r="AB318" t="s">
        <v>25</v>
      </c>
      <c r="AI318" s="97">
        <v>20</v>
      </c>
      <c r="AJ318" s="97" t="s">
        <v>4373</v>
      </c>
      <c r="AK318" s="115">
        <v>-587083</v>
      </c>
      <c r="AL318" s="97">
        <v>4</v>
      </c>
      <c r="AM318" s="97">
        <f t="shared" si="63"/>
        <v>861</v>
      </c>
      <c r="AN318" s="97">
        <f t="shared" si="62"/>
        <v>-505478463</v>
      </c>
      <c r="AO318" s="97"/>
    </row>
    <row r="319" spans="15:41">
      <c r="S319" s="97" t="s">
        <v>6</v>
      </c>
      <c r="U319" s="186" t="s">
        <v>5291</v>
      </c>
      <c r="V319" s="186">
        <v>-35361</v>
      </c>
      <c r="W319" s="185">
        <v>818.697</v>
      </c>
      <c r="X319" s="185">
        <f t="shared" si="58"/>
        <v>-28949944.616999999</v>
      </c>
      <c r="Y319" s="251" t="s">
        <v>5288</v>
      </c>
      <c r="Z319" t="s">
        <v>25</v>
      </c>
      <c r="AI319" s="190">
        <v>21</v>
      </c>
      <c r="AJ319" s="190" t="s">
        <v>4374</v>
      </c>
      <c r="AK319" s="191">
        <v>-754351</v>
      </c>
      <c r="AL319" s="190">
        <v>0</v>
      </c>
      <c r="AM319" s="147">
        <f t="shared" si="63"/>
        <v>857</v>
      </c>
      <c r="AN319" s="190">
        <f t="shared" si="62"/>
        <v>-646478807</v>
      </c>
      <c r="AO319" s="190" t="s">
        <v>630</v>
      </c>
    </row>
    <row r="320" spans="15:41">
      <c r="O320" t="s">
        <v>25</v>
      </c>
      <c r="S320" t="s">
        <v>25</v>
      </c>
      <c r="T320" s="112"/>
      <c r="U320" s="19" t="s">
        <v>5291</v>
      </c>
      <c r="V320" s="19">
        <v>-35361</v>
      </c>
      <c r="W320" s="115">
        <v>818.697</v>
      </c>
      <c r="X320" s="115">
        <f t="shared" si="58"/>
        <v>-28949944.616999999</v>
      </c>
      <c r="Y320" s="252" t="s">
        <v>5289</v>
      </c>
      <c r="Z320" t="s">
        <v>25</v>
      </c>
      <c r="AA320" t="s">
        <v>25</v>
      </c>
      <c r="AI320" s="97">
        <v>22</v>
      </c>
      <c r="AJ320" s="97" t="s">
        <v>4374</v>
      </c>
      <c r="AK320" s="115">
        <v>-189619</v>
      </c>
      <c r="AL320" s="97">
        <v>15</v>
      </c>
      <c r="AM320" s="97">
        <f t="shared" si="63"/>
        <v>857</v>
      </c>
      <c r="AN320" s="97">
        <f t="shared" si="62"/>
        <v>-162503483</v>
      </c>
      <c r="AO320" s="97"/>
    </row>
    <row r="321" spans="16:45">
      <c r="R321" s="97" t="s">
        <v>434</v>
      </c>
      <c r="U321" s="19" t="s">
        <v>5291</v>
      </c>
      <c r="V321" s="19">
        <v>116</v>
      </c>
      <c r="W321" s="115">
        <v>818.697</v>
      </c>
      <c r="X321" s="115">
        <f t="shared" si="58"/>
        <v>94968.851999999999</v>
      </c>
      <c r="Y321" s="252" t="s">
        <v>5060</v>
      </c>
      <c r="AI321" s="190">
        <v>23</v>
      </c>
      <c r="AJ321" s="190" t="s">
        <v>4432</v>
      </c>
      <c r="AK321" s="185">
        <v>7100</v>
      </c>
      <c r="AL321" s="190">
        <v>0</v>
      </c>
      <c r="AM321" s="147">
        <f t="shared" si="63"/>
        <v>842</v>
      </c>
      <c r="AN321" s="190">
        <f t="shared" si="62"/>
        <v>5978200</v>
      </c>
      <c r="AO321" s="190" t="s">
        <v>630</v>
      </c>
    </row>
    <row r="322" spans="16:45">
      <c r="R322" s="97" t="s">
        <v>4374</v>
      </c>
      <c r="S322" s="97"/>
      <c r="U322" s="19" t="s">
        <v>5295</v>
      </c>
      <c r="V322" s="19">
        <v>48633</v>
      </c>
      <c r="W322" s="115">
        <v>822.47199999999998</v>
      </c>
      <c r="X322" s="115">
        <f t="shared" si="58"/>
        <v>39999280.776000001</v>
      </c>
      <c r="Y322" s="252" t="s">
        <v>5298</v>
      </c>
      <c r="AB322" t="s">
        <v>25</v>
      </c>
      <c r="AI322" s="20">
        <v>24</v>
      </c>
      <c r="AJ322" s="20" t="s">
        <v>4432</v>
      </c>
      <c r="AK322" s="115">
        <v>-147902</v>
      </c>
      <c r="AL322" s="20">
        <v>3</v>
      </c>
      <c r="AM322" s="97">
        <f t="shared" si="63"/>
        <v>842</v>
      </c>
      <c r="AN322" s="20">
        <f t="shared" si="62"/>
        <v>-124533484</v>
      </c>
      <c r="AO322" s="20"/>
    </row>
    <row r="323" spans="16:45">
      <c r="R323" s="97" t="s">
        <v>4416</v>
      </c>
      <c r="S323" s="93">
        <v>63115000</v>
      </c>
      <c r="U323" s="19" t="s">
        <v>5295</v>
      </c>
      <c r="V323" s="19">
        <v>3412</v>
      </c>
      <c r="W323" s="115">
        <v>822.47199999999998</v>
      </c>
      <c r="X323" s="115">
        <f t="shared" si="58"/>
        <v>2806274.4640000002</v>
      </c>
      <c r="Y323" s="252" t="s">
        <v>5300</v>
      </c>
      <c r="AI323" s="147">
        <v>25</v>
      </c>
      <c r="AJ323" s="147" t="s">
        <v>4440</v>
      </c>
      <c r="AK323" s="185">
        <v>-37200</v>
      </c>
      <c r="AL323" s="147">
        <v>4</v>
      </c>
      <c r="AM323" s="147">
        <f t="shared" si="63"/>
        <v>839</v>
      </c>
      <c r="AN323" s="190">
        <f t="shared" si="62"/>
        <v>-31210800</v>
      </c>
      <c r="AO323" s="147" t="s">
        <v>630</v>
      </c>
    </row>
    <row r="324" spans="16:45">
      <c r="P324" t="s">
        <v>25</v>
      </c>
      <c r="R324" s="97" t="s">
        <v>4424</v>
      </c>
      <c r="S324" s="93">
        <v>13300000</v>
      </c>
      <c r="U324" s="19" t="s">
        <v>5296</v>
      </c>
      <c r="V324" s="19">
        <v>1531</v>
      </c>
      <c r="W324" s="115">
        <v>869.82500000000005</v>
      </c>
      <c r="X324" s="115">
        <f t="shared" si="58"/>
        <v>1331702.075</v>
      </c>
      <c r="Y324" s="252" t="s">
        <v>5301</v>
      </c>
      <c r="AI324" s="97">
        <v>26</v>
      </c>
      <c r="AJ324" s="97" t="s">
        <v>4464</v>
      </c>
      <c r="AK324" s="115">
        <v>-372326</v>
      </c>
      <c r="AL324" s="97">
        <v>21</v>
      </c>
      <c r="AM324" s="97">
        <f t="shared" si="63"/>
        <v>835</v>
      </c>
      <c r="AN324" s="20">
        <f t="shared" si="62"/>
        <v>-310892210</v>
      </c>
      <c r="AO324" s="97"/>
    </row>
    <row r="325" spans="16:45">
      <c r="P325" t="s">
        <v>25</v>
      </c>
      <c r="R325" s="97" t="s">
        <v>4517</v>
      </c>
      <c r="S325" s="93">
        <v>2269000</v>
      </c>
      <c r="U325" s="19" t="s">
        <v>5304</v>
      </c>
      <c r="V325" s="19">
        <v>1019</v>
      </c>
      <c r="W325" s="115">
        <v>835.36580000000004</v>
      </c>
      <c r="X325" s="115">
        <f t="shared" si="58"/>
        <v>851237.75020000001</v>
      </c>
      <c r="Y325" s="252" t="s">
        <v>434</v>
      </c>
      <c r="AI325" s="97">
        <v>27</v>
      </c>
      <c r="AJ325" s="97" t="s">
        <v>4509</v>
      </c>
      <c r="AK325" s="115">
        <v>235062</v>
      </c>
      <c r="AL325" s="97">
        <v>0</v>
      </c>
      <c r="AM325" s="97">
        <f t="shared" si="63"/>
        <v>814</v>
      </c>
      <c r="AN325" s="20">
        <f t="shared" si="62"/>
        <v>191340468</v>
      </c>
      <c r="AO325" s="97"/>
    </row>
    <row r="326" spans="16:45">
      <c r="R326" s="97" t="s">
        <v>4526</v>
      </c>
      <c r="S326" s="93">
        <v>25071612</v>
      </c>
      <c r="U326" s="186" t="s">
        <v>5308</v>
      </c>
      <c r="V326" s="186">
        <v>2316</v>
      </c>
      <c r="W326" s="185">
        <v>818.697</v>
      </c>
      <c r="X326" s="185">
        <f t="shared" si="58"/>
        <v>1896102.2520000001</v>
      </c>
      <c r="Y326" s="251" t="s">
        <v>5311</v>
      </c>
      <c r="AI326" s="147">
        <v>28</v>
      </c>
      <c r="AJ326" s="147" t="s">
        <v>4509</v>
      </c>
      <c r="AK326" s="185">
        <v>235062</v>
      </c>
      <c r="AL326" s="147">
        <v>9</v>
      </c>
      <c r="AM326" s="97">
        <f t="shared" si="63"/>
        <v>814</v>
      </c>
      <c r="AN326" s="147">
        <f t="shared" si="62"/>
        <v>191340468</v>
      </c>
      <c r="AO326" s="147" t="s">
        <v>630</v>
      </c>
    </row>
    <row r="327" spans="16:45">
      <c r="R327" s="97" t="s">
        <v>4527</v>
      </c>
      <c r="S327" s="93">
        <v>42236984</v>
      </c>
      <c r="U327" s="19" t="s">
        <v>5314</v>
      </c>
      <c r="V327" s="19">
        <v>315</v>
      </c>
      <c r="W327" s="115">
        <v>680</v>
      </c>
      <c r="X327" s="115">
        <f t="shared" si="58"/>
        <v>214200</v>
      </c>
      <c r="Y327" s="252" t="s">
        <v>5060</v>
      </c>
      <c r="AI327" s="147">
        <v>29</v>
      </c>
      <c r="AJ327" s="147" t="s">
        <v>4527</v>
      </c>
      <c r="AK327" s="185">
        <v>450000</v>
      </c>
      <c r="AL327" s="147">
        <v>0</v>
      </c>
      <c r="AM327" s="97">
        <f t="shared" si="63"/>
        <v>805</v>
      </c>
      <c r="AN327" s="147">
        <f t="shared" si="62"/>
        <v>362250000</v>
      </c>
      <c r="AO327" s="147" t="s">
        <v>630</v>
      </c>
    </row>
    <row r="328" spans="16:45">
      <c r="R328" s="97" t="s">
        <v>4548</v>
      </c>
      <c r="S328" s="93">
        <v>19663646</v>
      </c>
      <c r="U328" s="19" t="s">
        <v>5336</v>
      </c>
      <c r="V328" s="19">
        <v>832</v>
      </c>
      <c r="W328" s="115">
        <v>784.36500000000001</v>
      </c>
      <c r="X328" s="115">
        <f t="shared" si="58"/>
        <v>652591.68000000005</v>
      </c>
      <c r="Y328" s="252" t="s">
        <v>5060</v>
      </c>
      <c r="Z328" t="s">
        <v>25</v>
      </c>
      <c r="AI328" s="20">
        <v>30</v>
      </c>
      <c r="AJ328" s="20" t="s">
        <v>4527</v>
      </c>
      <c r="AK328" s="115">
        <v>450000</v>
      </c>
      <c r="AL328" s="20">
        <v>22</v>
      </c>
      <c r="AM328" s="97">
        <f>AL328+AM329</f>
        <v>805</v>
      </c>
      <c r="AN328" s="20">
        <f t="shared" si="62"/>
        <v>362250000</v>
      </c>
      <c r="AO328" s="20"/>
    </row>
    <row r="329" spans="16:45">
      <c r="R329" s="97" t="s">
        <v>4559</v>
      </c>
      <c r="S329" s="93">
        <v>4374525</v>
      </c>
      <c r="U329" s="19" t="s">
        <v>5377</v>
      </c>
      <c r="V329" s="19">
        <v>382</v>
      </c>
      <c r="W329" s="115">
        <v>1450.6065000000001</v>
      </c>
      <c r="X329" s="115">
        <f t="shared" si="58"/>
        <v>554131.68300000008</v>
      </c>
      <c r="Y329" s="252" t="s">
        <v>5060</v>
      </c>
      <c r="Z329" t="s">
        <v>25</v>
      </c>
      <c r="AI329" s="147">
        <v>31</v>
      </c>
      <c r="AJ329" s="147" t="s">
        <v>4586</v>
      </c>
      <c r="AK329" s="185">
        <v>300000</v>
      </c>
      <c r="AL329" s="147">
        <v>0</v>
      </c>
      <c r="AM329" s="147">
        <f t="shared" ref="AM329:AM344" si="64">AL329+AM330</f>
        <v>783</v>
      </c>
      <c r="AN329" s="147">
        <f t="shared" ref="AN329:AN338" si="65">AK329*AM329</f>
        <v>234900000</v>
      </c>
      <c r="AO329" s="147"/>
    </row>
    <row r="330" spans="16:45" ht="30">
      <c r="R330" s="97" t="s">
        <v>4561</v>
      </c>
      <c r="S330" s="93">
        <v>6550580</v>
      </c>
      <c r="U330" s="19" t="s">
        <v>5378</v>
      </c>
      <c r="V330" s="19">
        <v>50047</v>
      </c>
      <c r="W330" s="115">
        <v>1406.14</v>
      </c>
      <c r="X330" s="115">
        <f t="shared" si="58"/>
        <v>70373088.579999998</v>
      </c>
      <c r="Y330" s="252" t="s">
        <v>5060</v>
      </c>
      <c r="AA330" t="s">
        <v>25</v>
      </c>
      <c r="AI330" s="119">
        <v>32</v>
      </c>
      <c r="AJ330" s="119" t="s">
        <v>4586</v>
      </c>
      <c r="AK330" s="77">
        <v>288936</v>
      </c>
      <c r="AL330" s="119">
        <v>3</v>
      </c>
      <c r="AM330" s="119">
        <f t="shared" si="64"/>
        <v>783</v>
      </c>
      <c r="AN330" s="119">
        <f t="shared" si="65"/>
        <v>226236888</v>
      </c>
      <c r="AO330" s="199" t="s">
        <v>4597</v>
      </c>
    </row>
    <row r="331" spans="16:45">
      <c r="R331" s="97" t="s">
        <v>4574</v>
      </c>
      <c r="S331" s="93">
        <v>7054895</v>
      </c>
      <c r="U331" s="19" t="s">
        <v>5379</v>
      </c>
      <c r="V331" s="19">
        <v>846</v>
      </c>
      <c r="W331" s="115">
        <v>1441.6724569999999</v>
      </c>
      <c r="X331" s="115">
        <f t="shared" si="58"/>
        <v>1219654.8986219999</v>
      </c>
      <c r="Y331" s="252" t="s">
        <v>5060</v>
      </c>
      <c r="Z331" t="s">
        <v>25</v>
      </c>
      <c r="AA331" t="s">
        <v>25</v>
      </c>
      <c r="AI331" s="119">
        <v>33</v>
      </c>
      <c r="AJ331" s="119" t="s">
        <v>4595</v>
      </c>
      <c r="AK331" s="77">
        <v>17962491</v>
      </c>
      <c r="AL331" s="119">
        <v>1</v>
      </c>
      <c r="AM331" s="119">
        <f t="shared" si="64"/>
        <v>780</v>
      </c>
      <c r="AN331" s="119">
        <f t="shared" si="65"/>
        <v>14010742980</v>
      </c>
      <c r="AO331" s="119" t="s">
        <v>4601</v>
      </c>
    </row>
    <row r="332" spans="16:45">
      <c r="R332" s="97" t="s">
        <v>4584</v>
      </c>
      <c r="S332" s="93">
        <v>2145814</v>
      </c>
      <c r="U332" s="19" t="s">
        <v>5380</v>
      </c>
      <c r="V332" s="19">
        <v>10573</v>
      </c>
      <c r="W332" s="115">
        <v>1451.825</v>
      </c>
      <c r="X332" s="115">
        <f t="shared" si="58"/>
        <v>15350145.725</v>
      </c>
      <c r="Y332" s="252" t="s">
        <v>5060</v>
      </c>
      <c r="Z332" t="s">
        <v>25</v>
      </c>
      <c r="AI332" s="119">
        <v>34</v>
      </c>
      <c r="AJ332" s="119" t="s">
        <v>3647</v>
      </c>
      <c r="AK332" s="77">
        <v>18363511</v>
      </c>
      <c r="AL332" s="119">
        <v>1</v>
      </c>
      <c r="AM332" s="119">
        <f t="shared" si="64"/>
        <v>779</v>
      </c>
      <c r="AN332" s="119">
        <f t="shared" si="65"/>
        <v>14305175069</v>
      </c>
      <c r="AO332" s="119" t="s">
        <v>4601</v>
      </c>
      <c r="AS332" t="s">
        <v>25</v>
      </c>
    </row>
    <row r="333" spans="16:45" ht="30">
      <c r="R333" s="97" t="s">
        <v>4586</v>
      </c>
      <c r="S333" s="93">
        <v>4369730</v>
      </c>
      <c r="U333" s="19" t="s">
        <v>5381</v>
      </c>
      <c r="V333" s="19">
        <v>85</v>
      </c>
      <c r="W333" s="115">
        <v>1423.74</v>
      </c>
      <c r="X333" s="115">
        <f t="shared" si="58"/>
        <v>121017.9</v>
      </c>
      <c r="Y333" s="252" t="s">
        <v>5382</v>
      </c>
      <c r="Z333" t="s">
        <v>25</v>
      </c>
      <c r="AI333" s="119">
        <v>35</v>
      </c>
      <c r="AJ333" s="119" t="s">
        <v>4606</v>
      </c>
      <c r="AK333" s="77">
        <v>23622417</v>
      </c>
      <c r="AL333" s="119">
        <v>5</v>
      </c>
      <c r="AM333" s="119">
        <f t="shared" si="64"/>
        <v>778</v>
      </c>
      <c r="AN333" s="119">
        <f t="shared" si="65"/>
        <v>18378240426</v>
      </c>
      <c r="AO333" s="119" t="s">
        <v>4608</v>
      </c>
    </row>
    <row r="334" spans="16:45" ht="30">
      <c r="R334" s="97" t="s">
        <v>4595</v>
      </c>
      <c r="S334" s="93">
        <v>8739459</v>
      </c>
      <c r="U334" s="19" t="s">
        <v>5385</v>
      </c>
      <c r="V334" s="19">
        <v>738</v>
      </c>
      <c r="W334" s="115">
        <v>1388.87895</v>
      </c>
      <c r="X334" s="115">
        <f t="shared" si="58"/>
        <v>1024992.6651</v>
      </c>
      <c r="Y334" s="252" t="s">
        <v>5389</v>
      </c>
      <c r="Z334" t="s">
        <v>25</v>
      </c>
      <c r="AI334" s="119">
        <v>36</v>
      </c>
      <c r="AJ334" s="119" t="s">
        <v>4619</v>
      </c>
      <c r="AK334" s="77">
        <v>82496108</v>
      </c>
      <c r="AL334" s="119">
        <v>1</v>
      </c>
      <c r="AM334" s="119">
        <f t="shared" si="64"/>
        <v>773</v>
      </c>
      <c r="AN334" s="119">
        <f t="shared" si="65"/>
        <v>63769491484</v>
      </c>
      <c r="AO334" s="119" t="s">
        <v>4622</v>
      </c>
    </row>
    <row r="335" spans="16:45">
      <c r="R335" s="97" t="s">
        <v>3647</v>
      </c>
      <c r="S335" s="93">
        <v>6667654</v>
      </c>
      <c r="U335" s="19" t="s">
        <v>5390</v>
      </c>
      <c r="V335" s="19">
        <v>1442</v>
      </c>
      <c r="W335" s="115">
        <v>1350.9547279999999</v>
      </c>
      <c r="X335" s="115">
        <f t="shared" si="58"/>
        <v>1948076.7177759998</v>
      </c>
      <c r="Y335" s="252" t="s">
        <v>5060</v>
      </c>
      <c r="AB335" t="s">
        <v>25</v>
      </c>
      <c r="AI335" s="119">
        <v>37</v>
      </c>
      <c r="AJ335" s="119" t="s">
        <v>4621</v>
      </c>
      <c r="AK335" s="77">
        <v>74657561</v>
      </c>
      <c r="AL335" s="119">
        <v>16</v>
      </c>
      <c r="AM335" s="119">
        <f t="shared" si="64"/>
        <v>772</v>
      </c>
      <c r="AN335" s="119">
        <f t="shared" si="65"/>
        <v>57635637092</v>
      </c>
      <c r="AO335" s="119" t="s">
        <v>4627</v>
      </c>
    </row>
    <row r="336" spans="16:45">
      <c r="R336" s="97" t="s">
        <v>4606</v>
      </c>
      <c r="S336" s="93">
        <v>8981245</v>
      </c>
      <c r="U336" s="19" t="s">
        <v>5391</v>
      </c>
      <c r="V336" s="19">
        <v>36847</v>
      </c>
      <c r="W336" s="115">
        <v>1356.9658300000001</v>
      </c>
      <c r="X336" s="115">
        <f t="shared" si="58"/>
        <v>50000119.938010007</v>
      </c>
      <c r="Y336" s="252" t="s">
        <v>5065</v>
      </c>
      <c r="AI336" s="97">
        <v>38</v>
      </c>
      <c r="AJ336" s="97" t="s">
        <v>4689</v>
      </c>
      <c r="AK336" s="115">
        <v>665000</v>
      </c>
      <c r="AL336" s="97">
        <v>0</v>
      </c>
      <c r="AM336" s="97">
        <f t="shared" si="64"/>
        <v>756</v>
      </c>
      <c r="AN336" s="20">
        <f t="shared" si="65"/>
        <v>502740000</v>
      </c>
      <c r="AO336" s="97"/>
      <c r="AS336" t="s">
        <v>25</v>
      </c>
    </row>
    <row r="337" spans="18:47" ht="30">
      <c r="R337" s="97" t="s">
        <v>4609</v>
      </c>
      <c r="S337" s="93">
        <v>9181756</v>
      </c>
      <c r="U337" s="19" t="s">
        <v>5392</v>
      </c>
      <c r="V337" s="19">
        <v>13738</v>
      </c>
      <c r="W337" s="115">
        <v>1455.82</v>
      </c>
      <c r="X337" s="115">
        <f t="shared" si="58"/>
        <v>20000055.16</v>
      </c>
      <c r="Y337" s="252" t="s">
        <v>5406</v>
      </c>
      <c r="Z337" t="s">
        <v>25</v>
      </c>
      <c r="AB337" t="s">
        <v>25</v>
      </c>
      <c r="AI337" s="147">
        <v>39</v>
      </c>
      <c r="AJ337" s="147" t="s">
        <v>4689</v>
      </c>
      <c r="AK337" s="185">
        <v>665000</v>
      </c>
      <c r="AL337" s="147">
        <v>4</v>
      </c>
      <c r="AM337" s="190">
        <f t="shared" si="64"/>
        <v>756</v>
      </c>
      <c r="AN337" s="190">
        <f t="shared" si="65"/>
        <v>502740000</v>
      </c>
      <c r="AO337" s="190"/>
      <c r="AT337" t="s">
        <v>25</v>
      </c>
    </row>
    <row r="338" spans="18:47">
      <c r="R338" s="97" t="s">
        <v>4621</v>
      </c>
      <c r="S338" s="93">
        <v>11811208</v>
      </c>
      <c r="U338" s="19" t="s">
        <v>5413</v>
      </c>
      <c r="V338" s="19">
        <v>3100</v>
      </c>
      <c r="W338" s="115">
        <v>1853.4507470000001</v>
      </c>
      <c r="X338" s="115">
        <f t="shared" si="58"/>
        <v>5745697.3157000002</v>
      </c>
      <c r="Y338" s="252" t="s">
        <v>5060</v>
      </c>
      <c r="Z338" t="s">
        <v>25</v>
      </c>
      <c r="AI338" s="20">
        <v>40</v>
      </c>
      <c r="AJ338" s="20" t="s">
        <v>4698</v>
      </c>
      <c r="AK338" s="115">
        <v>2000000</v>
      </c>
      <c r="AL338" s="20">
        <v>1</v>
      </c>
      <c r="AM338" s="97">
        <f t="shared" si="64"/>
        <v>752</v>
      </c>
      <c r="AN338" s="20">
        <f t="shared" si="65"/>
        <v>1504000000</v>
      </c>
      <c r="AO338" s="97"/>
      <c r="AS338" t="s">
        <v>25</v>
      </c>
      <c r="AU338" s="94" t="s">
        <v>25</v>
      </c>
    </row>
    <row r="339" spans="18:47">
      <c r="R339" s="97" t="s">
        <v>4628</v>
      </c>
      <c r="S339" s="93">
        <v>41248054</v>
      </c>
      <c r="U339" s="19" t="s">
        <v>5414</v>
      </c>
      <c r="V339" s="19">
        <v>480</v>
      </c>
      <c r="W339" s="115">
        <v>1891.9962069999999</v>
      </c>
      <c r="X339" s="115">
        <f t="shared" si="58"/>
        <v>908158.17935999995</v>
      </c>
      <c r="Y339" s="252" t="s">
        <v>5060</v>
      </c>
      <c r="Z339" t="s">
        <v>25</v>
      </c>
      <c r="AI339" s="20">
        <v>41</v>
      </c>
      <c r="AJ339" s="20" t="s">
        <v>4703</v>
      </c>
      <c r="AK339" s="115">
        <v>-2060725</v>
      </c>
      <c r="AL339" s="20">
        <v>0</v>
      </c>
      <c r="AM339" s="97">
        <f t="shared" si="64"/>
        <v>751</v>
      </c>
      <c r="AN339" s="20">
        <f t="shared" ref="AN339:AN344" si="66">AK339*AM339</f>
        <v>-1547604475</v>
      </c>
      <c r="AO339" s="97" t="s">
        <v>4704</v>
      </c>
      <c r="AT339" t="s">
        <v>25</v>
      </c>
    </row>
    <row r="340" spans="18:47">
      <c r="R340" s="97" t="s">
        <v>4634</v>
      </c>
      <c r="S340" s="93">
        <v>37328780</v>
      </c>
      <c r="U340" s="19" t="s">
        <v>5415</v>
      </c>
      <c r="V340" s="19">
        <v>6522</v>
      </c>
      <c r="W340" s="115">
        <v>1938.4694340000001</v>
      </c>
      <c r="X340" s="115">
        <f t="shared" si="58"/>
        <v>12642697.648548001</v>
      </c>
      <c r="Y340" s="252" t="s">
        <v>5060</v>
      </c>
      <c r="AI340" s="147">
        <v>42</v>
      </c>
      <c r="AJ340" s="147" t="s">
        <v>4703</v>
      </c>
      <c r="AK340" s="185">
        <v>-433375</v>
      </c>
      <c r="AL340" s="147">
        <v>0</v>
      </c>
      <c r="AM340" s="147">
        <f t="shared" si="64"/>
        <v>751</v>
      </c>
      <c r="AN340" s="147">
        <f t="shared" si="66"/>
        <v>-325464625</v>
      </c>
      <c r="AO340" s="147" t="s">
        <v>4705</v>
      </c>
    </row>
    <row r="341" spans="18:47">
      <c r="R341" s="97" t="s">
        <v>4689</v>
      </c>
      <c r="S341" s="93">
        <v>50000000</v>
      </c>
      <c r="U341" s="19" t="s">
        <v>5416</v>
      </c>
      <c r="V341" s="19">
        <v>6197</v>
      </c>
      <c r="W341" s="115">
        <v>1984.3985499999999</v>
      </c>
      <c r="X341" s="115">
        <f t="shared" si="58"/>
        <v>12297317.81435</v>
      </c>
      <c r="Y341" s="252" t="s">
        <v>5060</v>
      </c>
      <c r="AB341" t="s">
        <v>25</v>
      </c>
      <c r="AI341" s="20">
        <v>43</v>
      </c>
      <c r="AJ341" s="20" t="s">
        <v>4703</v>
      </c>
      <c r="AK341" s="115">
        <v>28000000</v>
      </c>
      <c r="AL341" s="20">
        <v>1</v>
      </c>
      <c r="AM341" s="97">
        <f t="shared" si="64"/>
        <v>751</v>
      </c>
      <c r="AN341" s="20">
        <f t="shared" si="66"/>
        <v>21028000000</v>
      </c>
      <c r="AO341" s="97" t="s">
        <v>3854</v>
      </c>
    </row>
    <row r="342" spans="18:47">
      <c r="R342" s="97" t="s">
        <v>4698</v>
      </c>
      <c r="S342" s="93">
        <v>68656</v>
      </c>
      <c r="U342" s="19" t="s">
        <v>5417</v>
      </c>
      <c r="V342" s="19">
        <v>4646</v>
      </c>
      <c r="W342" s="115">
        <v>1928.464023</v>
      </c>
      <c r="X342" s="115">
        <f t="shared" si="58"/>
        <v>8959643.8508579992</v>
      </c>
      <c r="Y342" s="252" t="s">
        <v>5060</v>
      </c>
      <c r="AA342" t="s">
        <v>25</v>
      </c>
      <c r="AB342" t="s">
        <v>25</v>
      </c>
      <c r="AI342" s="20">
        <v>44</v>
      </c>
      <c r="AJ342" s="20" t="s">
        <v>4712</v>
      </c>
      <c r="AK342" s="115">
        <v>160000</v>
      </c>
      <c r="AL342" s="20">
        <v>0</v>
      </c>
      <c r="AM342" s="97">
        <f t="shared" si="64"/>
        <v>750</v>
      </c>
      <c r="AN342" s="20">
        <f t="shared" si="66"/>
        <v>120000000</v>
      </c>
      <c r="AO342" s="97"/>
    </row>
    <row r="343" spans="18:47">
      <c r="R343" s="97" t="s">
        <v>4698</v>
      </c>
      <c r="S343" s="93">
        <v>4000236</v>
      </c>
      <c r="U343" s="19" t="s">
        <v>5418</v>
      </c>
      <c r="V343" s="19">
        <v>7668</v>
      </c>
      <c r="W343" s="115">
        <v>1976.2774959999999</v>
      </c>
      <c r="X343" s="115">
        <f t="shared" si="58"/>
        <v>15154095.839328</v>
      </c>
      <c r="Y343" s="252" t="s">
        <v>5060</v>
      </c>
      <c r="AI343" s="147">
        <v>45</v>
      </c>
      <c r="AJ343" s="147" t="s">
        <v>4712</v>
      </c>
      <c r="AK343" s="185">
        <v>70000</v>
      </c>
      <c r="AL343" s="147">
        <v>9</v>
      </c>
      <c r="AM343" s="147">
        <f t="shared" si="64"/>
        <v>750</v>
      </c>
      <c r="AN343" s="147">
        <f t="shared" si="66"/>
        <v>52500000</v>
      </c>
      <c r="AO343" s="147"/>
    </row>
    <row r="344" spans="18:47" ht="30">
      <c r="R344" s="97" t="s">
        <v>4703</v>
      </c>
      <c r="S344" s="93">
        <v>2250000</v>
      </c>
      <c r="U344" s="19" t="s">
        <v>5425</v>
      </c>
      <c r="V344" s="19">
        <v>-43325</v>
      </c>
      <c r="W344" s="115">
        <v>2146.5548840000001</v>
      </c>
      <c r="X344" s="115">
        <f t="shared" si="58"/>
        <v>-92999490.349300012</v>
      </c>
      <c r="Y344" s="252" t="s">
        <v>5426</v>
      </c>
      <c r="Z344" t="s">
        <v>25</v>
      </c>
      <c r="AI344" s="20">
        <v>46</v>
      </c>
      <c r="AJ344" s="20" t="s">
        <v>4718</v>
      </c>
      <c r="AK344" s="115">
        <v>850000</v>
      </c>
      <c r="AL344" s="20">
        <v>0</v>
      </c>
      <c r="AM344" s="97">
        <f t="shared" si="64"/>
        <v>741</v>
      </c>
      <c r="AN344" s="20">
        <f t="shared" si="66"/>
        <v>629850000</v>
      </c>
      <c r="AO344" s="97"/>
    </row>
    <row r="345" spans="18:47">
      <c r="R345" s="97" t="s">
        <v>4712</v>
      </c>
      <c r="S345" s="93">
        <v>-2512200</v>
      </c>
      <c r="U345" s="19" t="s">
        <v>5433</v>
      </c>
      <c r="V345" s="19">
        <v>20888</v>
      </c>
      <c r="W345" s="115">
        <v>2428.4521530000002</v>
      </c>
      <c r="X345" s="115">
        <f t="shared" si="58"/>
        <v>50725508.571864001</v>
      </c>
      <c r="Y345" s="252" t="s">
        <v>5060</v>
      </c>
      <c r="AI345" s="190">
        <v>47</v>
      </c>
      <c r="AJ345" s="190" t="s">
        <v>4718</v>
      </c>
      <c r="AK345" s="191">
        <v>20000</v>
      </c>
      <c r="AL345" s="190">
        <v>4</v>
      </c>
      <c r="AM345" s="190">
        <f t="shared" ref="AM345:AM353" si="67">AL345+AM346</f>
        <v>741</v>
      </c>
      <c r="AN345" s="190">
        <f t="shared" ref="AN345:AN353" si="68">AK345*AM345</f>
        <v>14820000</v>
      </c>
      <c r="AO345" s="190"/>
    </row>
    <row r="346" spans="18:47">
      <c r="R346" s="97" t="s">
        <v>945</v>
      </c>
      <c r="S346" s="93">
        <v>300000</v>
      </c>
      <c r="U346" s="19" t="s">
        <v>5434</v>
      </c>
      <c r="V346" s="19">
        <v>21663</v>
      </c>
      <c r="W346" s="115">
        <v>2308.0067819999999</v>
      </c>
      <c r="X346" s="115">
        <f t="shared" si="58"/>
        <v>49998350.918466002</v>
      </c>
      <c r="Y346" s="252" t="s">
        <v>5437</v>
      </c>
      <c r="Z346" t="s">
        <v>25</v>
      </c>
      <c r="AI346" s="190">
        <v>48</v>
      </c>
      <c r="AJ346" s="190" t="s">
        <v>4731</v>
      </c>
      <c r="AK346" s="191">
        <v>30000000</v>
      </c>
      <c r="AL346" s="190">
        <v>27</v>
      </c>
      <c r="AM346" s="190">
        <f t="shared" si="67"/>
        <v>737</v>
      </c>
      <c r="AN346" s="190">
        <f t="shared" si="68"/>
        <v>22110000000</v>
      </c>
      <c r="AO346" s="190" t="s">
        <v>4732</v>
      </c>
    </row>
    <row r="347" spans="18:47">
      <c r="R347" s="97" t="s">
        <v>4718</v>
      </c>
      <c r="S347" s="93">
        <v>1100000</v>
      </c>
      <c r="T347" s="112"/>
      <c r="U347" s="19" t="s">
        <v>5434</v>
      </c>
      <c r="V347" s="19">
        <v>977</v>
      </c>
      <c r="W347" s="115">
        <v>2335.6821479999999</v>
      </c>
      <c r="X347" s="115">
        <f t="shared" si="58"/>
        <v>2281961.458596</v>
      </c>
      <c r="Y347" s="252" t="s">
        <v>5060</v>
      </c>
      <c r="AI347" s="20">
        <v>49</v>
      </c>
      <c r="AJ347" s="20" t="s">
        <v>4798</v>
      </c>
      <c r="AK347" s="115">
        <v>1100000</v>
      </c>
      <c r="AL347" s="20">
        <v>1</v>
      </c>
      <c r="AM347" s="20">
        <f t="shared" si="67"/>
        <v>710</v>
      </c>
      <c r="AN347" s="20">
        <f t="shared" si="68"/>
        <v>781000000</v>
      </c>
      <c r="AO347" s="20"/>
    </row>
    <row r="348" spans="18:47">
      <c r="R348" s="97" t="s">
        <v>4738</v>
      </c>
      <c r="S348" s="93">
        <v>890000</v>
      </c>
      <c r="U348" s="19" t="s">
        <v>5441</v>
      </c>
      <c r="V348" s="19">
        <v>4155</v>
      </c>
      <c r="W348" s="115">
        <v>2647</v>
      </c>
      <c r="X348" s="115">
        <f t="shared" si="58"/>
        <v>10998285</v>
      </c>
      <c r="Y348" s="252" t="s">
        <v>5060</v>
      </c>
      <c r="AI348" s="20">
        <v>50</v>
      </c>
      <c r="AJ348" s="20" t="s">
        <v>4799</v>
      </c>
      <c r="AK348" s="115">
        <v>450000</v>
      </c>
      <c r="AL348" s="20">
        <v>0</v>
      </c>
      <c r="AM348" s="20">
        <f t="shared" si="67"/>
        <v>709</v>
      </c>
      <c r="AN348" s="20">
        <f t="shared" si="68"/>
        <v>319050000</v>
      </c>
      <c r="AO348" s="20"/>
    </row>
    <row r="349" spans="18:47">
      <c r="R349" s="97" t="s">
        <v>4739</v>
      </c>
      <c r="S349" s="93">
        <v>1000000</v>
      </c>
      <c r="U349" s="19" t="s">
        <v>5442</v>
      </c>
      <c r="V349" s="19">
        <v>351</v>
      </c>
      <c r="W349" s="115">
        <v>2800.6238229999999</v>
      </c>
      <c r="X349" s="115">
        <f t="shared" si="58"/>
        <v>983018.96187300002</v>
      </c>
      <c r="Y349" s="252" t="s">
        <v>5060</v>
      </c>
      <c r="Z349" t="s">
        <v>25</v>
      </c>
      <c r="AI349" s="147">
        <v>51</v>
      </c>
      <c r="AJ349" s="147" t="s">
        <v>4799</v>
      </c>
      <c r="AK349" s="185">
        <v>550000</v>
      </c>
      <c r="AL349" s="147">
        <v>1</v>
      </c>
      <c r="AM349" s="147">
        <f t="shared" si="67"/>
        <v>709</v>
      </c>
      <c r="AN349" s="147">
        <f t="shared" si="68"/>
        <v>389950000</v>
      </c>
      <c r="AO349" s="147"/>
    </row>
    <row r="350" spans="18:47">
      <c r="R350" s="97" t="s">
        <v>4739</v>
      </c>
      <c r="S350" s="93">
        <v>45436311</v>
      </c>
      <c r="U350" s="19" t="s">
        <v>5444</v>
      </c>
      <c r="V350" s="19">
        <v>5877</v>
      </c>
      <c r="W350" s="115">
        <v>2901.0160000000001</v>
      </c>
      <c r="X350" s="115">
        <f t="shared" si="58"/>
        <v>17049271.032000002</v>
      </c>
      <c r="Y350" s="252" t="s">
        <v>5060</v>
      </c>
      <c r="Z350" t="s">
        <v>25</v>
      </c>
      <c r="AI350" s="147">
        <v>52</v>
      </c>
      <c r="AJ350" s="147" t="s">
        <v>4801</v>
      </c>
      <c r="AK350" s="185">
        <v>1000000</v>
      </c>
      <c r="AL350" s="147">
        <v>8</v>
      </c>
      <c r="AM350" s="147">
        <f t="shared" si="67"/>
        <v>708</v>
      </c>
      <c r="AN350" s="147">
        <f t="shared" si="68"/>
        <v>708000000</v>
      </c>
      <c r="AO350" s="147"/>
    </row>
    <row r="351" spans="18:47">
      <c r="R351" s="97" t="s">
        <v>4751</v>
      </c>
      <c r="S351" s="93">
        <v>-3500000</v>
      </c>
      <c r="U351" s="19" t="s">
        <v>5447</v>
      </c>
      <c r="V351" s="19">
        <v>2374</v>
      </c>
      <c r="W351" s="115">
        <v>2877</v>
      </c>
      <c r="X351" s="115">
        <f t="shared" ref="X351:X388" si="69">V351*W351</f>
        <v>6829998</v>
      </c>
      <c r="Y351" s="252" t="s">
        <v>5060</v>
      </c>
      <c r="AI351" s="20">
        <v>53</v>
      </c>
      <c r="AJ351" s="20" t="s">
        <v>4810</v>
      </c>
      <c r="AK351" s="115">
        <v>-2668880</v>
      </c>
      <c r="AL351" s="20">
        <v>0</v>
      </c>
      <c r="AM351" s="20">
        <f t="shared" si="67"/>
        <v>700</v>
      </c>
      <c r="AN351" s="20">
        <f t="shared" si="68"/>
        <v>-1868216000</v>
      </c>
      <c r="AO351" s="20" t="s">
        <v>4812</v>
      </c>
    </row>
    <row r="352" spans="18:47">
      <c r="R352" s="97" t="s">
        <v>4786</v>
      </c>
      <c r="S352" s="93">
        <v>2520000</v>
      </c>
      <c r="U352" s="19" t="s">
        <v>4186</v>
      </c>
      <c r="V352" s="19">
        <v>2532</v>
      </c>
      <c r="W352" s="115">
        <v>2757.7444</v>
      </c>
      <c r="X352" s="115">
        <f t="shared" si="69"/>
        <v>6982608.8207999999</v>
      </c>
      <c r="Y352" s="252" t="s">
        <v>5060</v>
      </c>
      <c r="AI352" s="147">
        <v>54</v>
      </c>
      <c r="AJ352" s="147" t="s">
        <v>4810</v>
      </c>
      <c r="AK352" s="185">
        <v>-1528620</v>
      </c>
      <c r="AL352" s="147">
        <v>0</v>
      </c>
      <c r="AM352" s="147">
        <f t="shared" si="67"/>
        <v>700</v>
      </c>
      <c r="AN352" s="147">
        <f t="shared" si="68"/>
        <v>-1070034000</v>
      </c>
      <c r="AO352" s="147" t="s">
        <v>4812</v>
      </c>
    </row>
    <row r="353" spans="18:46">
      <c r="R353" s="97" t="s">
        <v>4798</v>
      </c>
      <c r="S353" s="93">
        <v>4900000</v>
      </c>
      <c r="U353" s="19" t="s">
        <v>4186</v>
      </c>
      <c r="V353" s="19">
        <v>4987</v>
      </c>
      <c r="W353" s="115">
        <v>2757.7444</v>
      </c>
      <c r="X353" s="115">
        <f t="shared" si="69"/>
        <v>13752871.322800001</v>
      </c>
      <c r="Y353" s="252" t="s">
        <v>5459</v>
      </c>
      <c r="Z353" t="s">
        <v>25</v>
      </c>
      <c r="AI353" s="20">
        <v>55</v>
      </c>
      <c r="AJ353" s="20" t="s">
        <v>4810</v>
      </c>
      <c r="AK353" s="115">
        <v>50000000</v>
      </c>
      <c r="AL353" s="20">
        <v>4</v>
      </c>
      <c r="AM353" s="20">
        <f t="shared" si="67"/>
        <v>700</v>
      </c>
      <c r="AN353" s="20">
        <f t="shared" si="68"/>
        <v>35000000000</v>
      </c>
      <c r="AO353" s="20"/>
    </row>
    <row r="354" spans="18:46">
      <c r="R354" s="97" t="s">
        <v>4758</v>
      </c>
      <c r="S354" s="93">
        <v>1150000</v>
      </c>
      <c r="U354" s="19" t="s">
        <v>4186</v>
      </c>
      <c r="V354" s="19">
        <v>997</v>
      </c>
      <c r="W354" s="115">
        <v>2757.7444</v>
      </c>
      <c r="X354" s="115">
        <f t="shared" si="69"/>
        <v>2749471.1668000002</v>
      </c>
      <c r="Y354" s="252" t="s">
        <v>5460</v>
      </c>
      <c r="AI354" s="20">
        <v>56</v>
      </c>
      <c r="AJ354" s="20" t="s">
        <v>4816</v>
      </c>
      <c r="AK354" s="115">
        <v>400000</v>
      </c>
      <c r="AL354" s="20">
        <v>4</v>
      </c>
      <c r="AM354" s="20">
        <f t="shared" ref="AM354:AM363" si="70">AL354+AM355</f>
        <v>696</v>
      </c>
      <c r="AN354" s="20">
        <f t="shared" ref="AN354:AN363" si="71">AK354*AM354</f>
        <v>278400000</v>
      </c>
      <c r="AO354" s="20"/>
    </row>
    <row r="355" spans="18:46">
      <c r="R355" s="97" t="s">
        <v>4832</v>
      </c>
      <c r="S355" s="93">
        <v>250000</v>
      </c>
      <c r="U355" s="19" t="s">
        <v>5464</v>
      </c>
      <c r="V355" s="19">
        <v>2874</v>
      </c>
      <c r="W355" s="115">
        <v>2613.1284000000001</v>
      </c>
      <c r="X355" s="115">
        <f t="shared" si="69"/>
        <v>7510131.0216000006</v>
      </c>
      <c r="Y355" s="252" t="s">
        <v>5060</v>
      </c>
      <c r="AI355" s="20">
        <v>57</v>
      </c>
      <c r="AJ355" s="20" t="s">
        <v>4825</v>
      </c>
      <c r="AK355" s="115">
        <v>2000000</v>
      </c>
      <c r="AL355" s="20">
        <v>3</v>
      </c>
      <c r="AM355" s="20">
        <f t="shared" si="70"/>
        <v>692</v>
      </c>
      <c r="AN355" s="20">
        <f t="shared" si="71"/>
        <v>1384000000</v>
      </c>
      <c r="AO355" s="20"/>
    </row>
    <row r="356" spans="18:46">
      <c r="R356" s="97" t="s">
        <v>4835</v>
      </c>
      <c r="S356" s="93">
        <v>1403460</v>
      </c>
      <c r="T356" t="s">
        <v>25</v>
      </c>
      <c r="U356" s="19" t="s">
        <v>5470</v>
      </c>
      <c r="V356" s="19">
        <v>2847</v>
      </c>
      <c r="W356" s="115">
        <v>2556.3841000000002</v>
      </c>
      <c r="X356" s="115">
        <f t="shared" si="69"/>
        <v>7278025.5327000003</v>
      </c>
      <c r="Y356" s="252" t="s">
        <v>5060</v>
      </c>
      <c r="AI356" s="20">
        <v>58</v>
      </c>
      <c r="AJ356" s="20" t="s">
        <v>4828</v>
      </c>
      <c r="AK356" s="115">
        <v>100000</v>
      </c>
      <c r="AL356" s="20">
        <v>4</v>
      </c>
      <c r="AM356" s="20">
        <f t="shared" si="70"/>
        <v>689</v>
      </c>
      <c r="AN356" s="20">
        <f t="shared" si="71"/>
        <v>68900000</v>
      </c>
      <c r="AO356" s="20" t="s">
        <v>3854</v>
      </c>
    </row>
    <row r="357" spans="18:46">
      <c r="R357" s="97" t="s">
        <v>4840</v>
      </c>
      <c r="S357" s="93">
        <v>200000</v>
      </c>
      <c r="U357" s="19" t="s">
        <v>5470</v>
      </c>
      <c r="V357" s="19">
        <v>1222</v>
      </c>
      <c r="W357" s="115">
        <v>2556.3841000000002</v>
      </c>
      <c r="X357" s="115">
        <f t="shared" si="69"/>
        <v>3123901.3702000002</v>
      </c>
      <c r="Y357" s="252" t="s">
        <v>5471</v>
      </c>
      <c r="AI357" s="20">
        <v>59</v>
      </c>
      <c r="AJ357" s="20" t="s">
        <v>4835</v>
      </c>
      <c r="AK357" s="115">
        <v>100000</v>
      </c>
      <c r="AL357" s="20">
        <v>7</v>
      </c>
      <c r="AM357" s="20">
        <f t="shared" si="70"/>
        <v>685</v>
      </c>
      <c r="AN357" s="20">
        <f t="shared" si="71"/>
        <v>68500000</v>
      </c>
      <c r="AO357" s="20"/>
    </row>
    <row r="358" spans="18:46" ht="18" customHeight="1">
      <c r="R358" s="97" t="s">
        <v>4845</v>
      </c>
      <c r="S358" s="93">
        <v>345000</v>
      </c>
      <c r="U358" s="19" t="s">
        <v>5478</v>
      </c>
      <c r="V358" s="19">
        <v>73</v>
      </c>
      <c r="W358" s="115">
        <v>2672.0459999999998</v>
      </c>
      <c r="X358" s="115">
        <f t="shared" si="69"/>
        <v>195059.35799999998</v>
      </c>
      <c r="Y358" s="252" t="s">
        <v>5060</v>
      </c>
      <c r="AI358" s="20">
        <v>60</v>
      </c>
      <c r="AJ358" s="20" t="s">
        <v>4848</v>
      </c>
      <c r="AK358" s="115">
        <v>50000</v>
      </c>
      <c r="AL358" s="20">
        <v>0</v>
      </c>
      <c r="AM358" s="20">
        <f t="shared" si="70"/>
        <v>678</v>
      </c>
      <c r="AN358" s="20">
        <f t="shared" si="71"/>
        <v>33900000</v>
      </c>
      <c r="AO358" s="20"/>
      <c r="AT358" t="s">
        <v>25</v>
      </c>
    </row>
    <row r="359" spans="18:46" ht="21" customHeight="1">
      <c r="R359" s="97" t="s">
        <v>4848</v>
      </c>
      <c r="S359" s="93">
        <v>900000</v>
      </c>
      <c r="U359" s="19" t="s">
        <v>5482</v>
      </c>
      <c r="V359" s="19">
        <v>332</v>
      </c>
      <c r="W359" s="115">
        <v>2598.1260000000002</v>
      </c>
      <c r="X359" s="115">
        <f t="shared" si="69"/>
        <v>862577.83200000005</v>
      </c>
      <c r="Y359" s="252" t="s">
        <v>5483</v>
      </c>
      <c r="Z359" t="s">
        <v>25</v>
      </c>
      <c r="AA359" t="s">
        <v>25</v>
      </c>
      <c r="AI359" s="147">
        <v>61</v>
      </c>
      <c r="AJ359" s="147" t="s">
        <v>4848</v>
      </c>
      <c r="AK359" s="185">
        <v>50000</v>
      </c>
      <c r="AL359" s="147">
        <v>3</v>
      </c>
      <c r="AM359" s="147">
        <f t="shared" si="70"/>
        <v>678</v>
      </c>
      <c r="AN359" s="147">
        <f t="shared" si="71"/>
        <v>33900000</v>
      </c>
      <c r="AO359" s="147"/>
    </row>
    <row r="360" spans="18:46">
      <c r="R360" s="97" t="s">
        <v>4856</v>
      </c>
      <c r="S360" s="93">
        <v>372517</v>
      </c>
      <c r="U360" s="19" t="s">
        <v>5484</v>
      </c>
      <c r="V360" s="19">
        <v>346</v>
      </c>
      <c r="W360" s="115">
        <v>2659.8510000000001</v>
      </c>
      <c r="X360" s="115">
        <f t="shared" si="69"/>
        <v>920308.446</v>
      </c>
      <c r="Y360" s="252" t="s">
        <v>5060</v>
      </c>
      <c r="AI360" s="20">
        <v>62</v>
      </c>
      <c r="AJ360" s="20" t="s">
        <v>4851</v>
      </c>
      <c r="AK360" s="115">
        <v>50000</v>
      </c>
      <c r="AL360" s="20">
        <v>0</v>
      </c>
      <c r="AM360" s="20">
        <f t="shared" si="70"/>
        <v>675</v>
      </c>
      <c r="AN360" s="20">
        <f t="shared" si="71"/>
        <v>33750000</v>
      </c>
      <c r="AO360" s="20"/>
    </row>
    <row r="361" spans="18:46">
      <c r="R361" s="97" t="s">
        <v>4888</v>
      </c>
      <c r="S361" s="93">
        <v>6489257</v>
      </c>
      <c r="U361" s="19" t="s">
        <v>5485</v>
      </c>
      <c r="V361" s="19">
        <v>1722</v>
      </c>
      <c r="W361" s="115">
        <v>2692.1079220000001</v>
      </c>
      <c r="X361" s="115">
        <f t="shared" si="69"/>
        <v>4635809.8416840006</v>
      </c>
      <c r="Y361" s="252" t="s">
        <v>5060</v>
      </c>
      <c r="Z361" t="s">
        <v>25</v>
      </c>
      <c r="AI361" s="190">
        <v>63</v>
      </c>
      <c r="AJ361" s="190" t="s">
        <v>4851</v>
      </c>
      <c r="AK361" s="191">
        <v>50000</v>
      </c>
      <c r="AL361" s="190">
        <v>2</v>
      </c>
      <c r="AM361" s="190">
        <f t="shared" si="70"/>
        <v>675</v>
      </c>
      <c r="AN361" s="190">
        <f t="shared" si="71"/>
        <v>33750000</v>
      </c>
      <c r="AO361" s="190"/>
    </row>
    <row r="362" spans="18:46" ht="18.75" customHeight="1">
      <c r="R362" s="97" t="s">
        <v>4899</v>
      </c>
      <c r="S362" s="93">
        <v>618000</v>
      </c>
      <c r="U362" s="19" t="s">
        <v>5487</v>
      </c>
      <c r="V362" s="19">
        <v>106</v>
      </c>
      <c r="W362" s="115">
        <v>2725.4</v>
      </c>
      <c r="X362" s="115">
        <f t="shared" si="69"/>
        <v>288892.40000000002</v>
      </c>
      <c r="Y362" s="252" t="s">
        <v>434</v>
      </c>
      <c r="Z362" t="s">
        <v>25</v>
      </c>
      <c r="AA362" t="s">
        <v>25</v>
      </c>
      <c r="AI362" s="20">
        <v>64</v>
      </c>
      <c r="AJ362" s="20" t="s">
        <v>4858</v>
      </c>
      <c r="AK362" s="115">
        <v>25000</v>
      </c>
      <c r="AL362" s="20">
        <v>0</v>
      </c>
      <c r="AM362" s="20">
        <f t="shared" si="70"/>
        <v>673</v>
      </c>
      <c r="AN362" s="20">
        <f t="shared" si="71"/>
        <v>16825000</v>
      </c>
      <c r="AO362" s="20"/>
    </row>
    <row r="363" spans="18:46">
      <c r="R363" s="97" t="s">
        <v>4903</v>
      </c>
      <c r="S363" s="93">
        <v>20105000</v>
      </c>
      <c r="U363" s="19" t="s">
        <v>5514</v>
      </c>
      <c r="V363" s="19">
        <v>25901</v>
      </c>
      <c r="W363" s="115">
        <v>2258.9090000000001</v>
      </c>
      <c r="X363" s="115">
        <f t="shared" si="69"/>
        <v>58508002.009000003</v>
      </c>
      <c r="Y363" s="252" t="s">
        <v>5060</v>
      </c>
      <c r="AI363" s="147">
        <v>65</v>
      </c>
      <c r="AJ363" s="147" t="s">
        <v>4858</v>
      </c>
      <c r="AK363" s="185">
        <v>35000</v>
      </c>
      <c r="AL363" s="147">
        <v>7</v>
      </c>
      <c r="AM363" s="147">
        <f t="shared" si="70"/>
        <v>673</v>
      </c>
      <c r="AN363" s="147">
        <f t="shared" si="71"/>
        <v>23555000</v>
      </c>
      <c r="AO363" s="147"/>
    </row>
    <row r="364" spans="18:46">
      <c r="R364" s="97" t="s">
        <v>4904</v>
      </c>
      <c r="S364" s="93">
        <v>-21079990</v>
      </c>
      <c r="U364" s="19" t="s">
        <v>5516</v>
      </c>
      <c r="V364" s="19">
        <v>951</v>
      </c>
      <c r="W364" s="115">
        <v>2361.2150799999999</v>
      </c>
      <c r="X364" s="115">
        <f t="shared" si="69"/>
        <v>2245515.5410799999</v>
      </c>
      <c r="Y364" s="252" t="s">
        <v>5060</v>
      </c>
      <c r="AI364" s="147">
        <v>66</v>
      </c>
      <c r="AJ364" s="147" t="s">
        <v>4866</v>
      </c>
      <c r="AK364" s="185">
        <v>30000000</v>
      </c>
      <c r="AL364" s="147">
        <v>0</v>
      </c>
      <c r="AM364" s="147">
        <f t="shared" ref="AM364:AM383" si="72">AL364+AM365</f>
        <v>666</v>
      </c>
      <c r="AN364" s="147">
        <f t="shared" ref="AN364:AN383" si="73">AK364*AM364</f>
        <v>19980000000</v>
      </c>
      <c r="AO364" s="147"/>
    </row>
    <row r="365" spans="18:46">
      <c r="R365" s="97" t="s">
        <v>4910</v>
      </c>
      <c r="S365" s="93">
        <v>-5949277</v>
      </c>
      <c r="U365" s="19" t="s">
        <v>5518</v>
      </c>
      <c r="V365" s="19">
        <v>7622</v>
      </c>
      <c r="W365" s="115">
        <v>2414.6810999999998</v>
      </c>
      <c r="X365" s="115">
        <f t="shared" si="69"/>
        <v>18404699.3442</v>
      </c>
      <c r="Y365" s="252" t="s">
        <v>5060</v>
      </c>
      <c r="AI365" s="20">
        <v>67</v>
      </c>
      <c r="AJ365" s="20" t="s">
        <v>4866</v>
      </c>
      <c r="AK365" s="115">
        <v>6800000</v>
      </c>
      <c r="AL365" s="20">
        <v>1</v>
      </c>
      <c r="AM365" s="20">
        <f t="shared" si="72"/>
        <v>666</v>
      </c>
      <c r="AN365" s="20">
        <f t="shared" si="73"/>
        <v>4528800000</v>
      </c>
      <c r="AO365" s="20"/>
    </row>
    <row r="366" spans="18:46">
      <c r="R366" s="97" t="s">
        <v>4916</v>
      </c>
      <c r="S366" s="93">
        <v>-15370656</v>
      </c>
      <c r="U366" s="19" t="s">
        <v>5518</v>
      </c>
      <c r="V366" s="19">
        <v>-282</v>
      </c>
      <c r="W366" s="115">
        <v>2414.6810999999998</v>
      </c>
      <c r="X366" s="115">
        <f t="shared" si="69"/>
        <v>-680940.07019999996</v>
      </c>
      <c r="Y366" s="252" t="s">
        <v>5519</v>
      </c>
      <c r="AI366" s="20">
        <v>68</v>
      </c>
      <c r="AJ366" s="20" t="s">
        <v>4869</v>
      </c>
      <c r="AK366" s="115">
        <v>500000</v>
      </c>
      <c r="AL366" s="20">
        <v>1</v>
      </c>
      <c r="AM366" s="20">
        <f t="shared" si="72"/>
        <v>665</v>
      </c>
      <c r="AN366" s="20">
        <f t="shared" si="73"/>
        <v>332500000</v>
      </c>
      <c r="AO366" s="20"/>
    </row>
    <row r="367" spans="18:46">
      <c r="R367" s="97" t="s">
        <v>4916</v>
      </c>
      <c r="S367" s="93">
        <v>4960000</v>
      </c>
      <c r="U367" s="19" t="s">
        <v>5518</v>
      </c>
      <c r="V367" s="19">
        <v>20162</v>
      </c>
      <c r="W367" s="115">
        <v>2414.6810999999998</v>
      </c>
      <c r="X367" s="115">
        <f t="shared" si="69"/>
        <v>48684800.338199995</v>
      </c>
      <c r="Y367" s="252" t="s">
        <v>5520</v>
      </c>
      <c r="AI367" s="20">
        <v>69</v>
      </c>
      <c r="AJ367" s="20" t="s">
        <v>4873</v>
      </c>
      <c r="AK367" s="115">
        <v>850000</v>
      </c>
      <c r="AL367" s="20">
        <v>5</v>
      </c>
      <c r="AM367" s="20">
        <f t="shared" si="72"/>
        <v>664</v>
      </c>
      <c r="AN367" s="20">
        <f t="shared" si="73"/>
        <v>564400000</v>
      </c>
      <c r="AO367" s="20"/>
    </row>
    <row r="368" spans="18:46">
      <c r="R368" s="97" t="s">
        <v>4923</v>
      </c>
      <c r="S368" s="93">
        <v>10000000</v>
      </c>
      <c r="U368" s="19" t="s">
        <v>5518</v>
      </c>
      <c r="V368" s="19">
        <v>-20162</v>
      </c>
      <c r="W368" s="115">
        <v>2414.6810999999998</v>
      </c>
      <c r="X368" s="115">
        <f t="shared" si="69"/>
        <v>-48684800.338199995</v>
      </c>
      <c r="Y368" s="252" t="s">
        <v>724</v>
      </c>
      <c r="AC368" t="s">
        <v>25</v>
      </c>
      <c r="AI368" s="20">
        <v>70</v>
      </c>
      <c r="AJ368" s="20" t="s">
        <v>4880</v>
      </c>
      <c r="AK368" s="115">
        <v>1130250</v>
      </c>
      <c r="AL368" s="20">
        <v>0</v>
      </c>
      <c r="AM368" s="20">
        <f t="shared" si="72"/>
        <v>659</v>
      </c>
      <c r="AN368" s="20">
        <f t="shared" si="73"/>
        <v>744834750</v>
      </c>
      <c r="AO368" s="20"/>
    </row>
    <row r="369" spans="18:46">
      <c r="R369" s="97" t="s">
        <v>4932</v>
      </c>
      <c r="S369" s="93">
        <v>-40570100</v>
      </c>
      <c r="U369" s="19" t="s">
        <v>5521</v>
      </c>
      <c r="V369" s="19">
        <v>977</v>
      </c>
      <c r="W369" s="115">
        <v>2317.971947</v>
      </c>
      <c r="X369" s="115">
        <f t="shared" si="69"/>
        <v>2264658.5922190002</v>
      </c>
      <c r="Y369" s="252" t="s">
        <v>5060</v>
      </c>
      <c r="AI369" s="233">
        <v>71</v>
      </c>
      <c r="AJ369" s="233" t="s">
        <v>4880</v>
      </c>
      <c r="AK369" s="226">
        <v>30000</v>
      </c>
      <c r="AL369" s="233">
        <v>5</v>
      </c>
      <c r="AM369" s="233">
        <f t="shared" si="72"/>
        <v>659</v>
      </c>
      <c r="AN369" s="233">
        <f t="shared" si="73"/>
        <v>19770000</v>
      </c>
      <c r="AO369" s="233"/>
    </row>
    <row r="370" spans="18:46">
      <c r="R370" s="97" t="s">
        <v>4933</v>
      </c>
      <c r="S370" s="93">
        <v>1000000</v>
      </c>
      <c r="U370" s="19" t="s">
        <v>5523</v>
      </c>
      <c r="V370" s="19">
        <v>10280</v>
      </c>
      <c r="W370" s="115">
        <v>2225.429357</v>
      </c>
      <c r="X370" s="115">
        <f t="shared" si="69"/>
        <v>22877413.789960001</v>
      </c>
      <c r="Y370" s="252" t="s">
        <v>5060</v>
      </c>
      <c r="AI370" s="20">
        <v>72</v>
      </c>
      <c r="AJ370" s="20" t="s">
        <v>4888</v>
      </c>
      <c r="AK370" s="115">
        <v>206000</v>
      </c>
      <c r="AL370" s="20">
        <v>0</v>
      </c>
      <c r="AM370" s="20">
        <f t="shared" si="72"/>
        <v>654</v>
      </c>
      <c r="AN370" s="20">
        <f t="shared" si="73"/>
        <v>134724000</v>
      </c>
      <c r="AO370" s="20"/>
    </row>
    <row r="371" spans="18:46">
      <c r="R371" s="97" t="s">
        <v>4940</v>
      </c>
      <c r="S371" s="93">
        <v>400000</v>
      </c>
      <c r="U371" s="19" t="s">
        <v>5526</v>
      </c>
      <c r="V371" s="19">
        <v>1022</v>
      </c>
      <c r="W371" s="115">
        <v>2311.6824240000001</v>
      </c>
      <c r="X371" s="115">
        <f t="shared" si="69"/>
        <v>2362539.4373280001</v>
      </c>
      <c r="Y371" s="252" t="s">
        <v>5060</v>
      </c>
      <c r="AI371" s="147">
        <v>73</v>
      </c>
      <c r="AJ371" s="147" t="s">
        <v>4888</v>
      </c>
      <c r="AK371" s="185">
        <v>206000</v>
      </c>
      <c r="AL371" s="147">
        <v>2</v>
      </c>
      <c r="AM371" s="147">
        <f t="shared" si="72"/>
        <v>654</v>
      </c>
      <c r="AN371" s="147">
        <f t="shared" si="73"/>
        <v>134724000</v>
      </c>
      <c r="AO371" s="147"/>
    </row>
    <row r="372" spans="18:46">
      <c r="R372" s="97" t="s">
        <v>4954</v>
      </c>
      <c r="S372" s="93">
        <v>120000</v>
      </c>
      <c r="T372" t="s">
        <v>25</v>
      </c>
      <c r="U372" s="19" t="s">
        <v>5527</v>
      </c>
      <c r="V372" s="19">
        <v>6818</v>
      </c>
      <c r="W372" s="115">
        <v>2352.988656</v>
      </c>
      <c r="X372" s="115">
        <f t="shared" si="69"/>
        <v>16042676.656608</v>
      </c>
      <c r="Y372" s="252" t="s">
        <v>5060</v>
      </c>
      <c r="AI372" s="20">
        <v>74</v>
      </c>
      <c r="AJ372" s="20" t="s">
        <v>4895</v>
      </c>
      <c r="AK372" s="115">
        <v>50000</v>
      </c>
      <c r="AL372" s="20">
        <v>0</v>
      </c>
      <c r="AM372" s="20">
        <f t="shared" si="72"/>
        <v>652</v>
      </c>
      <c r="AN372" s="20">
        <f t="shared" si="73"/>
        <v>32600000</v>
      </c>
      <c r="AO372" s="20"/>
      <c r="AS372" t="s">
        <v>25</v>
      </c>
    </row>
    <row r="373" spans="18:46">
      <c r="R373" s="97" t="s">
        <v>4945</v>
      </c>
      <c r="S373" s="93">
        <v>500000</v>
      </c>
      <c r="U373" s="19" t="s">
        <v>5528</v>
      </c>
      <c r="V373" s="19">
        <v>8023</v>
      </c>
      <c r="W373" s="115">
        <v>2293.8167079999998</v>
      </c>
      <c r="X373" s="115">
        <f t="shared" si="69"/>
        <v>18403291.448284</v>
      </c>
      <c r="Y373" s="252" t="s">
        <v>5060</v>
      </c>
      <c r="AI373" s="233">
        <v>75</v>
      </c>
      <c r="AJ373" s="233" t="s">
        <v>4895</v>
      </c>
      <c r="AK373" s="226">
        <v>50000</v>
      </c>
      <c r="AL373" s="233">
        <v>2</v>
      </c>
      <c r="AM373" s="233">
        <f t="shared" si="72"/>
        <v>652</v>
      </c>
      <c r="AN373" s="233">
        <f t="shared" si="73"/>
        <v>32600000</v>
      </c>
      <c r="AO373" s="233"/>
    </row>
    <row r="374" spans="18:46">
      <c r="R374" s="97" t="s">
        <v>4970</v>
      </c>
      <c r="S374" s="93">
        <v>744000</v>
      </c>
      <c r="U374" s="19" t="s">
        <v>5531</v>
      </c>
      <c r="V374" s="19">
        <v>4666</v>
      </c>
      <c r="W374" s="115">
        <v>2263.4906230000001</v>
      </c>
      <c r="X374" s="115">
        <f t="shared" si="69"/>
        <v>10561447.246918</v>
      </c>
      <c r="Y374" s="252" t="s">
        <v>5060</v>
      </c>
      <c r="AI374" s="20">
        <v>76</v>
      </c>
      <c r="AJ374" s="20" t="s">
        <v>4899</v>
      </c>
      <c r="AK374" s="115">
        <v>20000000</v>
      </c>
      <c r="AL374" s="20">
        <v>7</v>
      </c>
      <c r="AM374" s="20">
        <f t="shared" si="72"/>
        <v>650</v>
      </c>
      <c r="AN374" s="20">
        <f t="shared" si="73"/>
        <v>13000000000</v>
      </c>
      <c r="AO374" s="20" t="s">
        <v>4900</v>
      </c>
      <c r="AT374" t="s">
        <v>25</v>
      </c>
    </row>
    <row r="375" spans="18:46">
      <c r="R375" s="97" t="s">
        <v>4975</v>
      </c>
      <c r="S375" s="93">
        <v>65000</v>
      </c>
      <c r="U375" s="19" t="s">
        <v>5532</v>
      </c>
      <c r="V375" s="19">
        <v>542</v>
      </c>
      <c r="W375" s="115">
        <v>2263.4906230000001</v>
      </c>
      <c r="X375" s="115">
        <f t="shared" si="69"/>
        <v>1226811.9176660001</v>
      </c>
      <c r="Y375" s="252" t="s">
        <v>5060</v>
      </c>
      <c r="AI375" s="20">
        <v>77</v>
      </c>
      <c r="AJ375" s="20" t="s">
        <v>4910</v>
      </c>
      <c r="AK375" s="115">
        <v>50000</v>
      </c>
      <c r="AL375" s="20">
        <v>0</v>
      </c>
      <c r="AM375" s="20">
        <f t="shared" si="72"/>
        <v>643</v>
      </c>
      <c r="AN375" s="20">
        <f t="shared" si="73"/>
        <v>32150000</v>
      </c>
      <c r="AO375" s="20"/>
    </row>
    <row r="376" spans="18:46">
      <c r="R376" s="97" t="s">
        <v>4946</v>
      </c>
      <c r="S376" s="93">
        <v>-14053702</v>
      </c>
      <c r="U376" s="19" t="s">
        <v>5533</v>
      </c>
      <c r="V376" s="19">
        <v>16629</v>
      </c>
      <c r="W376" s="115">
        <v>2367.7887540000002</v>
      </c>
      <c r="X376" s="115">
        <f t="shared" si="69"/>
        <v>39373959.190266006</v>
      </c>
      <c r="Y376" s="252" t="s">
        <v>5060</v>
      </c>
      <c r="AI376" s="147">
        <v>78</v>
      </c>
      <c r="AJ376" s="147" t="s">
        <v>4910</v>
      </c>
      <c r="AK376" s="185">
        <v>50000</v>
      </c>
      <c r="AL376" s="147">
        <v>7</v>
      </c>
      <c r="AM376" s="147">
        <f t="shared" si="72"/>
        <v>643</v>
      </c>
      <c r="AN376" s="147">
        <f t="shared" si="73"/>
        <v>32150000</v>
      </c>
      <c r="AO376" s="147"/>
    </row>
    <row r="377" spans="18:46">
      <c r="R377" s="97" t="s">
        <v>5011</v>
      </c>
      <c r="S377" s="93">
        <v>3555678</v>
      </c>
      <c r="U377" s="19" t="s">
        <v>5538</v>
      </c>
      <c r="V377" s="19">
        <v>11765</v>
      </c>
      <c r="W377" s="115">
        <v>2354.7375320000001</v>
      </c>
      <c r="X377" s="115">
        <f t="shared" si="69"/>
        <v>27703487.063980002</v>
      </c>
      <c r="Y377" s="252" t="s">
        <v>5060</v>
      </c>
      <c r="AI377" s="20">
        <v>79</v>
      </c>
      <c r="AJ377" s="20" t="s">
        <v>4916</v>
      </c>
      <c r="AK377" s="115">
        <v>2480000</v>
      </c>
      <c r="AL377" s="20">
        <v>0</v>
      </c>
      <c r="AM377" s="20">
        <f t="shared" si="72"/>
        <v>636</v>
      </c>
      <c r="AN377" s="20">
        <f t="shared" si="73"/>
        <v>1577280000</v>
      </c>
      <c r="AO377" s="20"/>
      <c r="AS377" t="s">
        <v>25</v>
      </c>
    </row>
    <row r="378" spans="18:46">
      <c r="R378" s="97" t="s">
        <v>5015</v>
      </c>
      <c r="S378" s="93">
        <v>3495</v>
      </c>
      <c r="U378" s="19" t="s">
        <v>5539</v>
      </c>
      <c r="V378" s="19">
        <v>3672</v>
      </c>
      <c r="W378" s="115">
        <v>2379.873826</v>
      </c>
      <c r="X378" s="115">
        <f t="shared" si="69"/>
        <v>8738896.6890719999</v>
      </c>
      <c r="Y378" s="252" t="s">
        <v>5060</v>
      </c>
      <c r="AA378" t="s">
        <v>25</v>
      </c>
      <c r="AI378" s="147">
        <v>80</v>
      </c>
      <c r="AJ378" s="147" t="s">
        <v>4916</v>
      </c>
      <c r="AK378" s="185">
        <v>2480000</v>
      </c>
      <c r="AL378" s="147">
        <v>12</v>
      </c>
      <c r="AM378" s="147">
        <f t="shared" si="72"/>
        <v>636</v>
      </c>
      <c r="AN378" s="147">
        <f t="shared" si="73"/>
        <v>1577280000</v>
      </c>
      <c r="AO378" s="147"/>
    </row>
    <row r="379" spans="18:46">
      <c r="R379" s="97" t="s">
        <v>5017</v>
      </c>
      <c r="S379" s="93">
        <v>6000000</v>
      </c>
      <c r="U379" s="19" t="s">
        <v>4159</v>
      </c>
      <c r="V379" s="19">
        <v>140</v>
      </c>
      <c r="W379" s="115">
        <v>2487.154767</v>
      </c>
      <c r="X379" s="115">
        <f t="shared" si="69"/>
        <v>348201.66738</v>
      </c>
      <c r="Y379" s="252" t="s">
        <v>5060</v>
      </c>
      <c r="AI379" s="20">
        <v>81</v>
      </c>
      <c r="AJ379" s="20" t="s">
        <v>4923</v>
      </c>
      <c r="AK379" s="115">
        <v>-24159500</v>
      </c>
      <c r="AL379" s="20">
        <v>4</v>
      </c>
      <c r="AM379" s="20">
        <f t="shared" si="72"/>
        <v>624</v>
      </c>
      <c r="AN379" s="20">
        <f t="shared" si="73"/>
        <v>-15075528000</v>
      </c>
      <c r="AO379" s="20" t="s">
        <v>4931</v>
      </c>
    </row>
    <row r="380" spans="18:46">
      <c r="R380" s="97" t="s">
        <v>5018</v>
      </c>
      <c r="S380" s="93">
        <v>17220</v>
      </c>
      <c r="U380" s="19" t="s">
        <v>5541</v>
      </c>
      <c r="V380" s="19">
        <v>1616</v>
      </c>
      <c r="W380" s="115">
        <v>2573.0760479999999</v>
      </c>
      <c r="X380" s="115">
        <f t="shared" si="69"/>
        <v>4158090.8935679998</v>
      </c>
      <c r="Y380" s="252" t="s">
        <v>5060</v>
      </c>
      <c r="AI380" s="20">
        <v>82</v>
      </c>
      <c r="AJ380" s="20" t="s">
        <v>4933</v>
      </c>
      <c r="AK380" s="115">
        <v>400000</v>
      </c>
      <c r="AL380" s="20">
        <v>3</v>
      </c>
      <c r="AM380" s="20">
        <f t="shared" si="72"/>
        <v>620</v>
      </c>
      <c r="AN380" s="20">
        <f t="shared" si="73"/>
        <v>248000000</v>
      </c>
      <c r="AO380" s="20"/>
    </row>
    <row r="381" spans="18:46">
      <c r="R381" s="97" t="s">
        <v>5020</v>
      </c>
      <c r="S381" s="93">
        <v>8249</v>
      </c>
      <c r="U381" s="186" t="s">
        <v>5542</v>
      </c>
      <c r="V381" s="186">
        <v>5682</v>
      </c>
      <c r="W381" s="185">
        <v>2639.970566</v>
      </c>
      <c r="X381" s="185">
        <f t="shared" si="69"/>
        <v>15000312.756012</v>
      </c>
      <c r="Y381" s="251" t="s">
        <v>5735</v>
      </c>
      <c r="AI381" s="147">
        <v>83</v>
      </c>
      <c r="AJ381" s="147" t="s">
        <v>4940</v>
      </c>
      <c r="AK381" s="185">
        <v>40000</v>
      </c>
      <c r="AL381" s="147">
        <v>0</v>
      </c>
      <c r="AM381" s="147">
        <f t="shared" si="72"/>
        <v>617</v>
      </c>
      <c r="AN381" s="147">
        <f t="shared" si="73"/>
        <v>24680000</v>
      </c>
      <c r="AO381" s="147"/>
      <c r="AQ381" t="s">
        <v>25</v>
      </c>
    </row>
    <row r="382" spans="18:46" ht="30">
      <c r="R382" s="97" t="s">
        <v>5020</v>
      </c>
      <c r="S382" s="93">
        <v>6937</v>
      </c>
      <c r="U382" s="186" t="s">
        <v>5542</v>
      </c>
      <c r="V382" s="186">
        <v>-122</v>
      </c>
      <c r="W382" s="185">
        <v>2639.970566</v>
      </c>
      <c r="X382" s="185">
        <f t="shared" si="69"/>
        <v>-322076.40905199997</v>
      </c>
      <c r="Y382" s="251" t="s">
        <v>5762</v>
      </c>
      <c r="Z382" t="s">
        <v>25</v>
      </c>
      <c r="AI382" s="20">
        <v>84</v>
      </c>
      <c r="AJ382" s="20" t="s">
        <v>4940</v>
      </c>
      <c r="AK382" s="115">
        <v>40000</v>
      </c>
      <c r="AL382" s="20">
        <v>5</v>
      </c>
      <c r="AM382" s="20">
        <f t="shared" si="72"/>
        <v>617</v>
      </c>
      <c r="AN382" s="20">
        <f t="shared" si="73"/>
        <v>24680000</v>
      </c>
      <c r="AO382" s="20"/>
    </row>
    <row r="383" spans="18:46">
      <c r="R383" s="97" t="s">
        <v>5023</v>
      </c>
      <c r="S383" s="93">
        <v>4046552</v>
      </c>
      <c r="U383" s="19" t="s">
        <v>5542</v>
      </c>
      <c r="V383" s="19">
        <v>2272</v>
      </c>
      <c r="W383" s="115">
        <v>2639.970566</v>
      </c>
      <c r="X383" s="115">
        <f t="shared" si="69"/>
        <v>5998013.1259519998</v>
      </c>
      <c r="Y383" s="252" t="s">
        <v>5550</v>
      </c>
      <c r="AI383" s="20">
        <v>85</v>
      </c>
      <c r="AJ383" s="20" t="s">
        <v>4948</v>
      </c>
      <c r="AK383" s="115">
        <v>200000</v>
      </c>
      <c r="AL383" s="20">
        <v>1</v>
      </c>
      <c r="AM383" s="20">
        <f t="shared" si="72"/>
        <v>612</v>
      </c>
      <c r="AN383" s="20">
        <f t="shared" si="73"/>
        <v>122400000</v>
      </c>
      <c r="AO383" s="20"/>
    </row>
    <row r="384" spans="18:46" ht="30">
      <c r="R384" s="97" t="s">
        <v>5030</v>
      </c>
      <c r="S384" s="93">
        <v>-3884943</v>
      </c>
      <c r="U384" s="19" t="s">
        <v>5542</v>
      </c>
      <c r="V384" s="19">
        <v>4434</v>
      </c>
      <c r="W384" s="115">
        <v>2639.970566</v>
      </c>
      <c r="X384" s="115">
        <f t="shared" si="69"/>
        <v>11705629.489644</v>
      </c>
      <c r="Y384" s="252" t="s">
        <v>5551</v>
      </c>
      <c r="AB384" t="s">
        <v>25</v>
      </c>
      <c r="AI384" s="20">
        <v>86</v>
      </c>
      <c r="AJ384" s="20" t="s">
        <v>4952</v>
      </c>
      <c r="AK384" s="115">
        <v>500000</v>
      </c>
      <c r="AL384" s="20">
        <v>2</v>
      </c>
      <c r="AM384" s="20">
        <f t="shared" ref="AM384:AM413" si="74">AL384+AM385</f>
        <v>611</v>
      </c>
      <c r="AN384" s="20">
        <f t="shared" ref="AN384:AN413" si="75">AK384*AM384</f>
        <v>305500000</v>
      </c>
      <c r="AO384" s="20"/>
    </row>
    <row r="385" spans="18:46">
      <c r="R385" s="97" t="s">
        <v>5056</v>
      </c>
      <c r="S385" s="93">
        <v>6022</v>
      </c>
      <c r="U385" s="19" t="s">
        <v>5542</v>
      </c>
      <c r="V385" s="19">
        <v>2349</v>
      </c>
      <c r="W385" s="115">
        <v>2639.970566</v>
      </c>
      <c r="X385" s="115">
        <f t="shared" si="69"/>
        <v>6201290.859534</v>
      </c>
      <c r="Y385" s="252" t="s">
        <v>5552</v>
      </c>
      <c r="AI385" s="20">
        <v>87</v>
      </c>
      <c r="AJ385" s="20" t="s">
        <v>4954</v>
      </c>
      <c r="AK385" s="115">
        <v>500000</v>
      </c>
      <c r="AL385" s="20">
        <v>3</v>
      </c>
      <c r="AM385" s="20">
        <f t="shared" si="74"/>
        <v>609</v>
      </c>
      <c r="AN385" s="20">
        <f t="shared" si="75"/>
        <v>304500000</v>
      </c>
      <c r="AO385" s="20"/>
    </row>
    <row r="386" spans="18:46">
      <c r="R386" s="97" t="s">
        <v>5059</v>
      </c>
      <c r="S386" s="93">
        <v>400000</v>
      </c>
      <c r="U386" s="19" t="s">
        <v>5542</v>
      </c>
      <c r="V386" s="19">
        <v>-568</v>
      </c>
      <c r="W386" s="115">
        <v>2639.970566</v>
      </c>
      <c r="X386" s="115">
        <f t="shared" si="69"/>
        <v>-1499503.2814879999</v>
      </c>
      <c r="Y386" s="252" t="s">
        <v>5553</v>
      </c>
      <c r="Z386" t="s">
        <v>25</v>
      </c>
      <c r="AI386" s="20">
        <v>88</v>
      </c>
      <c r="AJ386" s="20" t="s">
        <v>4945</v>
      </c>
      <c r="AK386" s="115">
        <v>250000</v>
      </c>
      <c r="AL386" s="20">
        <v>0</v>
      </c>
      <c r="AM386" s="20">
        <f t="shared" si="74"/>
        <v>606</v>
      </c>
      <c r="AN386" s="20">
        <f t="shared" si="75"/>
        <v>151500000</v>
      </c>
      <c r="AO386" s="20"/>
      <c r="AR386" t="s">
        <v>25</v>
      </c>
    </row>
    <row r="387" spans="18:46">
      <c r="R387" s="97" t="s">
        <v>5059</v>
      </c>
      <c r="S387" s="93">
        <v>92847</v>
      </c>
      <c r="U387" s="19" t="s">
        <v>5542</v>
      </c>
      <c r="V387" s="19">
        <v>568</v>
      </c>
      <c r="W387" s="115">
        <v>2639.970566</v>
      </c>
      <c r="X387" s="115">
        <f t="shared" si="69"/>
        <v>1499503.2814879999</v>
      </c>
      <c r="Y387" s="252" t="s">
        <v>5553</v>
      </c>
      <c r="AG387" s="94" t="s">
        <v>25</v>
      </c>
      <c r="AI387" s="233">
        <v>89</v>
      </c>
      <c r="AJ387" s="233" t="s">
        <v>4945</v>
      </c>
      <c r="AK387" s="226">
        <v>245000</v>
      </c>
      <c r="AL387" s="233">
        <v>16</v>
      </c>
      <c r="AM387" s="233">
        <f t="shared" si="74"/>
        <v>606</v>
      </c>
      <c r="AN387" s="233">
        <f t="shared" si="75"/>
        <v>148470000</v>
      </c>
      <c r="AO387" s="233"/>
    </row>
    <row r="388" spans="18:46">
      <c r="R388" s="97" t="s">
        <v>5063</v>
      </c>
      <c r="S388" s="93">
        <v>-100000</v>
      </c>
      <c r="U388" s="19" t="s">
        <v>5545</v>
      </c>
      <c r="V388" s="19">
        <v>4589</v>
      </c>
      <c r="W388" s="115">
        <v>2639.970566</v>
      </c>
      <c r="X388" s="115">
        <f t="shared" si="69"/>
        <v>12114824.927374</v>
      </c>
      <c r="Y388" s="252" t="s">
        <v>5554</v>
      </c>
      <c r="Z388" t="s">
        <v>25</v>
      </c>
      <c r="AI388" s="20">
        <v>90</v>
      </c>
      <c r="AJ388" s="20" t="s">
        <v>4979</v>
      </c>
      <c r="AK388" s="115">
        <v>312598</v>
      </c>
      <c r="AL388" s="20">
        <v>0</v>
      </c>
      <c r="AM388" s="20">
        <f t="shared" si="74"/>
        <v>590</v>
      </c>
      <c r="AN388" s="20">
        <f t="shared" si="75"/>
        <v>184432820</v>
      </c>
      <c r="AO388" s="20"/>
      <c r="AT388" t="s">
        <v>25</v>
      </c>
    </row>
    <row r="389" spans="18:46">
      <c r="R389" s="97" t="s">
        <v>5068</v>
      </c>
      <c r="S389" s="93">
        <v>10000000</v>
      </c>
      <c r="U389" s="19" t="s">
        <v>5545</v>
      </c>
      <c r="V389" s="19">
        <v>41959</v>
      </c>
      <c r="W389" s="115">
        <v>2639.970566</v>
      </c>
      <c r="X389" s="115">
        <f t="shared" ref="X389:X597" si="76">V389*W389</f>
        <v>110770524.97879399</v>
      </c>
      <c r="Y389" s="252" t="s">
        <v>5060</v>
      </c>
      <c r="AI389" s="20">
        <v>91</v>
      </c>
      <c r="AJ389" s="20" t="s">
        <v>4979</v>
      </c>
      <c r="AK389" s="115">
        <v>780000</v>
      </c>
      <c r="AL389" s="20">
        <v>0</v>
      </c>
      <c r="AM389" s="20">
        <f t="shared" si="74"/>
        <v>590</v>
      </c>
      <c r="AN389" s="20">
        <f t="shared" si="75"/>
        <v>460200000</v>
      </c>
      <c r="AO389" s="20"/>
    </row>
    <row r="390" spans="18:46">
      <c r="R390" s="97" t="s">
        <v>5072</v>
      </c>
      <c r="S390" s="93">
        <v>-400000</v>
      </c>
      <c r="U390" s="19" t="s">
        <v>5556</v>
      </c>
      <c r="V390" s="19">
        <v>2486</v>
      </c>
      <c r="W390" s="115">
        <v>2688.7156100000002</v>
      </c>
      <c r="X390" s="115">
        <f t="shared" si="76"/>
        <v>6684147.0064600008</v>
      </c>
      <c r="Y390" s="252" t="s">
        <v>5060</v>
      </c>
      <c r="AI390" s="190">
        <v>92</v>
      </c>
      <c r="AJ390" s="190" t="s">
        <v>4979</v>
      </c>
      <c r="AK390" s="191">
        <v>-300000</v>
      </c>
      <c r="AL390" s="190">
        <v>1</v>
      </c>
      <c r="AM390" s="190">
        <f t="shared" si="74"/>
        <v>590</v>
      </c>
      <c r="AN390" s="190">
        <f t="shared" si="75"/>
        <v>-177000000</v>
      </c>
      <c r="AO390" s="190"/>
    </row>
    <row r="391" spans="18:46">
      <c r="R391" s="97" t="s">
        <v>5074</v>
      </c>
      <c r="S391" s="93">
        <v>5649</v>
      </c>
      <c r="U391" s="19" t="s">
        <v>5559</v>
      </c>
      <c r="V391" s="19">
        <v>652</v>
      </c>
      <c r="W391" s="115">
        <v>2801.4344030000002</v>
      </c>
      <c r="X391" s="115">
        <f t="shared" si="76"/>
        <v>1826535.2307560001</v>
      </c>
      <c r="Y391" s="252" t="s">
        <v>5060</v>
      </c>
      <c r="AI391" s="20">
        <v>93</v>
      </c>
      <c r="AJ391" s="20" t="s">
        <v>4946</v>
      </c>
      <c r="AK391" s="115">
        <v>300000</v>
      </c>
      <c r="AL391" s="20">
        <v>0</v>
      </c>
      <c r="AM391" s="20">
        <f t="shared" si="74"/>
        <v>589</v>
      </c>
      <c r="AN391" s="20">
        <f t="shared" si="75"/>
        <v>176700000</v>
      </c>
      <c r="AO391" s="20"/>
    </row>
    <row r="392" spans="18:46">
      <c r="R392" s="97" t="s">
        <v>5075</v>
      </c>
      <c r="S392" s="93">
        <v>460000</v>
      </c>
      <c r="U392" s="186" t="s">
        <v>5559</v>
      </c>
      <c r="V392" s="186">
        <v>-536</v>
      </c>
      <c r="W392" s="185">
        <v>2801.4344030000002</v>
      </c>
      <c r="X392" s="185">
        <f t="shared" si="76"/>
        <v>-1501568.8400080001</v>
      </c>
      <c r="Y392" s="251" t="s">
        <v>5567</v>
      </c>
      <c r="AI392" s="20">
        <v>94</v>
      </c>
      <c r="AJ392" s="20" t="s">
        <v>4946</v>
      </c>
      <c r="AK392" s="115">
        <v>8660000</v>
      </c>
      <c r="AL392" s="20">
        <v>8</v>
      </c>
      <c r="AM392" s="20">
        <f t="shared" si="74"/>
        <v>589</v>
      </c>
      <c r="AN392" s="20">
        <f t="shared" si="75"/>
        <v>5100740000</v>
      </c>
      <c r="AO392" s="20"/>
    </row>
    <row r="393" spans="18:46">
      <c r="R393" s="97" t="s">
        <v>5075</v>
      </c>
      <c r="S393" s="93">
        <v>1300000</v>
      </c>
      <c r="U393" s="19" t="s">
        <v>5561</v>
      </c>
      <c r="V393" s="19">
        <v>1351</v>
      </c>
      <c r="W393" s="115">
        <v>2647.94</v>
      </c>
      <c r="X393" s="115">
        <f t="shared" si="76"/>
        <v>3577366.94</v>
      </c>
      <c r="Y393" s="252" t="s">
        <v>5060</v>
      </c>
      <c r="AI393" s="147">
        <v>95</v>
      </c>
      <c r="AJ393" s="147" t="s">
        <v>4996</v>
      </c>
      <c r="AK393" s="185">
        <v>200000</v>
      </c>
      <c r="AL393" s="147">
        <v>3</v>
      </c>
      <c r="AM393" s="147">
        <f t="shared" si="74"/>
        <v>581</v>
      </c>
      <c r="AN393" s="147">
        <f t="shared" si="75"/>
        <v>116200000</v>
      </c>
      <c r="AO393" s="147"/>
      <c r="AS393" t="s">
        <v>25</v>
      </c>
    </row>
    <row r="394" spans="18:46">
      <c r="R394" s="97" t="s">
        <v>956</v>
      </c>
      <c r="S394" s="93">
        <v>7300000</v>
      </c>
      <c r="T394" t="s">
        <v>25</v>
      </c>
      <c r="U394" s="19" t="s">
        <v>5562</v>
      </c>
      <c r="V394" s="19">
        <v>8402</v>
      </c>
      <c r="W394" s="115">
        <v>2527.8539839999999</v>
      </c>
      <c r="X394" s="115">
        <f t="shared" si="76"/>
        <v>21239029.173567999</v>
      </c>
      <c r="Y394" s="252" t="s">
        <v>5060</v>
      </c>
      <c r="AI394" s="147">
        <v>96</v>
      </c>
      <c r="AJ394" s="147" t="s">
        <v>4999</v>
      </c>
      <c r="AK394" s="185">
        <v>20000</v>
      </c>
      <c r="AL394" s="147">
        <v>1</v>
      </c>
      <c r="AM394" s="147">
        <f t="shared" si="74"/>
        <v>578</v>
      </c>
      <c r="AN394" s="147">
        <f t="shared" si="75"/>
        <v>11560000</v>
      </c>
      <c r="AO394" s="147"/>
    </row>
    <row r="395" spans="18:46">
      <c r="R395" s="97" t="s">
        <v>4230</v>
      </c>
      <c r="S395" s="93">
        <v>21203</v>
      </c>
      <c r="U395" s="19" t="s">
        <v>5564</v>
      </c>
      <c r="V395" s="19">
        <v>98141</v>
      </c>
      <c r="W395" s="115">
        <v>2475.593813</v>
      </c>
      <c r="X395" s="115">
        <f t="shared" si="76"/>
        <v>242957252.40163299</v>
      </c>
      <c r="Y395" s="252" t="s">
        <v>5060</v>
      </c>
      <c r="AI395" s="20">
        <v>97</v>
      </c>
      <c r="AJ395" s="20" t="s">
        <v>5009</v>
      </c>
      <c r="AK395" s="115">
        <v>14340000</v>
      </c>
      <c r="AL395" s="20">
        <v>7</v>
      </c>
      <c r="AM395" s="20">
        <f t="shared" si="74"/>
        <v>577</v>
      </c>
      <c r="AN395" s="20">
        <f t="shared" si="75"/>
        <v>8274180000</v>
      </c>
      <c r="AO395" s="20"/>
    </row>
    <row r="396" spans="18:46">
      <c r="R396" s="97" t="s">
        <v>5073</v>
      </c>
      <c r="S396" s="93">
        <v>34550</v>
      </c>
      <c r="U396" s="19" t="s">
        <v>5568</v>
      </c>
      <c r="V396" s="19">
        <v>2910</v>
      </c>
      <c r="W396" s="115">
        <v>2528.240988</v>
      </c>
      <c r="X396" s="115">
        <f t="shared" si="76"/>
        <v>7357181.2750800001</v>
      </c>
      <c r="Y396" s="252" t="s">
        <v>5060</v>
      </c>
      <c r="AA396" t="s">
        <v>25</v>
      </c>
      <c r="AI396" s="20">
        <v>98</v>
      </c>
      <c r="AJ396" s="20" t="s">
        <v>5015</v>
      </c>
      <c r="AK396" s="115">
        <v>10000000</v>
      </c>
      <c r="AL396" s="20">
        <v>6</v>
      </c>
      <c r="AM396" s="20">
        <f t="shared" si="74"/>
        <v>570</v>
      </c>
      <c r="AN396" s="20">
        <f t="shared" si="75"/>
        <v>5700000000</v>
      </c>
      <c r="AO396" s="20" t="s">
        <v>4635</v>
      </c>
    </row>
    <row r="397" spans="18:46">
      <c r="R397" s="97" t="s">
        <v>5110</v>
      </c>
      <c r="S397" s="93">
        <v>-2134406</v>
      </c>
      <c r="U397" s="19" t="s">
        <v>5570</v>
      </c>
      <c r="V397" s="19">
        <v>5652</v>
      </c>
      <c r="W397" s="115">
        <v>2645.3312000000001</v>
      </c>
      <c r="X397" s="115">
        <f t="shared" si="76"/>
        <v>14951411.942400001</v>
      </c>
      <c r="Y397" s="252" t="s">
        <v>5060</v>
      </c>
      <c r="AI397" s="20">
        <v>99</v>
      </c>
      <c r="AJ397" s="20" t="s">
        <v>5020</v>
      </c>
      <c r="AK397" s="115">
        <v>4033949</v>
      </c>
      <c r="AL397" s="20">
        <v>2</v>
      </c>
      <c r="AM397" s="20">
        <f t="shared" si="74"/>
        <v>564</v>
      </c>
      <c r="AN397" s="20">
        <f t="shared" si="75"/>
        <v>2275147236</v>
      </c>
      <c r="AO397" s="20" t="s">
        <v>5022</v>
      </c>
    </row>
    <row r="398" spans="18:46" ht="21" customHeight="1">
      <c r="R398" s="97" t="s">
        <v>5113</v>
      </c>
      <c r="S398" s="93">
        <v>-618906</v>
      </c>
      <c r="U398" s="19" t="s">
        <v>5572</v>
      </c>
      <c r="V398" s="19">
        <v>18764</v>
      </c>
      <c r="W398" s="115">
        <v>2554.2639829999998</v>
      </c>
      <c r="X398" s="115">
        <f t="shared" si="76"/>
        <v>47928209.377011999</v>
      </c>
      <c r="Y398" s="252" t="s">
        <v>5060</v>
      </c>
      <c r="AI398" s="147">
        <v>100</v>
      </c>
      <c r="AJ398" s="147" t="s">
        <v>5026</v>
      </c>
      <c r="AK398" s="185">
        <v>11500000</v>
      </c>
      <c r="AL398" s="147">
        <v>2</v>
      </c>
      <c r="AM398" s="147">
        <f t="shared" si="74"/>
        <v>562</v>
      </c>
      <c r="AN398" s="147">
        <f t="shared" si="75"/>
        <v>6463000000</v>
      </c>
      <c r="AO398" s="147" t="s">
        <v>5028</v>
      </c>
    </row>
    <row r="399" spans="18:46">
      <c r="R399" s="97" t="s">
        <v>5155</v>
      </c>
      <c r="S399" s="93">
        <v>-54615</v>
      </c>
      <c r="U399" s="19" t="s">
        <v>5573</v>
      </c>
      <c r="V399" s="19">
        <v>930</v>
      </c>
      <c r="W399" s="115">
        <v>2453.3287089999999</v>
      </c>
      <c r="X399" s="115">
        <f t="shared" si="76"/>
        <v>2281595.69937</v>
      </c>
      <c r="Y399" s="252" t="s">
        <v>5060</v>
      </c>
      <c r="AB399" t="s">
        <v>25</v>
      </c>
      <c r="AI399" s="147">
        <v>101</v>
      </c>
      <c r="AJ399" s="147" t="s">
        <v>5030</v>
      </c>
      <c r="AK399" s="185">
        <v>250000</v>
      </c>
      <c r="AL399" s="147">
        <v>3</v>
      </c>
      <c r="AM399" s="147">
        <f t="shared" si="74"/>
        <v>560</v>
      </c>
      <c r="AN399" s="147">
        <f t="shared" si="75"/>
        <v>140000000</v>
      </c>
      <c r="AO399" s="147"/>
    </row>
    <row r="400" spans="18:46" ht="18" customHeight="1">
      <c r="R400" s="97" t="s">
        <v>5200</v>
      </c>
      <c r="S400" s="93">
        <v>18000000</v>
      </c>
      <c r="U400" s="19" t="s">
        <v>5574</v>
      </c>
      <c r="V400" s="19">
        <v>1167</v>
      </c>
      <c r="W400" s="115">
        <v>2540.6307069999998</v>
      </c>
      <c r="X400" s="115">
        <f t="shared" si="76"/>
        <v>2964916.035069</v>
      </c>
      <c r="Y400" s="252" t="s">
        <v>5060</v>
      </c>
      <c r="AI400" s="147">
        <v>102</v>
      </c>
      <c r="AJ400" s="147" t="s">
        <v>5055</v>
      </c>
      <c r="AK400" s="185">
        <v>6000000</v>
      </c>
      <c r="AL400" s="147">
        <v>1</v>
      </c>
      <c r="AM400" s="147">
        <f t="shared" si="74"/>
        <v>557</v>
      </c>
      <c r="AN400" s="147">
        <f t="shared" si="75"/>
        <v>3342000000</v>
      </c>
      <c r="AO400" s="147" t="s">
        <v>5028</v>
      </c>
    </row>
    <row r="401" spans="16:46" ht="21" customHeight="1">
      <c r="R401" s="97" t="s">
        <v>5207</v>
      </c>
      <c r="S401" s="93">
        <v>20000000</v>
      </c>
      <c r="U401" s="19" t="s">
        <v>5575</v>
      </c>
      <c r="V401" s="19">
        <v>2538</v>
      </c>
      <c r="W401" s="115">
        <v>2545.5277489999999</v>
      </c>
      <c r="X401" s="115">
        <f t="shared" si="76"/>
        <v>6460549.4269619994</v>
      </c>
      <c r="Y401" s="252" t="s">
        <v>5060</v>
      </c>
      <c r="AA401" t="s">
        <v>25</v>
      </c>
      <c r="AB401" t="s">
        <v>25</v>
      </c>
      <c r="AE401" t="s">
        <v>25</v>
      </c>
      <c r="AI401" s="147">
        <v>103</v>
      </c>
      <c r="AJ401" s="147" t="s">
        <v>5056</v>
      </c>
      <c r="AK401" s="185">
        <v>1500000</v>
      </c>
      <c r="AL401" s="147">
        <v>6</v>
      </c>
      <c r="AM401" s="147">
        <f t="shared" si="74"/>
        <v>556</v>
      </c>
      <c r="AN401" s="147">
        <f t="shared" si="75"/>
        <v>834000000</v>
      </c>
      <c r="AO401" s="147" t="s">
        <v>5028</v>
      </c>
    </row>
    <row r="402" spans="16:46">
      <c r="R402" s="97" t="s">
        <v>5281</v>
      </c>
      <c r="S402" s="93">
        <v>27694196</v>
      </c>
      <c r="U402" s="19" t="s">
        <v>5576</v>
      </c>
      <c r="V402" s="19">
        <v>2106</v>
      </c>
      <c r="W402" s="115">
        <v>2474.9857059999999</v>
      </c>
      <c r="X402" s="115">
        <f t="shared" si="76"/>
        <v>5212319.8968359996</v>
      </c>
      <c r="Y402" s="252" t="s">
        <v>5060</v>
      </c>
      <c r="AB402" t="s">
        <v>25</v>
      </c>
      <c r="AI402" s="20">
        <v>104</v>
      </c>
      <c r="AJ402" s="20" t="s">
        <v>939</v>
      </c>
      <c r="AK402" s="115">
        <v>-3960043</v>
      </c>
      <c r="AL402" s="20">
        <v>2</v>
      </c>
      <c r="AM402" s="20">
        <f t="shared" si="74"/>
        <v>550</v>
      </c>
      <c r="AN402" s="20">
        <f t="shared" si="75"/>
        <v>-2178023650</v>
      </c>
      <c r="AO402" s="20"/>
      <c r="AT402" t="s">
        <v>25</v>
      </c>
    </row>
    <row r="403" spans="16:46">
      <c r="R403" s="97" t="s">
        <v>5282</v>
      </c>
      <c r="S403" s="93">
        <v>7211722</v>
      </c>
      <c r="U403" s="19" t="s">
        <v>5578</v>
      </c>
      <c r="V403" s="19">
        <v>1801</v>
      </c>
      <c r="W403" s="115">
        <v>2512.2134809999998</v>
      </c>
      <c r="X403" s="115">
        <f t="shared" si="76"/>
        <v>4524496.4792809999</v>
      </c>
      <c r="Y403" s="252" t="s">
        <v>5060</v>
      </c>
      <c r="AI403" s="20">
        <v>105</v>
      </c>
      <c r="AJ403" s="20" t="s">
        <v>5074</v>
      </c>
      <c r="AK403" s="115">
        <v>230000</v>
      </c>
      <c r="AL403" s="20">
        <v>0</v>
      </c>
      <c r="AM403" s="20">
        <f t="shared" si="74"/>
        <v>548</v>
      </c>
      <c r="AN403" s="20">
        <f t="shared" si="75"/>
        <v>126040000</v>
      </c>
      <c r="AO403" s="20"/>
    </row>
    <row r="404" spans="16:46">
      <c r="P404" t="s">
        <v>25</v>
      </c>
      <c r="R404" s="97" t="s">
        <v>5286</v>
      </c>
      <c r="S404" s="93">
        <v>8481864</v>
      </c>
      <c r="U404" s="19" t="s">
        <v>5579</v>
      </c>
      <c r="V404" s="19">
        <v>9184</v>
      </c>
      <c r="W404" s="115">
        <v>2489.76919</v>
      </c>
      <c r="X404" s="115">
        <f t="shared" si="76"/>
        <v>22866040.240959998</v>
      </c>
      <c r="Y404" s="252" t="s">
        <v>5060</v>
      </c>
      <c r="AI404" s="147">
        <v>106</v>
      </c>
      <c r="AJ404" s="147" t="s">
        <v>5074</v>
      </c>
      <c r="AK404" s="185">
        <v>230000</v>
      </c>
      <c r="AL404" s="147">
        <v>1</v>
      </c>
      <c r="AM404" s="147">
        <f t="shared" si="74"/>
        <v>548</v>
      </c>
      <c r="AN404" s="147">
        <f t="shared" si="75"/>
        <v>126040000</v>
      </c>
      <c r="AO404" s="147"/>
    </row>
    <row r="405" spans="16:46">
      <c r="R405" s="97" t="s">
        <v>5290</v>
      </c>
      <c r="S405" s="93">
        <v>1558697</v>
      </c>
      <c r="U405" s="19" t="s">
        <v>5580</v>
      </c>
      <c r="V405" s="19">
        <v>6259</v>
      </c>
      <c r="W405" s="115">
        <v>2453.954988</v>
      </c>
      <c r="X405" s="115">
        <f t="shared" si="76"/>
        <v>15359304.269892</v>
      </c>
      <c r="Y405" s="252" t="s">
        <v>5060</v>
      </c>
      <c r="Z405" t="s">
        <v>25</v>
      </c>
      <c r="AI405" s="147">
        <v>107</v>
      </c>
      <c r="AJ405" s="147" t="s">
        <v>5075</v>
      </c>
      <c r="AK405" s="185">
        <v>500000</v>
      </c>
      <c r="AL405" s="147">
        <v>1</v>
      </c>
      <c r="AM405" s="147">
        <f t="shared" si="74"/>
        <v>547</v>
      </c>
      <c r="AN405" s="147">
        <f t="shared" si="75"/>
        <v>273500000</v>
      </c>
      <c r="AO405" s="147"/>
    </row>
    <row r="406" spans="16:46">
      <c r="R406" s="97" t="s">
        <v>5291</v>
      </c>
      <c r="S406" s="93">
        <v>9042009</v>
      </c>
      <c r="U406" s="19" t="s">
        <v>5582</v>
      </c>
      <c r="V406" s="19">
        <v>1223</v>
      </c>
      <c r="W406" s="115">
        <v>2345.4686710000001</v>
      </c>
      <c r="X406" s="115">
        <f t="shared" si="76"/>
        <v>2868508.1846330003</v>
      </c>
      <c r="Y406" s="252" t="s">
        <v>5060</v>
      </c>
      <c r="AI406" s="20">
        <v>108</v>
      </c>
      <c r="AJ406" s="20" t="s">
        <v>5078</v>
      </c>
      <c r="AK406" s="115">
        <v>-880000</v>
      </c>
      <c r="AL406" s="20">
        <v>4</v>
      </c>
      <c r="AM406" s="20">
        <f t="shared" si="74"/>
        <v>546</v>
      </c>
      <c r="AN406" s="20">
        <f t="shared" si="75"/>
        <v>-480480000</v>
      </c>
      <c r="AO406" s="20"/>
    </row>
    <row r="407" spans="16:46">
      <c r="R407" s="97" t="s">
        <v>5295</v>
      </c>
      <c r="S407" s="93">
        <v>94969</v>
      </c>
      <c r="U407" s="19" t="s">
        <v>5583</v>
      </c>
      <c r="V407" s="19">
        <v>7804</v>
      </c>
      <c r="W407" s="115">
        <v>2236.0831640000001</v>
      </c>
      <c r="X407" s="115">
        <f t="shared" si="76"/>
        <v>17450393.011856001</v>
      </c>
      <c r="Y407" s="252" t="s">
        <v>5060</v>
      </c>
      <c r="AI407" s="190">
        <v>109</v>
      </c>
      <c r="AJ407" s="190" t="s">
        <v>5082</v>
      </c>
      <c r="AK407" s="191">
        <v>873000</v>
      </c>
      <c r="AL407" s="190">
        <v>0</v>
      </c>
      <c r="AM407" s="190">
        <f t="shared" si="74"/>
        <v>542</v>
      </c>
      <c r="AN407" s="190">
        <f t="shared" si="75"/>
        <v>473166000</v>
      </c>
      <c r="AO407" s="190" t="s">
        <v>5028</v>
      </c>
    </row>
    <row r="408" spans="16:46">
      <c r="R408" s="97" t="s">
        <v>5295</v>
      </c>
      <c r="S408" s="93">
        <v>40000000</v>
      </c>
      <c r="U408" s="19" t="s">
        <v>5584</v>
      </c>
      <c r="V408" s="19">
        <v>14589</v>
      </c>
      <c r="W408" s="115">
        <v>2151.5486500000002</v>
      </c>
      <c r="X408" s="115">
        <f t="shared" si="76"/>
        <v>31388943.254850004</v>
      </c>
      <c r="Y408" s="252" t="s">
        <v>5060</v>
      </c>
      <c r="AI408" s="20">
        <v>110</v>
      </c>
      <c r="AJ408" s="20" t="s">
        <v>5082</v>
      </c>
      <c r="AK408" s="115">
        <v>127000</v>
      </c>
      <c r="AL408" s="20">
        <v>0</v>
      </c>
      <c r="AM408" s="20">
        <f t="shared" si="74"/>
        <v>542</v>
      </c>
      <c r="AN408" s="20">
        <f t="shared" si="75"/>
        <v>68834000</v>
      </c>
      <c r="AO408" s="20" t="s">
        <v>5028</v>
      </c>
    </row>
    <row r="409" spans="16:46">
      <c r="R409" s="97" t="s">
        <v>5296</v>
      </c>
      <c r="S409" s="93">
        <v>2806274</v>
      </c>
      <c r="U409" s="19" t="s">
        <v>5585</v>
      </c>
      <c r="V409" s="19">
        <v>14741</v>
      </c>
      <c r="W409" s="115">
        <v>2097.0148140000001</v>
      </c>
      <c r="X409" s="115">
        <f t="shared" si="76"/>
        <v>30912095.373174001</v>
      </c>
      <c r="Y409" s="252" t="s">
        <v>5060</v>
      </c>
      <c r="Z409" t="s">
        <v>25</v>
      </c>
      <c r="AI409" s="20">
        <v>111</v>
      </c>
      <c r="AJ409" s="20" t="s">
        <v>5082</v>
      </c>
      <c r="AK409" s="115">
        <v>73000</v>
      </c>
      <c r="AL409" s="20">
        <v>1</v>
      </c>
      <c r="AM409" s="20">
        <f t="shared" si="74"/>
        <v>542</v>
      </c>
      <c r="AN409" s="20">
        <f t="shared" si="75"/>
        <v>39566000</v>
      </c>
      <c r="AO409" s="20"/>
    </row>
    <row r="410" spans="16:46">
      <c r="R410" s="97" t="s">
        <v>5304</v>
      </c>
      <c r="S410" s="93">
        <v>1331702</v>
      </c>
      <c r="U410" s="19" t="s">
        <v>5587</v>
      </c>
      <c r="V410" s="19">
        <v>10237</v>
      </c>
      <c r="W410" s="115">
        <v>1914.9092619999999</v>
      </c>
      <c r="X410" s="115">
        <f t="shared" si="76"/>
        <v>19602926.115093999</v>
      </c>
      <c r="Y410" s="252" t="s">
        <v>5060</v>
      </c>
      <c r="AA410" t="s">
        <v>25</v>
      </c>
      <c r="AI410" s="20">
        <v>112</v>
      </c>
      <c r="AJ410" s="20" t="s">
        <v>956</v>
      </c>
      <c r="AK410" s="115">
        <v>4300000</v>
      </c>
      <c r="AL410" s="20">
        <v>1</v>
      </c>
      <c r="AM410" s="20">
        <f t="shared" si="74"/>
        <v>541</v>
      </c>
      <c r="AN410" s="20">
        <f t="shared" si="75"/>
        <v>2326300000</v>
      </c>
      <c r="AO410" s="20"/>
    </row>
    <row r="411" spans="16:46">
      <c r="R411" s="97" t="s">
        <v>5336</v>
      </c>
      <c r="S411" s="93">
        <v>851238</v>
      </c>
      <c r="U411" s="19" t="s">
        <v>5588</v>
      </c>
      <c r="V411" s="19">
        <v>19211</v>
      </c>
      <c r="W411" s="115">
        <v>1793.6906100000001</v>
      </c>
      <c r="X411" s="115">
        <f t="shared" si="76"/>
        <v>34458590.308710001</v>
      </c>
      <c r="Y411" s="252" t="s">
        <v>5060</v>
      </c>
      <c r="AA411" t="s">
        <v>25</v>
      </c>
      <c r="AI411" s="20">
        <v>113</v>
      </c>
      <c r="AJ411" s="20" t="s">
        <v>4958</v>
      </c>
      <c r="AK411" s="115">
        <v>1600000</v>
      </c>
      <c r="AL411" s="20">
        <v>0</v>
      </c>
      <c r="AM411" s="20">
        <f t="shared" si="74"/>
        <v>540</v>
      </c>
      <c r="AN411" s="20">
        <f t="shared" si="75"/>
        <v>864000000</v>
      </c>
      <c r="AO411" s="20"/>
    </row>
    <row r="412" spans="16:46">
      <c r="R412" s="97" t="s">
        <v>5377</v>
      </c>
      <c r="S412" s="93">
        <v>652592</v>
      </c>
      <c r="U412" s="19" t="s">
        <v>5589</v>
      </c>
      <c r="V412" s="19">
        <v>11599</v>
      </c>
      <c r="W412" s="115">
        <v>1870.667144</v>
      </c>
      <c r="X412" s="115">
        <f t="shared" si="76"/>
        <v>21697868.203256</v>
      </c>
      <c r="Y412" s="252" t="s">
        <v>5060</v>
      </c>
      <c r="Z412" t="s">
        <v>25</v>
      </c>
      <c r="AI412" s="20">
        <v>114</v>
      </c>
      <c r="AJ412" s="20" t="s">
        <v>4230</v>
      </c>
      <c r="AK412" s="115">
        <v>-10000000</v>
      </c>
      <c r="AL412" s="20">
        <v>1</v>
      </c>
      <c r="AM412" s="20">
        <f t="shared" si="74"/>
        <v>540</v>
      </c>
      <c r="AN412" s="20">
        <f t="shared" si="75"/>
        <v>-5400000000</v>
      </c>
      <c r="AO412" s="20" t="s">
        <v>5088</v>
      </c>
    </row>
    <row r="413" spans="16:46">
      <c r="R413" s="97" t="s">
        <v>5378</v>
      </c>
      <c r="S413" s="93">
        <v>554139</v>
      </c>
      <c r="U413" s="19" t="s">
        <v>5590</v>
      </c>
      <c r="V413" s="19">
        <v>14098</v>
      </c>
      <c r="W413" s="115">
        <v>1797.423695</v>
      </c>
      <c r="X413" s="115">
        <f t="shared" si="76"/>
        <v>25340079.252110001</v>
      </c>
      <c r="Y413" s="252" t="s">
        <v>5060</v>
      </c>
      <c r="AI413" s="20">
        <v>115</v>
      </c>
      <c r="AJ413" s="20" t="s">
        <v>5087</v>
      </c>
      <c r="AK413" s="115">
        <v>571000</v>
      </c>
      <c r="AL413" s="20">
        <v>4</v>
      </c>
      <c r="AM413" s="20">
        <f t="shared" si="74"/>
        <v>539</v>
      </c>
      <c r="AN413" s="20">
        <f t="shared" si="75"/>
        <v>307769000</v>
      </c>
      <c r="AO413" s="20"/>
      <c r="AS413" t="s">
        <v>25</v>
      </c>
    </row>
    <row r="414" spans="16:46">
      <c r="R414" s="97" t="s">
        <v>5379</v>
      </c>
      <c r="S414" s="93">
        <v>70373089</v>
      </c>
      <c r="U414" s="19" t="s">
        <v>5591</v>
      </c>
      <c r="V414" s="19">
        <v>8497</v>
      </c>
      <c r="W414" s="115">
        <v>1739.5531579999999</v>
      </c>
      <c r="X414" s="115">
        <f t="shared" si="76"/>
        <v>14780983.183526</v>
      </c>
      <c r="Y414" s="252" t="s">
        <v>5060</v>
      </c>
      <c r="AI414" s="20">
        <v>116</v>
      </c>
      <c r="AJ414" s="20" t="s">
        <v>5089</v>
      </c>
      <c r="AK414" s="115">
        <v>200000</v>
      </c>
      <c r="AL414" s="20">
        <v>3</v>
      </c>
      <c r="AM414" s="20">
        <f t="shared" ref="AM414:AM425" si="77">AL414+AM415</f>
        <v>535</v>
      </c>
      <c r="AN414" s="20">
        <f t="shared" ref="AN414:AN425" si="78">AK414*AM414</f>
        <v>107000000</v>
      </c>
      <c r="AO414" s="20"/>
    </row>
    <row r="415" spans="16:46" ht="30">
      <c r="R415" s="97" t="s">
        <v>5380</v>
      </c>
      <c r="S415" s="93">
        <v>1219655</v>
      </c>
      <c r="T415" t="s">
        <v>25</v>
      </c>
      <c r="U415" s="266" t="s">
        <v>5593</v>
      </c>
      <c r="V415" s="266">
        <v>163820</v>
      </c>
      <c r="W415" s="88">
        <v>1588.685326</v>
      </c>
      <c r="X415" s="88">
        <f t="shared" si="76"/>
        <v>260258430.10532001</v>
      </c>
      <c r="Y415" s="271" t="s">
        <v>5595</v>
      </c>
      <c r="AI415" s="147">
        <v>117</v>
      </c>
      <c r="AJ415" s="147" t="s">
        <v>5095</v>
      </c>
      <c r="AK415" s="185">
        <v>50000</v>
      </c>
      <c r="AL415" s="147">
        <v>7</v>
      </c>
      <c r="AM415" s="147">
        <f t="shared" si="77"/>
        <v>532</v>
      </c>
      <c r="AN415" s="147">
        <f t="shared" si="78"/>
        <v>26600000</v>
      </c>
      <c r="AO415" s="147"/>
      <c r="AT415" t="s">
        <v>25</v>
      </c>
    </row>
    <row r="416" spans="16:46">
      <c r="R416" s="97" t="s">
        <v>5381</v>
      </c>
      <c r="S416" s="93">
        <v>15350146</v>
      </c>
      <c r="U416" s="19" t="s">
        <v>5593</v>
      </c>
      <c r="V416" s="19">
        <v>11207</v>
      </c>
      <c r="W416" s="115">
        <v>1588.685326</v>
      </c>
      <c r="X416" s="115">
        <f t="shared" si="76"/>
        <v>17804396.448481999</v>
      </c>
      <c r="Y416" s="252" t="s">
        <v>5060</v>
      </c>
      <c r="Z416" t="s">
        <v>25</v>
      </c>
      <c r="AA416" t="s">
        <v>25</v>
      </c>
      <c r="AI416" s="20">
        <v>118</v>
      </c>
      <c r="AJ416" s="20" t="s">
        <v>5103</v>
      </c>
      <c r="AK416" s="115">
        <v>-500000</v>
      </c>
      <c r="AL416" s="20">
        <v>12</v>
      </c>
      <c r="AM416" s="20">
        <f t="shared" si="77"/>
        <v>525</v>
      </c>
      <c r="AN416" s="20">
        <f t="shared" si="78"/>
        <v>-262500000</v>
      </c>
      <c r="AO416" s="20"/>
    </row>
    <row r="417" spans="18:46">
      <c r="R417" s="97" t="s">
        <v>5385</v>
      </c>
      <c r="S417" s="93">
        <v>121018</v>
      </c>
      <c r="U417" s="19" t="s">
        <v>5596</v>
      </c>
      <c r="V417" s="19">
        <v>7198</v>
      </c>
      <c r="W417" s="115">
        <v>1602.9918909999999</v>
      </c>
      <c r="X417" s="115">
        <f t="shared" si="76"/>
        <v>11538335.631417999</v>
      </c>
      <c r="Y417" s="252" t="s">
        <v>5060</v>
      </c>
      <c r="Z417" t="s">
        <v>25</v>
      </c>
      <c r="AI417" s="147">
        <v>119</v>
      </c>
      <c r="AJ417" s="147" t="s">
        <v>955</v>
      </c>
      <c r="AK417" s="185">
        <v>-50000</v>
      </c>
      <c r="AL417" s="147">
        <v>0</v>
      </c>
      <c r="AM417" s="147">
        <f t="shared" si="77"/>
        <v>513</v>
      </c>
      <c r="AN417" s="147">
        <f t="shared" si="78"/>
        <v>-25650000</v>
      </c>
      <c r="AO417" s="147"/>
      <c r="AS417" t="s">
        <v>25</v>
      </c>
      <c r="AT417" t="s">
        <v>25</v>
      </c>
    </row>
    <row r="418" spans="18:46">
      <c r="R418" s="97" t="s">
        <v>5390</v>
      </c>
      <c r="S418" s="93">
        <v>1024993</v>
      </c>
      <c r="U418" s="19" t="s">
        <v>5597</v>
      </c>
      <c r="V418" s="19">
        <v>7804</v>
      </c>
      <c r="W418" s="115">
        <v>1592.7111440000001</v>
      </c>
      <c r="X418" s="115">
        <f t="shared" si="76"/>
        <v>12429517.767776001</v>
      </c>
      <c r="Y418" s="252" t="s">
        <v>5060</v>
      </c>
      <c r="AA418" t="s">
        <v>25</v>
      </c>
      <c r="AI418" s="20">
        <v>120</v>
      </c>
      <c r="AJ418" s="20" t="s">
        <v>955</v>
      </c>
      <c r="AK418" s="115">
        <v>-50000</v>
      </c>
      <c r="AL418" s="20">
        <v>28</v>
      </c>
      <c r="AM418" s="20">
        <f t="shared" si="77"/>
        <v>513</v>
      </c>
      <c r="AN418" s="20">
        <f t="shared" si="78"/>
        <v>-25650000</v>
      </c>
      <c r="AO418" s="20"/>
    </row>
    <row r="419" spans="18:46">
      <c r="R419" s="97" t="s">
        <v>5391</v>
      </c>
      <c r="S419" s="93">
        <v>1948077</v>
      </c>
      <c r="T419" t="s">
        <v>25</v>
      </c>
      <c r="U419" s="19" t="s">
        <v>5605</v>
      </c>
      <c r="V419" s="19">
        <v>2827</v>
      </c>
      <c r="W419" s="115">
        <v>1779.6874809999999</v>
      </c>
      <c r="X419" s="115">
        <f t="shared" si="76"/>
        <v>5031176.5087869996</v>
      </c>
      <c r="Y419" s="252" t="s">
        <v>5060</v>
      </c>
      <c r="Z419" t="s">
        <v>25</v>
      </c>
      <c r="AI419" s="20">
        <v>121</v>
      </c>
      <c r="AJ419" s="20" t="s">
        <v>5144</v>
      </c>
      <c r="AK419" s="115">
        <v>-3020625</v>
      </c>
      <c r="AL419" s="20">
        <v>18</v>
      </c>
      <c r="AM419" s="20">
        <f t="shared" si="77"/>
        <v>485</v>
      </c>
      <c r="AN419" s="20">
        <f t="shared" si="78"/>
        <v>-1465003125</v>
      </c>
      <c r="AO419" s="20"/>
    </row>
    <row r="420" spans="18:46">
      <c r="R420" s="97" t="s">
        <v>5392</v>
      </c>
      <c r="S420" s="93">
        <v>50000120</v>
      </c>
      <c r="U420" s="19" t="s">
        <v>5607</v>
      </c>
      <c r="V420" s="19">
        <v>3385</v>
      </c>
      <c r="W420" s="115">
        <v>2015.5993820000001</v>
      </c>
      <c r="X420" s="115">
        <f t="shared" si="76"/>
        <v>6822803.9080700008</v>
      </c>
      <c r="Y420" s="252" t="s">
        <v>5060</v>
      </c>
      <c r="Z420" t="s">
        <v>25</v>
      </c>
      <c r="AA420" t="s">
        <v>25</v>
      </c>
      <c r="AI420" s="20">
        <v>122</v>
      </c>
      <c r="AJ420" s="20" t="s">
        <v>5155</v>
      </c>
      <c r="AK420" s="115">
        <v>18000000</v>
      </c>
      <c r="AL420" s="20">
        <v>19</v>
      </c>
      <c r="AM420" s="20">
        <f t="shared" si="77"/>
        <v>467</v>
      </c>
      <c r="AN420" s="20">
        <f t="shared" si="78"/>
        <v>8406000000</v>
      </c>
      <c r="AO420" s="20"/>
      <c r="AS420" t="s">
        <v>25</v>
      </c>
    </row>
    <row r="421" spans="18:46">
      <c r="R421" s="97" t="s">
        <v>5413</v>
      </c>
      <c r="S421" s="93">
        <v>20000055</v>
      </c>
      <c r="U421" s="19" t="s">
        <v>5611</v>
      </c>
      <c r="V421" s="19">
        <v>158</v>
      </c>
      <c r="W421" s="115">
        <v>2094.2388179999998</v>
      </c>
      <c r="X421" s="115">
        <f t="shared" si="76"/>
        <v>330889.73324399994</v>
      </c>
      <c r="Y421" s="252" t="s">
        <v>5060</v>
      </c>
      <c r="Z421" t="s">
        <v>25</v>
      </c>
      <c r="AI421" s="20">
        <v>123</v>
      </c>
      <c r="AJ421" s="20" t="s">
        <v>5182</v>
      </c>
      <c r="AK421" s="115">
        <v>2000000</v>
      </c>
      <c r="AL421" s="20">
        <v>6</v>
      </c>
      <c r="AM421" s="20">
        <f t="shared" si="77"/>
        <v>448</v>
      </c>
      <c r="AN421" s="20">
        <f t="shared" si="78"/>
        <v>896000000</v>
      </c>
      <c r="AO421" s="20"/>
    </row>
    <row r="422" spans="18:46">
      <c r="R422" s="97" t="s">
        <v>5414</v>
      </c>
      <c r="S422" s="93">
        <v>5745697</v>
      </c>
      <c r="U422" s="19" t="s">
        <v>944</v>
      </c>
      <c r="V422" s="19">
        <v>5033</v>
      </c>
      <c r="W422" s="115">
        <v>2229.4976999999999</v>
      </c>
      <c r="X422" s="115">
        <f t="shared" si="76"/>
        <v>11221061.924099999</v>
      </c>
      <c r="Y422" s="252" t="s">
        <v>5615</v>
      </c>
      <c r="AA422" t="s">
        <v>25</v>
      </c>
      <c r="AI422" s="147">
        <v>124</v>
      </c>
      <c r="AJ422" s="147" t="s">
        <v>5191</v>
      </c>
      <c r="AK422" s="185">
        <v>40000000</v>
      </c>
      <c r="AL422" s="147">
        <v>6</v>
      </c>
      <c r="AM422" s="147">
        <f t="shared" si="77"/>
        <v>442</v>
      </c>
      <c r="AN422" s="147">
        <f t="shared" si="78"/>
        <v>17680000000</v>
      </c>
      <c r="AO422" s="147"/>
    </row>
    <row r="423" spans="18:46">
      <c r="R423" s="97" t="s">
        <v>5415</v>
      </c>
      <c r="S423" s="93">
        <v>908158</v>
      </c>
      <c r="U423" s="19" t="s">
        <v>5619</v>
      </c>
      <c r="V423" s="19">
        <v>2870</v>
      </c>
      <c r="W423" s="115">
        <v>2303.2467459999998</v>
      </c>
      <c r="X423" s="115">
        <f t="shared" si="76"/>
        <v>6610318.1610199995</v>
      </c>
      <c r="Y423" s="252" t="s">
        <v>5060</v>
      </c>
      <c r="AI423" s="20">
        <v>125</v>
      </c>
      <c r="AJ423" s="20" t="s">
        <v>5200</v>
      </c>
      <c r="AK423" s="115">
        <v>200000</v>
      </c>
      <c r="AL423" s="20">
        <v>0</v>
      </c>
      <c r="AM423" s="20">
        <f t="shared" si="77"/>
        <v>436</v>
      </c>
      <c r="AN423" s="20">
        <f t="shared" si="78"/>
        <v>87200000</v>
      </c>
      <c r="AO423" s="20"/>
    </row>
    <row r="424" spans="18:46">
      <c r="R424" s="97" t="s">
        <v>5416</v>
      </c>
      <c r="S424" s="93">
        <v>12642697</v>
      </c>
      <c r="U424" s="19" t="s">
        <v>5620</v>
      </c>
      <c r="V424" s="19">
        <v>307</v>
      </c>
      <c r="W424" s="115">
        <v>2315.0266360000001</v>
      </c>
      <c r="X424" s="115">
        <f t="shared" si="76"/>
        <v>710713.17725199996</v>
      </c>
      <c r="Y424" s="252" t="s">
        <v>5060</v>
      </c>
      <c r="AI424" s="147">
        <v>126</v>
      </c>
      <c r="AJ424" s="147" t="s">
        <v>5200</v>
      </c>
      <c r="AK424" s="185">
        <v>200000</v>
      </c>
      <c r="AL424" s="147">
        <v>1</v>
      </c>
      <c r="AM424" s="147">
        <f t="shared" si="77"/>
        <v>436</v>
      </c>
      <c r="AN424" s="147">
        <f t="shared" si="78"/>
        <v>87200000</v>
      </c>
      <c r="AO424" s="147"/>
    </row>
    <row r="425" spans="18:46">
      <c r="R425" s="97" t="s">
        <v>5417</v>
      </c>
      <c r="S425" s="93">
        <v>12297317.81435</v>
      </c>
      <c r="U425" s="19" t="s">
        <v>5621</v>
      </c>
      <c r="V425" s="19">
        <v>35</v>
      </c>
      <c r="W425" s="115">
        <v>2315</v>
      </c>
      <c r="X425" s="115">
        <f t="shared" si="76"/>
        <v>81025</v>
      </c>
      <c r="Y425" s="252" t="s">
        <v>5623</v>
      </c>
      <c r="Z425" s="112"/>
      <c r="AI425" s="20">
        <v>127</v>
      </c>
      <c r="AJ425" s="20" t="s">
        <v>5203</v>
      </c>
      <c r="AK425" s="115">
        <v>50000</v>
      </c>
      <c r="AL425" s="20">
        <v>4</v>
      </c>
      <c r="AM425" s="20">
        <f t="shared" si="77"/>
        <v>435</v>
      </c>
      <c r="AN425" s="20">
        <f t="shared" si="78"/>
        <v>21750000</v>
      </c>
      <c r="AO425" s="20"/>
    </row>
    <row r="426" spans="18:46">
      <c r="R426" s="97" t="s">
        <v>5418</v>
      </c>
      <c r="S426" s="93">
        <v>8959643.8508579992</v>
      </c>
      <c r="U426" s="19" t="s">
        <v>5624</v>
      </c>
      <c r="V426" s="19">
        <v>94</v>
      </c>
      <c r="W426" s="115">
        <v>2337.1980119999998</v>
      </c>
      <c r="X426" s="115">
        <f t="shared" si="76"/>
        <v>219696.613128</v>
      </c>
      <c r="Y426" s="252" t="s">
        <v>5060</v>
      </c>
      <c r="Z426" t="s">
        <v>25</v>
      </c>
      <c r="AA426" t="s">
        <v>25</v>
      </c>
      <c r="AI426" s="20">
        <v>128</v>
      </c>
      <c r="AJ426" s="20" t="s">
        <v>5205</v>
      </c>
      <c r="AK426" s="115">
        <v>100000</v>
      </c>
      <c r="AL426" s="20">
        <v>9</v>
      </c>
      <c r="AM426" s="20">
        <f t="shared" ref="AM426:AM436" si="79">AL426+AM427</f>
        <v>431</v>
      </c>
      <c r="AN426" s="20">
        <f t="shared" ref="AN426:AN436" si="80">AK426*AM426</f>
        <v>43100000</v>
      </c>
      <c r="AO426" s="20"/>
    </row>
    <row r="427" spans="18:46">
      <c r="R427" s="97" t="s">
        <v>5433</v>
      </c>
      <c r="S427" s="93">
        <v>15154095.839328</v>
      </c>
      <c r="U427" s="19" t="s">
        <v>5625</v>
      </c>
      <c r="V427" s="19">
        <v>2534</v>
      </c>
      <c r="W427" s="115">
        <v>2381.7965300000001</v>
      </c>
      <c r="X427" s="115">
        <f t="shared" si="76"/>
        <v>6035472.4070199998</v>
      </c>
      <c r="Y427" s="252" t="s">
        <v>5060</v>
      </c>
      <c r="AI427" s="20">
        <v>129</v>
      </c>
      <c r="AJ427" s="20" t="s">
        <v>5221</v>
      </c>
      <c r="AK427" s="115">
        <v>-550000</v>
      </c>
      <c r="AL427" s="20">
        <v>5</v>
      </c>
      <c r="AM427" s="20">
        <f t="shared" si="79"/>
        <v>422</v>
      </c>
      <c r="AN427" s="20">
        <f t="shared" si="80"/>
        <v>-232100000</v>
      </c>
      <c r="AO427" s="20"/>
    </row>
    <row r="428" spans="18:46">
      <c r="R428" s="97" t="s">
        <v>5434</v>
      </c>
      <c r="S428" s="93">
        <v>50725508.571864001</v>
      </c>
      <c r="T428" t="s">
        <v>25</v>
      </c>
      <c r="U428" s="19" t="s">
        <v>5626</v>
      </c>
      <c r="V428" s="19">
        <v>424</v>
      </c>
      <c r="W428" s="115">
        <v>2321.9017680000002</v>
      </c>
      <c r="X428" s="115">
        <f t="shared" si="76"/>
        <v>984486.34963200008</v>
      </c>
      <c r="Y428" s="252" t="s">
        <v>5060</v>
      </c>
      <c r="AA428" t="s">
        <v>25</v>
      </c>
      <c r="AI428" s="20">
        <v>130</v>
      </c>
      <c r="AJ428" s="20" t="s">
        <v>5226</v>
      </c>
      <c r="AK428" s="115">
        <v>-29686490</v>
      </c>
      <c r="AL428" s="20">
        <v>1</v>
      </c>
      <c r="AM428" s="20">
        <f t="shared" si="79"/>
        <v>417</v>
      </c>
      <c r="AN428" s="20">
        <f t="shared" si="80"/>
        <v>-12379266330</v>
      </c>
      <c r="AO428" s="20"/>
    </row>
    <row r="429" spans="18:46">
      <c r="R429" s="97" t="s">
        <v>5441</v>
      </c>
      <c r="S429" s="93">
        <v>2281961.458596</v>
      </c>
      <c r="U429" s="186" t="s">
        <v>5627</v>
      </c>
      <c r="V429" s="186">
        <v>-32</v>
      </c>
      <c r="W429" s="185">
        <v>2221.2123710000001</v>
      </c>
      <c r="X429" s="185">
        <f t="shared" si="76"/>
        <v>-71078.795872000002</v>
      </c>
      <c r="Y429" s="251" t="s">
        <v>5630</v>
      </c>
      <c r="AI429" s="20">
        <v>131</v>
      </c>
      <c r="AJ429" s="20" t="s">
        <v>5234</v>
      </c>
      <c r="AK429" s="115">
        <v>-9000000</v>
      </c>
      <c r="AL429" s="20">
        <v>8</v>
      </c>
      <c r="AM429" s="20">
        <f t="shared" si="79"/>
        <v>416</v>
      </c>
      <c r="AN429" s="20">
        <f t="shared" si="80"/>
        <v>-3744000000</v>
      </c>
      <c r="AO429" s="20"/>
    </row>
    <row r="430" spans="18:46">
      <c r="R430" s="97" t="s">
        <v>5442</v>
      </c>
      <c r="S430" s="93">
        <v>10998285</v>
      </c>
      <c r="U430" s="19" t="s">
        <v>5627</v>
      </c>
      <c r="V430" s="19">
        <v>157</v>
      </c>
      <c r="W430" s="115">
        <v>2221.2123710000001</v>
      </c>
      <c r="X430" s="115">
        <f t="shared" si="76"/>
        <v>348730.34224700002</v>
      </c>
      <c r="Y430" s="252" t="s">
        <v>5631</v>
      </c>
      <c r="AI430" s="20">
        <v>132</v>
      </c>
      <c r="AJ430" s="20" t="s">
        <v>5277</v>
      </c>
      <c r="AK430" s="115">
        <v>810000</v>
      </c>
      <c r="AL430" s="20">
        <v>2</v>
      </c>
      <c r="AM430" s="20">
        <f t="shared" si="79"/>
        <v>408</v>
      </c>
      <c r="AN430" s="20">
        <f t="shared" si="80"/>
        <v>330480000</v>
      </c>
      <c r="AO430" s="20"/>
    </row>
    <row r="431" spans="18:46">
      <c r="R431" s="97" t="s">
        <v>5444</v>
      </c>
      <c r="S431" s="93">
        <v>983018.96187300002</v>
      </c>
      <c r="U431" s="19" t="s">
        <v>5627</v>
      </c>
      <c r="V431" s="19">
        <v>965</v>
      </c>
      <c r="W431" s="115">
        <v>2221.2123710000001</v>
      </c>
      <c r="X431" s="115">
        <f t="shared" si="76"/>
        <v>2143469.938015</v>
      </c>
      <c r="Y431" s="252" t="s">
        <v>5060</v>
      </c>
      <c r="AI431" s="20">
        <v>133</v>
      </c>
      <c r="AJ431" s="20" t="s">
        <v>5282</v>
      </c>
      <c r="AK431" s="115">
        <v>-5000000</v>
      </c>
      <c r="AL431" s="20">
        <v>3</v>
      </c>
      <c r="AM431" s="20">
        <f t="shared" si="79"/>
        <v>406</v>
      </c>
      <c r="AN431" s="20">
        <f t="shared" si="80"/>
        <v>-2030000000</v>
      </c>
      <c r="AO431" s="20"/>
    </row>
    <row r="432" spans="18:46">
      <c r="R432" s="97" t="s">
        <v>5447</v>
      </c>
      <c r="S432" s="93">
        <v>17049271.032000002</v>
      </c>
      <c r="U432" s="186" t="s">
        <v>5633</v>
      </c>
      <c r="V432" s="186">
        <v>596</v>
      </c>
      <c r="W432" s="185">
        <v>2180.6765719999999</v>
      </c>
      <c r="X432" s="185">
        <f t="shared" si="76"/>
        <v>1299683.236912</v>
      </c>
      <c r="Y432" s="251" t="s">
        <v>1050</v>
      </c>
      <c r="Z432" t="s">
        <v>25</v>
      </c>
      <c r="AI432" s="20">
        <v>134</v>
      </c>
      <c r="AJ432" s="20" t="s">
        <v>5286</v>
      </c>
      <c r="AK432" s="115">
        <v>-26000000</v>
      </c>
      <c r="AL432" s="20">
        <v>0</v>
      </c>
      <c r="AM432" s="20">
        <f t="shared" si="79"/>
        <v>403</v>
      </c>
      <c r="AN432" s="20">
        <f t="shared" si="80"/>
        <v>-10478000000</v>
      </c>
      <c r="AO432" s="20"/>
    </row>
    <row r="433" spans="18:46">
      <c r="R433" s="97" t="s">
        <v>4186</v>
      </c>
      <c r="S433" s="93">
        <v>6829998</v>
      </c>
      <c r="T433" t="s">
        <v>25</v>
      </c>
      <c r="U433" s="19" t="s">
        <v>5637</v>
      </c>
      <c r="V433" s="19">
        <v>1355</v>
      </c>
      <c r="W433" s="115">
        <v>2277.0926330000002</v>
      </c>
      <c r="X433" s="115">
        <f t="shared" si="76"/>
        <v>3085460.5177150001</v>
      </c>
      <c r="Y433" s="252" t="s">
        <v>5060</v>
      </c>
      <c r="AI433" s="233">
        <v>135</v>
      </c>
      <c r="AJ433" s="233" t="s">
        <v>5286</v>
      </c>
      <c r="AK433" s="226">
        <v>-26000000</v>
      </c>
      <c r="AL433" s="233">
        <v>1</v>
      </c>
      <c r="AM433" s="233">
        <f t="shared" si="79"/>
        <v>403</v>
      </c>
      <c r="AN433" s="233">
        <f t="shared" si="80"/>
        <v>-10478000000</v>
      </c>
      <c r="AO433" s="233"/>
    </row>
    <row r="434" spans="18:46">
      <c r="R434" s="97" t="s">
        <v>5464</v>
      </c>
      <c r="S434" s="93">
        <v>6982608.8207999999</v>
      </c>
      <c r="U434" s="19" t="s">
        <v>5638</v>
      </c>
      <c r="V434" s="19">
        <v>3742</v>
      </c>
      <c r="W434" s="115">
        <v>2207.7650429999999</v>
      </c>
      <c r="X434" s="115">
        <f t="shared" si="76"/>
        <v>8261456.790906</v>
      </c>
      <c r="Y434" s="252" t="s">
        <v>5060</v>
      </c>
      <c r="Z434" t="s">
        <v>25</v>
      </c>
      <c r="AI434" s="20">
        <v>136</v>
      </c>
      <c r="AJ434" s="20" t="s">
        <v>5290</v>
      </c>
      <c r="AK434" s="115">
        <v>-81800000</v>
      </c>
      <c r="AL434" s="20">
        <v>0</v>
      </c>
      <c r="AM434" s="20">
        <f t="shared" si="79"/>
        <v>402</v>
      </c>
      <c r="AN434" s="20">
        <f t="shared" si="80"/>
        <v>-32883600000</v>
      </c>
      <c r="AO434" s="20"/>
    </row>
    <row r="435" spans="18:46">
      <c r="R435" s="97" t="s">
        <v>5470</v>
      </c>
      <c r="S435" s="93">
        <v>7510131.0216000006</v>
      </c>
      <c r="U435" s="19" t="s">
        <v>5639</v>
      </c>
      <c r="V435" s="19">
        <v>3216</v>
      </c>
      <c r="W435" s="115">
        <v>2043.648557</v>
      </c>
      <c r="X435" s="115">
        <f t="shared" si="76"/>
        <v>6572373.7593120001</v>
      </c>
      <c r="Y435" s="252" t="s">
        <v>5060</v>
      </c>
      <c r="AI435" s="233">
        <v>137</v>
      </c>
      <c r="AJ435" s="233" t="s">
        <v>5290</v>
      </c>
      <c r="AK435" s="226">
        <v>-110000000</v>
      </c>
      <c r="AL435" s="233">
        <v>1</v>
      </c>
      <c r="AM435" s="233">
        <f t="shared" si="79"/>
        <v>402</v>
      </c>
      <c r="AN435" s="233">
        <f t="shared" si="80"/>
        <v>-44220000000</v>
      </c>
      <c r="AO435" s="233"/>
      <c r="AR435" t="s">
        <v>25</v>
      </c>
    </row>
    <row r="436" spans="18:46">
      <c r="R436" s="97" t="s">
        <v>5478</v>
      </c>
      <c r="S436" s="93">
        <v>7278025.5327000003</v>
      </c>
      <c r="U436" s="186" t="s">
        <v>5641</v>
      </c>
      <c r="V436" s="186">
        <v>42393</v>
      </c>
      <c r="W436" s="185">
        <v>2124.4852740000001</v>
      </c>
      <c r="X436" s="185">
        <f t="shared" si="76"/>
        <v>90063304.22068201</v>
      </c>
      <c r="Y436" s="251" t="s">
        <v>5642</v>
      </c>
      <c r="Z436" t="s">
        <v>25</v>
      </c>
      <c r="AI436" s="20">
        <v>138</v>
      </c>
      <c r="AJ436" s="20" t="s">
        <v>5291</v>
      </c>
      <c r="AK436" s="115">
        <v>-34000000</v>
      </c>
      <c r="AL436" s="20">
        <v>0</v>
      </c>
      <c r="AM436" s="20">
        <f t="shared" si="79"/>
        <v>401</v>
      </c>
      <c r="AN436" s="20">
        <f t="shared" si="80"/>
        <v>-13634000000</v>
      </c>
      <c r="AO436" s="20"/>
    </row>
    <row r="437" spans="18:46">
      <c r="R437" s="97" t="s">
        <v>5482</v>
      </c>
      <c r="S437" s="93">
        <v>195059.35799999998</v>
      </c>
      <c r="U437" s="19" t="s">
        <v>5643</v>
      </c>
      <c r="V437" s="19">
        <v>1307</v>
      </c>
      <c r="W437" s="115">
        <v>2213.652313</v>
      </c>
      <c r="X437" s="115">
        <f t="shared" si="76"/>
        <v>2893243.5730909999</v>
      </c>
      <c r="Y437" s="252" t="s">
        <v>5060</v>
      </c>
      <c r="AI437" s="147">
        <v>139</v>
      </c>
      <c r="AJ437" s="147" t="s">
        <v>5291</v>
      </c>
      <c r="AK437" s="185">
        <v>-23900000</v>
      </c>
      <c r="AL437" s="147">
        <v>5</v>
      </c>
      <c r="AM437" s="147">
        <f t="shared" ref="AM437:AM442" si="81">AL437+AM438</f>
        <v>401</v>
      </c>
      <c r="AN437" s="147">
        <f t="shared" ref="AN437:AN442" si="82">AK437*AM437</f>
        <v>-9583900000</v>
      </c>
      <c r="AO437" s="147"/>
    </row>
    <row r="438" spans="18:46">
      <c r="R438" s="97" t="s">
        <v>5484</v>
      </c>
      <c r="S438" s="93">
        <v>862577.83200000005</v>
      </c>
      <c r="U438" s="19" t="s">
        <v>5644</v>
      </c>
      <c r="V438" s="19">
        <v>44079</v>
      </c>
      <c r="W438" s="115">
        <v>2155.0411519999998</v>
      </c>
      <c r="X438" s="115">
        <f t="shared" si="76"/>
        <v>94992058.939007998</v>
      </c>
      <c r="Y438" s="252" t="s">
        <v>5060</v>
      </c>
      <c r="Z438" t="s">
        <v>25</v>
      </c>
      <c r="AA438" t="s">
        <v>25</v>
      </c>
      <c r="AI438" s="20">
        <v>140</v>
      </c>
      <c r="AJ438" s="20" t="s">
        <v>5304</v>
      </c>
      <c r="AK438" s="115">
        <v>1000000</v>
      </c>
      <c r="AL438" s="20">
        <v>0</v>
      </c>
      <c r="AM438" s="20">
        <f t="shared" si="81"/>
        <v>396</v>
      </c>
      <c r="AN438" s="20">
        <f t="shared" si="82"/>
        <v>396000000</v>
      </c>
      <c r="AO438" s="20"/>
    </row>
    <row r="439" spans="18:46">
      <c r="R439" s="97" t="s">
        <v>5485</v>
      </c>
      <c r="S439" s="93">
        <v>920308.446</v>
      </c>
      <c r="U439" s="19" t="s">
        <v>5647</v>
      </c>
      <c r="V439" s="19">
        <v>131</v>
      </c>
      <c r="W439" s="115">
        <v>2099.4040150000001</v>
      </c>
      <c r="X439" s="115">
        <f t="shared" si="76"/>
        <v>275021.925965</v>
      </c>
      <c r="Y439" s="252" t="s">
        <v>5060</v>
      </c>
      <c r="Z439" t="s">
        <v>25</v>
      </c>
      <c r="AI439" s="147">
        <v>141</v>
      </c>
      <c r="AJ439" s="147" t="s">
        <v>5304</v>
      </c>
      <c r="AK439" s="185">
        <v>1000000</v>
      </c>
      <c r="AL439" s="147">
        <v>4</v>
      </c>
      <c r="AM439" s="147">
        <f t="shared" si="81"/>
        <v>396</v>
      </c>
      <c r="AN439" s="147">
        <f t="shared" si="82"/>
        <v>396000000</v>
      </c>
      <c r="AO439" s="147"/>
      <c r="AT439" t="s">
        <v>25</v>
      </c>
    </row>
    <row r="440" spans="18:46">
      <c r="R440" s="97" t="s">
        <v>5487</v>
      </c>
      <c r="S440" s="93">
        <v>4635809.8416840006</v>
      </c>
      <c r="U440" s="19" t="s">
        <v>5652</v>
      </c>
      <c r="V440" s="19">
        <v>162</v>
      </c>
      <c r="W440" s="115">
        <v>2021.3081500000001</v>
      </c>
      <c r="X440" s="115">
        <f t="shared" si="76"/>
        <v>327451.9203</v>
      </c>
      <c r="Y440" s="252" t="s">
        <v>5060</v>
      </c>
      <c r="AA440" t="s">
        <v>25</v>
      </c>
      <c r="AI440" s="20">
        <v>142</v>
      </c>
      <c r="AJ440" s="20" t="s">
        <v>5308</v>
      </c>
      <c r="AK440" s="115">
        <v>400000</v>
      </c>
      <c r="AL440" s="20">
        <v>0</v>
      </c>
      <c r="AM440" s="20">
        <f t="shared" si="81"/>
        <v>392</v>
      </c>
      <c r="AN440" s="20">
        <f t="shared" si="82"/>
        <v>156800000</v>
      </c>
      <c r="AO440" s="20"/>
    </row>
    <row r="441" spans="18:46">
      <c r="R441" s="97" t="s">
        <v>5515</v>
      </c>
      <c r="S441" s="93">
        <v>288892.40000000002</v>
      </c>
      <c r="U441" s="19" t="s">
        <v>5662</v>
      </c>
      <c r="V441" s="19">
        <v>131</v>
      </c>
      <c r="W441" s="115">
        <v>1985.358328</v>
      </c>
      <c r="X441" s="115">
        <f t="shared" si="76"/>
        <v>260081.94096800001</v>
      </c>
      <c r="Y441" s="252" t="s">
        <v>5060</v>
      </c>
      <c r="AA441" t="s">
        <v>25</v>
      </c>
      <c r="AI441" s="147">
        <v>143</v>
      </c>
      <c r="AJ441" s="147" t="s">
        <v>5308</v>
      </c>
      <c r="AK441" s="185">
        <v>400000</v>
      </c>
      <c r="AL441" s="147">
        <v>35</v>
      </c>
      <c r="AM441" s="147">
        <f t="shared" si="81"/>
        <v>392</v>
      </c>
      <c r="AN441" s="147">
        <f t="shared" si="82"/>
        <v>156800000</v>
      </c>
      <c r="AO441" s="147"/>
    </row>
    <row r="442" spans="18:46">
      <c r="R442" s="97" t="s">
        <v>5516</v>
      </c>
      <c r="S442" s="93">
        <v>58508002.009000003</v>
      </c>
      <c r="U442" s="19" t="s">
        <v>5670</v>
      </c>
      <c r="V442" s="19">
        <v>1449</v>
      </c>
      <c r="W442" s="115">
        <v>2007.787806</v>
      </c>
      <c r="X442" s="115">
        <f t="shared" si="76"/>
        <v>2909284.5308940001</v>
      </c>
      <c r="Y442" s="252" t="s">
        <v>5060</v>
      </c>
      <c r="AA442" t="s">
        <v>25</v>
      </c>
      <c r="AI442" s="20">
        <v>144</v>
      </c>
      <c r="AJ442" s="20" t="s">
        <v>5342</v>
      </c>
      <c r="AK442" s="115">
        <v>3000000</v>
      </c>
      <c r="AL442" s="20">
        <v>0</v>
      </c>
      <c r="AM442" s="20">
        <f t="shared" si="81"/>
        <v>357</v>
      </c>
      <c r="AN442" s="20">
        <f t="shared" si="82"/>
        <v>1071000000</v>
      </c>
      <c r="AO442" s="20"/>
    </row>
    <row r="443" spans="18:46">
      <c r="R443" s="97" t="s">
        <v>5518</v>
      </c>
      <c r="S443" s="93">
        <v>2245515.5410799999</v>
      </c>
      <c r="U443" s="19" t="s">
        <v>5671</v>
      </c>
      <c r="V443" s="19">
        <v>19028</v>
      </c>
      <c r="W443" s="115">
        <v>1982.5102529999999</v>
      </c>
      <c r="X443" s="115">
        <f t="shared" si="76"/>
        <v>37723205.094084002</v>
      </c>
      <c r="Y443" s="252" t="s">
        <v>5060</v>
      </c>
      <c r="Z443" t="s">
        <v>25</v>
      </c>
      <c r="AA443" t="s">
        <v>25</v>
      </c>
      <c r="AI443" s="147">
        <v>145</v>
      </c>
      <c r="AJ443" s="147" t="s">
        <v>5342</v>
      </c>
      <c r="AK443" s="185">
        <v>2725000</v>
      </c>
      <c r="AL443" s="147">
        <v>19</v>
      </c>
      <c r="AM443" s="147">
        <f t="shared" ref="AM443:AM453" si="83">AL443+AM444</f>
        <v>357</v>
      </c>
      <c r="AN443" s="147">
        <f t="shared" ref="AN443:AN453" si="84">AK443*AM443</f>
        <v>972825000</v>
      </c>
      <c r="AO443" s="147"/>
    </row>
    <row r="444" spans="18:46">
      <c r="R444" s="97" t="s">
        <v>5518</v>
      </c>
      <c r="S444" s="93">
        <v>18404699.3442</v>
      </c>
      <c r="U444" s="19" t="s">
        <v>5672</v>
      </c>
      <c r="V444" s="19">
        <v>848</v>
      </c>
      <c r="W444" s="115">
        <v>1768.97966</v>
      </c>
      <c r="X444" s="115">
        <f t="shared" si="76"/>
        <v>1500094.75168</v>
      </c>
      <c r="Y444" s="252" t="s">
        <v>5060</v>
      </c>
      <c r="AI444" s="147">
        <v>146</v>
      </c>
      <c r="AJ444" s="147" t="s">
        <v>5243</v>
      </c>
      <c r="AK444" s="185">
        <v>-8644090</v>
      </c>
      <c r="AL444" s="147">
        <v>0</v>
      </c>
      <c r="AM444" s="147">
        <f t="shared" si="83"/>
        <v>338</v>
      </c>
      <c r="AN444" s="147">
        <f t="shared" si="84"/>
        <v>-2921702420</v>
      </c>
      <c r="AO444" s="147" t="s">
        <v>4691</v>
      </c>
      <c r="AS444" t="s">
        <v>25</v>
      </c>
    </row>
    <row r="445" spans="18:46">
      <c r="R445" s="97" t="s">
        <v>5521</v>
      </c>
      <c r="S445" s="93">
        <v>48684800</v>
      </c>
      <c r="U445" s="19" t="s">
        <v>5673</v>
      </c>
      <c r="V445" s="19">
        <v>3824</v>
      </c>
      <c r="W445" s="115">
        <v>1890.8547169999999</v>
      </c>
      <c r="X445" s="115">
        <f t="shared" si="76"/>
        <v>7230628.4378079996</v>
      </c>
      <c r="Y445" s="252" t="s">
        <v>5060</v>
      </c>
      <c r="AI445" s="20">
        <v>147</v>
      </c>
      <c r="AJ445" s="20" t="s">
        <v>5243</v>
      </c>
      <c r="AK445" s="115">
        <v>-65461942</v>
      </c>
      <c r="AL445" s="20">
        <v>1</v>
      </c>
      <c r="AM445" s="20">
        <f t="shared" si="83"/>
        <v>338</v>
      </c>
      <c r="AN445" s="20">
        <f t="shared" si="84"/>
        <v>-22126136396</v>
      </c>
      <c r="AO445" s="20" t="s">
        <v>4691</v>
      </c>
    </row>
    <row r="446" spans="18:46">
      <c r="R446" s="97" t="s">
        <v>5523</v>
      </c>
      <c r="S446" s="93">
        <v>2264658.5922190002</v>
      </c>
      <c r="U446" s="19" t="s">
        <v>5675</v>
      </c>
      <c r="V446" s="19">
        <v>14010</v>
      </c>
      <c r="W446" s="115">
        <v>2124.7244390000001</v>
      </c>
      <c r="X446" s="115">
        <f t="shared" si="76"/>
        <v>29767389.390390001</v>
      </c>
      <c r="Y446" s="252" t="s">
        <v>5060</v>
      </c>
      <c r="AI446" s="20">
        <v>148</v>
      </c>
      <c r="AJ446" s="20" t="s">
        <v>5364</v>
      </c>
      <c r="AK446" s="115">
        <v>35000000</v>
      </c>
      <c r="AL446" s="20">
        <v>15</v>
      </c>
      <c r="AM446" s="20">
        <f t="shared" si="83"/>
        <v>337</v>
      </c>
      <c r="AN446" s="20">
        <f t="shared" si="84"/>
        <v>11795000000</v>
      </c>
      <c r="AO446" s="20"/>
      <c r="AR446" t="s">
        <v>25</v>
      </c>
    </row>
    <row r="447" spans="18:46">
      <c r="R447" s="97" t="s">
        <v>5526</v>
      </c>
      <c r="S447" s="93">
        <v>22877413.789960001</v>
      </c>
      <c r="U447" s="19" t="s">
        <v>5676</v>
      </c>
      <c r="V447" s="19">
        <v>73</v>
      </c>
      <c r="W447" s="115">
        <v>2076.1678900000002</v>
      </c>
      <c r="X447" s="115">
        <f t="shared" si="76"/>
        <v>151560.25597</v>
      </c>
      <c r="Y447" s="252" t="s">
        <v>5060</v>
      </c>
      <c r="AB447" t="s">
        <v>25</v>
      </c>
      <c r="AI447" s="147">
        <v>149</v>
      </c>
      <c r="AJ447" s="147" t="s">
        <v>5381</v>
      </c>
      <c r="AK447" s="185">
        <v>1400000</v>
      </c>
      <c r="AL447" s="147">
        <v>0</v>
      </c>
      <c r="AM447" s="147">
        <f t="shared" si="83"/>
        <v>322</v>
      </c>
      <c r="AN447" s="147">
        <f t="shared" si="84"/>
        <v>450800000</v>
      </c>
      <c r="AO447" s="147"/>
    </row>
    <row r="448" spans="18:46">
      <c r="R448" s="97" t="s">
        <v>5527</v>
      </c>
      <c r="S448" s="93">
        <v>2362539.4373280001</v>
      </c>
      <c r="U448" s="19" t="s">
        <v>5678</v>
      </c>
      <c r="V448" s="19">
        <v>236</v>
      </c>
      <c r="W448" s="115">
        <v>2039.4867830000001</v>
      </c>
      <c r="X448" s="115">
        <f t="shared" si="76"/>
        <v>481318.88078800001</v>
      </c>
      <c r="Y448" s="252" t="s">
        <v>5060</v>
      </c>
      <c r="AI448" s="20">
        <v>150</v>
      </c>
      <c r="AJ448" s="20" t="s">
        <v>5381</v>
      </c>
      <c r="AK448" s="115">
        <v>1600000</v>
      </c>
      <c r="AL448" s="20">
        <v>1</v>
      </c>
      <c r="AM448" s="20">
        <f t="shared" si="83"/>
        <v>322</v>
      </c>
      <c r="AN448" s="20">
        <f t="shared" si="84"/>
        <v>515200000</v>
      </c>
      <c r="AO448" s="20"/>
    </row>
    <row r="449" spans="18:45">
      <c r="R449" s="97" t="s">
        <v>5528</v>
      </c>
      <c r="S449" s="93">
        <v>16042676.656608</v>
      </c>
      <c r="U449" s="19" t="s">
        <v>5680</v>
      </c>
      <c r="V449" s="19">
        <v>75</v>
      </c>
      <c r="W449" s="115">
        <v>1950.3675760000001</v>
      </c>
      <c r="X449" s="115">
        <f t="shared" si="76"/>
        <v>146277.56820000001</v>
      </c>
      <c r="Y449" s="252" t="s">
        <v>5060</v>
      </c>
      <c r="AI449" s="147">
        <v>151</v>
      </c>
      <c r="AJ449" s="147" t="s">
        <v>5384</v>
      </c>
      <c r="AK449" s="185">
        <v>600000</v>
      </c>
      <c r="AL449" s="147">
        <v>0</v>
      </c>
      <c r="AM449" s="147">
        <f t="shared" si="83"/>
        <v>321</v>
      </c>
      <c r="AN449" s="147">
        <f t="shared" si="84"/>
        <v>192600000</v>
      </c>
      <c r="AO449" s="147" t="s">
        <v>5386</v>
      </c>
      <c r="AS449" t="s">
        <v>25</v>
      </c>
    </row>
    <row r="450" spans="18:45">
      <c r="R450" s="97" t="s">
        <v>5531</v>
      </c>
      <c r="S450" s="93">
        <v>18403291.448284</v>
      </c>
      <c r="U450" s="19" t="s">
        <v>5691</v>
      </c>
      <c r="V450" s="19">
        <v>232</v>
      </c>
      <c r="W450" s="115">
        <v>1830.5750069999999</v>
      </c>
      <c r="X450" s="115">
        <f t="shared" si="76"/>
        <v>424693.40162399999</v>
      </c>
      <c r="Y450" s="252" t="s">
        <v>5060</v>
      </c>
      <c r="Z450" t="s">
        <v>25</v>
      </c>
      <c r="AI450" s="20">
        <v>152</v>
      </c>
      <c r="AJ450" s="20" t="s">
        <v>5384</v>
      </c>
      <c r="AK450" s="115">
        <v>600000</v>
      </c>
      <c r="AL450" s="20">
        <v>9</v>
      </c>
      <c r="AM450" s="20">
        <f t="shared" si="83"/>
        <v>321</v>
      </c>
      <c r="AN450" s="20">
        <f t="shared" si="84"/>
        <v>192600000</v>
      </c>
      <c r="AO450" s="20" t="s">
        <v>5386</v>
      </c>
    </row>
    <row r="451" spans="18:45">
      <c r="R451" s="97" t="s">
        <v>5532</v>
      </c>
      <c r="S451" s="93">
        <v>10561447.246918</v>
      </c>
      <c r="U451" s="19" t="s">
        <v>5694</v>
      </c>
      <c r="V451" s="19">
        <v>308</v>
      </c>
      <c r="W451" s="115">
        <v>1812.728578</v>
      </c>
      <c r="X451" s="115">
        <f t="shared" si="76"/>
        <v>558320.40202399995</v>
      </c>
      <c r="Y451" s="252" t="s">
        <v>5060</v>
      </c>
      <c r="Z451" t="s">
        <v>25</v>
      </c>
      <c r="AG451" s="94" t="s">
        <v>25</v>
      </c>
      <c r="AI451" s="20">
        <v>153</v>
      </c>
      <c r="AJ451" s="20" t="s">
        <v>5392</v>
      </c>
      <c r="AK451" s="115">
        <v>20000000</v>
      </c>
      <c r="AL451" s="20">
        <v>23</v>
      </c>
      <c r="AM451" s="20">
        <f t="shared" si="83"/>
        <v>312</v>
      </c>
      <c r="AN451" s="20">
        <f t="shared" si="84"/>
        <v>6240000000</v>
      </c>
      <c r="AO451" s="20" t="s">
        <v>5405</v>
      </c>
    </row>
    <row r="452" spans="18:45">
      <c r="R452" s="97" t="s">
        <v>5533</v>
      </c>
      <c r="S452" s="93">
        <v>1226811.9176660001</v>
      </c>
      <c r="U452" s="19" t="s">
        <v>5696</v>
      </c>
      <c r="V452" s="19">
        <v>106</v>
      </c>
      <c r="W452" s="115">
        <v>1958.8888869</v>
      </c>
      <c r="X452" s="115">
        <f t="shared" si="76"/>
        <v>207642.22201140001</v>
      </c>
      <c r="Y452" s="252" t="s">
        <v>5060</v>
      </c>
      <c r="AI452" s="20">
        <v>154</v>
      </c>
      <c r="AJ452" s="20" t="s">
        <v>5425</v>
      </c>
      <c r="AK452" s="115">
        <v>-46183500</v>
      </c>
      <c r="AL452" s="20">
        <v>0</v>
      </c>
      <c r="AM452" s="20">
        <f t="shared" si="83"/>
        <v>289</v>
      </c>
      <c r="AN452" s="20">
        <f t="shared" si="84"/>
        <v>-13347031500</v>
      </c>
      <c r="AO452" s="20" t="s">
        <v>4812</v>
      </c>
    </row>
    <row r="453" spans="18:45">
      <c r="R453" s="97" t="s">
        <v>5538</v>
      </c>
      <c r="S453" s="93">
        <v>39373959.190266006</v>
      </c>
      <c r="U453" s="19" t="s">
        <v>5718</v>
      </c>
      <c r="V453" s="19">
        <v>17050</v>
      </c>
      <c r="W453" s="115">
        <v>1984.311475</v>
      </c>
      <c r="X453" s="115">
        <f t="shared" si="76"/>
        <v>33832510.64875</v>
      </c>
      <c r="Y453" s="252" t="s">
        <v>5720</v>
      </c>
      <c r="Z453" t="s">
        <v>25</v>
      </c>
      <c r="AB453" t="s">
        <v>25</v>
      </c>
      <c r="AI453" s="147">
        <v>155</v>
      </c>
      <c r="AJ453" s="147" t="s">
        <v>5425</v>
      </c>
      <c r="AK453" s="185">
        <v>-1812800</v>
      </c>
      <c r="AL453" s="147">
        <v>2</v>
      </c>
      <c r="AM453" s="147">
        <f t="shared" si="83"/>
        <v>289</v>
      </c>
      <c r="AN453" s="147">
        <f t="shared" si="84"/>
        <v>-523899200</v>
      </c>
      <c r="AO453" s="147" t="s">
        <v>4812</v>
      </c>
    </row>
    <row r="454" spans="18:45">
      <c r="R454" s="97" t="s">
        <v>5539</v>
      </c>
      <c r="S454" s="93">
        <v>27703487.063980002</v>
      </c>
      <c r="U454" s="19" t="s">
        <v>5718</v>
      </c>
      <c r="V454" s="19">
        <v>17050</v>
      </c>
      <c r="W454" s="115">
        <v>1984.311475</v>
      </c>
      <c r="X454" s="115">
        <f t="shared" si="76"/>
        <v>33832510.64875</v>
      </c>
      <c r="Y454" s="252" t="s">
        <v>5721</v>
      </c>
      <c r="Z454" t="s">
        <v>25</v>
      </c>
      <c r="AI454" s="20">
        <v>156</v>
      </c>
      <c r="AJ454" s="20" t="s">
        <v>5429</v>
      </c>
      <c r="AK454" s="115">
        <v>90000</v>
      </c>
      <c r="AL454" s="20">
        <v>0</v>
      </c>
      <c r="AM454" s="20">
        <f t="shared" ref="AM454:AM468" si="85">AL454+AM455</f>
        <v>287</v>
      </c>
      <c r="AN454" s="20">
        <f t="shared" ref="AN454:AN468" si="86">AK454*AM454</f>
        <v>25830000</v>
      </c>
      <c r="AO454" s="20"/>
    </row>
    <row r="455" spans="18:45">
      <c r="R455" s="97" t="s">
        <v>4159</v>
      </c>
      <c r="S455" s="93">
        <v>8738896.6890719999</v>
      </c>
      <c r="U455" s="19" t="s">
        <v>5723</v>
      </c>
      <c r="V455" s="19">
        <v>9659</v>
      </c>
      <c r="W455" s="115">
        <v>2073.8685089999999</v>
      </c>
      <c r="X455" s="115">
        <f t="shared" si="76"/>
        <v>20031495.928431001</v>
      </c>
      <c r="Y455" s="252" t="s">
        <v>5724</v>
      </c>
      <c r="Z455" t="s">
        <v>25</v>
      </c>
      <c r="AI455" s="147">
        <v>157</v>
      </c>
      <c r="AJ455" s="147" t="s">
        <v>5429</v>
      </c>
      <c r="AK455" s="185">
        <v>60000</v>
      </c>
      <c r="AL455" s="147">
        <v>5</v>
      </c>
      <c r="AM455" s="147">
        <f t="shared" si="85"/>
        <v>287</v>
      </c>
      <c r="AN455" s="147">
        <f t="shared" si="86"/>
        <v>17220000</v>
      </c>
      <c r="AO455" s="147"/>
    </row>
    <row r="456" spans="18:45">
      <c r="R456" s="97" t="s">
        <v>5541</v>
      </c>
      <c r="S456" s="93">
        <v>348201.66738</v>
      </c>
      <c r="U456" s="19" t="s">
        <v>5727</v>
      </c>
      <c r="V456" s="19">
        <v>323</v>
      </c>
      <c r="W456" s="115">
        <v>1975.162028</v>
      </c>
      <c r="X456" s="115">
        <f t="shared" si="76"/>
        <v>637977.33504399995</v>
      </c>
      <c r="Y456" s="252" t="s">
        <v>5060</v>
      </c>
      <c r="AI456" s="20">
        <v>158</v>
      </c>
      <c r="AJ456" s="20" t="s">
        <v>5434</v>
      </c>
      <c r="AK456" s="115">
        <v>50000000</v>
      </c>
      <c r="AL456" s="20">
        <v>29</v>
      </c>
      <c r="AM456" s="20">
        <f t="shared" si="85"/>
        <v>282</v>
      </c>
      <c r="AN456" s="20">
        <f t="shared" si="86"/>
        <v>14100000000</v>
      </c>
      <c r="AO456" s="20" t="s">
        <v>5436</v>
      </c>
    </row>
    <row r="457" spans="18:45">
      <c r="R457" s="97" t="s">
        <v>5545</v>
      </c>
      <c r="S457" s="93">
        <v>4158090.8935679998</v>
      </c>
      <c r="U457" s="19" t="s">
        <v>5728</v>
      </c>
      <c r="V457" s="19">
        <v>238</v>
      </c>
      <c r="W457" s="115">
        <v>1960.303598</v>
      </c>
      <c r="X457" s="115">
        <f t="shared" si="76"/>
        <v>466552.25632400002</v>
      </c>
      <c r="Y457" s="252" t="s">
        <v>5060</v>
      </c>
      <c r="AA457" t="s">
        <v>25</v>
      </c>
      <c r="AI457" s="20">
        <v>159</v>
      </c>
      <c r="AJ457" s="20" t="s">
        <v>5487</v>
      </c>
      <c r="AK457" s="115">
        <v>100000</v>
      </c>
      <c r="AL457" s="20">
        <v>1</v>
      </c>
      <c r="AM457" s="20">
        <f t="shared" si="85"/>
        <v>253</v>
      </c>
      <c r="AN457" s="20">
        <f t="shared" si="86"/>
        <v>25300000</v>
      </c>
      <c r="AO457" s="20"/>
    </row>
    <row r="458" spans="18:45">
      <c r="R458" s="97" t="s">
        <v>5542</v>
      </c>
      <c r="S458" s="93">
        <v>110770524.97879399</v>
      </c>
      <c r="U458" s="19" t="s">
        <v>5729</v>
      </c>
      <c r="V458" s="19">
        <v>75</v>
      </c>
      <c r="W458" s="115">
        <v>1990.893174</v>
      </c>
      <c r="X458" s="115">
        <f t="shared" si="76"/>
        <v>149316.98805000001</v>
      </c>
      <c r="Y458" s="252" t="s">
        <v>5730</v>
      </c>
      <c r="AA458" t="s">
        <v>25</v>
      </c>
      <c r="AI458" s="147">
        <v>160</v>
      </c>
      <c r="AJ458" s="147" t="s">
        <v>5477</v>
      </c>
      <c r="AK458" s="185">
        <v>150000</v>
      </c>
      <c r="AL458" s="147">
        <v>0</v>
      </c>
      <c r="AM458" s="147">
        <f t="shared" si="85"/>
        <v>252</v>
      </c>
      <c r="AN458" s="147">
        <f t="shared" si="86"/>
        <v>37800000</v>
      </c>
      <c r="AO458" s="147"/>
    </row>
    <row r="459" spans="18:45">
      <c r="R459" s="97" t="s">
        <v>5545</v>
      </c>
      <c r="S459" s="93">
        <v>17900000</v>
      </c>
      <c r="U459" s="19" t="s">
        <v>5729</v>
      </c>
      <c r="V459" s="19">
        <v>95</v>
      </c>
      <c r="W459" s="115">
        <v>1990.893174</v>
      </c>
      <c r="X459" s="115">
        <f t="shared" si="76"/>
        <v>189134.85153000001</v>
      </c>
      <c r="Y459" s="252" t="s">
        <v>5060</v>
      </c>
      <c r="AA459" t="s">
        <v>25</v>
      </c>
      <c r="AI459" s="20">
        <v>161</v>
      </c>
      <c r="AJ459" s="20" t="s">
        <v>5477</v>
      </c>
      <c r="AK459" s="115">
        <v>-683050</v>
      </c>
      <c r="AL459" s="20">
        <v>7</v>
      </c>
      <c r="AM459" s="20">
        <f t="shared" si="85"/>
        <v>252</v>
      </c>
      <c r="AN459" s="20">
        <f t="shared" si="86"/>
        <v>-172128600</v>
      </c>
      <c r="AO459" s="20" t="s">
        <v>5490</v>
      </c>
    </row>
    <row r="460" spans="18:45">
      <c r="R460" s="97" t="s">
        <v>5556</v>
      </c>
      <c r="S460" s="93">
        <v>12114824.927374</v>
      </c>
      <c r="U460" s="19" t="s">
        <v>5731</v>
      </c>
      <c r="V460" s="19">
        <v>284</v>
      </c>
      <c r="W460" s="115">
        <v>1989.045169</v>
      </c>
      <c r="X460" s="115">
        <f t="shared" si="76"/>
        <v>564888.82799599995</v>
      </c>
      <c r="Y460" s="252" t="s">
        <v>5060</v>
      </c>
      <c r="AA460" t="s">
        <v>25</v>
      </c>
      <c r="AI460" s="147">
        <v>162</v>
      </c>
      <c r="AJ460" s="147" t="s">
        <v>5498</v>
      </c>
      <c r="AK460" s="185">
        <v>200000</v>
      </c>
      <c r="AL460" s="147">
        <v>7</v>
      </c>
      <c r="AM460" s="147">
        <f t="shared" si="85"/>
        <v>245</v>
      </c>
      <c r="AN460" s="147">
        <f t="shared" si="86"/>
        <v>49000000</v>
      </c>
      <c r="AO460" s="147"/>
    </row>
    <row r="461" spans="18:45" ht="30">
      <c r="R461" s="97" t="s">
        <v>5559</v>
      </c>
      <c r="S461" s="93">
        <v>6684147.0064600008</v>
      </c>
      <c r="U461" s="186" t="s">
        <v>5734</v>
      </c>
      <c r="V461" s="186">
        <v>11034</v>
      </c>
      <c r="W461" s="185">
        <v>1960.6845390000001</v>
      </c>
      <c r="X461" s="185">
        <f t="shared" si="76"/>
        <v>21634193.203326002</v>
      </c>
      <c r="Y461" s="251" t="s">
        <v>5737</v>
      </c>
      <c r="AA461" t="s">
        <v>25</v>
      </c>
      <c r="AI461" s="147">
        <v>163</v>
      </c>
      <c r="AJ461" s="147" t="s">
        <v>5503</v>
      </c>
      <c r="AK461" s="185">
        <v>150000</v>
      </c>
      <c r="AL461" s="147">
        <v>5</v>
      </c>
      <c r="AM461" s="147">
        <f t="shared" si="85"/>
        <v>238</v>
      </c>
      <c r="AN461" s="147">
        <f t="shared" si="86"/>
        <v>35700000</v>
      </c>
      <c r="AO461" s="147"/>
    </row>
    <row r="462" spans="18:45" ht="30">
      <c r="R462" s="97" t="s">
        <v>5561</v>
      </c>
      <c r="S462" s="93">
        <v>1826535.2307560001</v>
      </c>
      <c r="U462" s="19" t="s">
        <v>5734</v>
      </c>
      <c r="V462" s="19">
        <v>4469</v>
      </c>
      <c r="W462" s="115">
        <v>1960.6845390000001</v>
      </c>
      <c r="X462" s="115">
        <f t="shared" si="76"/>
        <v>8762299.2047910001</v>
      </c>
      <c r="Y462" s="252" t="s">
        <v>5738</v>
      </c>
      <c r="AA462" t="s">
        <v>25</v>
      </c>
      <c r="AI462" s="20">
        <v>164</v>
      </c>
      <c r="AJ462" s="20" t="s">
        <v>5506</v>
      </c>
      <c r="AK462" s="115">
        <v>320000</v>
      </c>
      <c r="AL462" s="20">
        <v>2</v>
      </c>
      <c r="AM462" s="20">
        <f t="shared" si="85"/>
        <v>233</v>
      </c>
      <c r="AN462" s="20">
        <f t="shared" si="86"/>
        <v>74560000</v>
      </c>
      <c r="AO462" s="20"/>
    </row>
    <row r="463" spans="18:45">
      <c r="R463" s="97" t="s">
        <v>5562</v>
      </c>
      <c r="S463" s="93">
        <v>3577366.94</v>
      </c>
      <c r="U463" s="19" t="s">
        <v>5734</v>
      </c>
      <c r="V463" s="19">
        <v>-174834</v>
      </c>
      <c r="W463" s="115">
        <v>1955.271154</v>
      </c>
      <c r="X463" s="115">
        <f t="shared" si="76"/>
        <v>-341847876.93843603</v>
      </c>
      <c r="Y463" s="252" t="s">
        <v>5739</v>
      </c>
      <c r="AI463" s="20">
        <v>165</v>
      </c>
      <c r="AJ463" s="20" t="s">
        <v>5507</v>
      </c>
      <c r="AK463" s="115">
        <v>200000</v>
      </c>
      <c r="AL463" s="20">
        <v>29</v>
      </c>
      <c r="AM463" s="20">
        <f t="shared" si="85"/>
        <v>231</v>
      </c>
      <c r="AN463" s="20">
        <f t="shared" si="86"/>
        <v>46200000</v>
      </c>
      <c r="AO463" s="20"/>
    </row>
    <row r="464" spans="18:45">
      <c r="R464" s="97" t="s">
        <v>5564</v>
      </c>
      <c r="S464" s="93">
        <v>21239029.173567999</v>
      </c>
      <c r="U464" s="19" t="s">
        <v>5734</v>
      </c>
      <c r="V464" s="19">
        <v>-78942</v>
      </c>
      <c r="W464" s="115">
        <v>1955.271154</v>
      </c>
      <c r="X464" s="115">
        <f t="shared" si="76"/>
        <v>-154353015.43906799</v>
      </c>
      <c r="Y464" s="252" t="s">
        <v>5740</v>
      </c>
      <c r="AA464" t="s">
        <v>25</v>
      </c>
      <c r="AI464" s="20">
        <v>166</v>
      </c>
      <c r="AJ464" s="20" t="s">
        <v>5542</v>
      </c>
      <c r="AK464" s="115">
        <v>4200000</v>
      </c>
      <c r="AL464" s="20">
        <v>0</v>
      </c>
      <c r="AM464" s="20">
        <f t="shared" si="85"/>
        <v>202</v>
      </c>
      <c r="AN464" s="20">
        <f t="shared" si="86"/>
        <v>848400000</v>
      </c>
      <c r="AO464" s="20"/>
      <c r="AS464" t="s">
        <v>25</v>
      </c>
    </row>
    <row r="465" spans="18:46">
      <c r="R465" s="97" t="s">
        <v>5569</v>
      </c>
      <c r="S465" s="93">
        <v>242957252.40163299</v>
      </c>
      <c r="U465" s="186" t="s">
        <v>5734</v>
      </c>
      <c r="V465" s="186">
        <v>-11518</v>
      </c>
      <c r="W465" s="185">
        <v>1955.271154</v>
      </c>
      <c r="X465" s="185">
        <f t="shared" si="76"/>
        <v>-22520813.151772</v>
      </c>
      <c r="Y465" s="251" t="s">
        <v>5741</v>
      </c>
      <c r="AB465" t="s">
        <v>25</v>
      </c>
      <c r="AI465" s="147">
        <v>167</v>
      </c>
      <c r="AJ465" s="147" t="s">
        <v>5542</v>
      </c>
      <c r="AK465" s="185">
        <v>3300000</v>
      </c>
      <c r="AL465" s="147">
        <v>11</v>
      </c>
      <c r="AM465" s="147">
        <f t="shared" si="85"/>
        <v>202</v>
      </c>
      <c r="AN465" s="147">
        <f t="shared" si="86"/>
        <v>666600000</v>
      </c>
      <c r="AO465" s="147"/>
      <c r="AS465" t="s">
        <v>25</v>
      </c>
    </row>
    <row r="466" spans="18:46">
      <c r="R466" s="97" t="s">
        <v>5570</v>
      </c>
      <c r="S466" s="93">
        <v>7357181.2750800001</v>
      </c>
      <c r="U466" s="19" t="s">
        <v>5752</v>
      </c>
      <c r="V466" s="19">
        <v>8622</v>
      </c>
      <c r="W466" s="115">
        <v>1930.4022150000001</v>
      </c>
      <c r="X466" s="115">
        <f t="shared" si="76"/>
        <v>16643927.89773</v>
      </c>
      <c r="Y466" s="252" t="s">
        <v>724</v>
      </c>
      <c r="AA466" t="s">
        <v>25</v>
      </c>
      <c r="AI466" s="147">
        <v>168</v>
      </c>
      <c r="AJ466" s="147" t="s">
        <v>5562</v>
      </c>
      <c r="AK466" s="185">
        <v>-1500000</v>
      </c>
      <c r="AL466" s="147">
        <v>42</v>
      </c>
      <c r="AM466" s="147">
        <f t="shared" si="85"/>
        <v>191</v>
      </c>
      <c r="AN466" s="147">
        <f t="shared" si="86"/>
        <v>-286500000</v>
      </c>
      <c r="AO466" s="147"/>
    </row>
    <row r="467" spans="18:46">
      <c r="R467" s="97" t="s">
        <v>5572</v>
      </c>
      <c r="S467" s="93">
        <v>14951411.942400001</v>
      </c>
      <c r="U467" s="19" t="s">
        <v>5753</v>
      </c>
      <c r="V467" s="19">
        <v>17384</v>
      </c>
      <c r="W467" s="115">
        <v>1918.745255</v>
      </c>
      <c r="X467" s="115">
        <f t="shared" si="76"/>
        <v>33355467.51292</v>
      </c>
      <c r="Y467" s="252" t="s">
        <v>724</v>
      </c>
      <c r="Z467" t="s">
        <v>25</v>
      </c>
      <c r="AA467" t="s">
        <v>25</v>
      </c>
      <c r="AI467" s="20">
        <v>169</v>
      </c>
      <c r="AJ467" s="20" t="s">
        <v>5593</v>
      </c>
      <c r="AK467" s="115">
        <v>260000</v>
      </c>
      <c r="AL467" s="20">
        <v>22</v>
      </c>
      <c r="AM467" s="20">
        <f t="shared" si="85"/>
        <v>149</v>
      </c>
      <c r="AN467" s="20">
        <f t="shared" si="86"/>
        <v>38740000</v>
      </c>
      <c r="AO467" s="20"/>
      <c r="AT467" t="s">
        <v>25</v>
      </c>
    </row>
    <row r="468" spans="18:46">
      <c r="R468" s="97" t="s">
        <v>5573</v>
      </c>
      <c r="S468" s="93">
        <v>47928209.377011999</v>
      </c>
      <c r="U468" s="19" t="s">
        <v>5756</v>
      </c>
      <c r="V468" s="19">
        <v>133</v>
      </c>
      <c r="W468" s="115">
        <v>1954.8389770000001</v>
      </c>
      <c r="X468" s="115">
        <f t="shared" si="76"/>
        <v>259993.58394100002</v>
      </c>
      <c r="Y468" s="252" t="s">
        <v>5060</v>
      </c>
      <c r="AB468" t="s">
        <v>25</v>
      </c>
      <c r="AI468" s="20">
        <v>170</v>
      </c>
      <c r="AJ468" s="20" t="s">
        <v>5620</v>
      </c>
      <c r="AK468" s="115">
        <v>20000</v>
      </c>
      <c r="AL468" s="20">
        <v>0</v>
      </c>
      <c r="AM468" s="20">
        <f t="shared" si="85"/>
        <v>127</v>
      </c>
      <c r="AN468" s="20">
        <f t="shared" si="86"/>
        <v>2540000</v>
      </c>
      <c r="AO468" s="20"/>
    </row>
    <row r="469" spans="18:46">
      <c r="R469" s="97" t="s">
        <v>5574</v>
      </c>
      <c r="S469" s="93">
        <v>2281595.69937</v>
      </c>
      <c r="U469" s="19" t="s">
        <v>5757</v>
      </c>
      <c r="V469" s="19">
        <v>140</v>
      </c>
      <c r="W469" s="115">
        <v>1928.2522289999999</v>
      </c>
      <c r="X469" s="115">
        <f t="shared" si="76"/>
        <v>269955.31205999997</v>
      </c>
      <c r="Y469" s="252" t="s">
        <v>5060</v>
      </c>
      <c r="Z469" t="s">
        <v>25</v>
      </c>
      <c r="AI469" s="190">
        <v>171</v>
      </c>
      <c r="AJ469" s="190" t="s">
        <v>5620</v>
      </c>
      <c r="AK469" s="191">
        <v>20000</v>
      </c>
      <c r="AL469" s="190">
        <v>7</v>
      </c>
      <c r="AM469" s="147">
        <f t="shared" ref="AM469:AM477" si="87">AL469+AM470</f>
        <v>127</v>
      </c>
      <c r="AN469" s="147">
        <f>AK469*AM469</f>
        <v>2540000</v>
      </c>
      <c r="AO469" s="190"/>
    </row>
    <row r="470" spans="18:46">
      <c r="R470" s="97" t="s">
        <v>5575</v>
      </c>
      <c r="S470" s="93">
        <v>2964916.035069</v>
      </c>
      <c r="U470" s="19" t="s">
        <v>6103</v>
      </c>
      <c r="V470" s="19">
        <v>15839</v>
      </c>
      <c r="W470" s="115">
        <v>1893.9957079999999</v>
      </c>
      <c r="X470" s="115">
        <f t="shared" si="76"/>
        <v>29998998.019012</v>
      </c>
      <c r="Y470" s="252" t="s">
        <v>6102</v>
      </c>
      <c r="AA470" t="s">
        <v>25</v>
      </c>
      <c r="AB470" t="s">
        <v>25</v>
      </c>
      <c r="AI470" s="147">
        <v>172</v>
      </c>
      <c r="AJ470" s="147" t="s">
        <v>5627</v>
      </c>
      <c r="AK470" s="185">
        <v>70000</v>
      </c>
      <c r="AL470" s="147">
        <v>0</v>
      </c>
      <c r="AM470" s="147">
        <f t="shared" si="87"/>
        <v>120</v>
      </c>
      <c r="AN470" s="147">
        <f>AK470*AM470</f>
        <v>8400000</v>
      </c>
      <c r="AO470" s="147"/>
    </row>
    <row r="471" spans="18:46">
      <c r="R471" s="97" t="s">
        <v>5576</v>
      </c>
      <c r="S471" s="93">
        <v>6460549.4269619994</v>
      </c>
      <c r="U471" s="19" t="s">
        <v>6106</v>
      </c>
      <c r="V471" s="19">
        <v>26601</v>
      </c>
      <c r="W471" s="115">
        <v>1880.082026</v>
      </c>
      <c r="X471" s="115">
        <f t="shared" si="76"/>
        <v>50012061.973626003</v>
      </c>
      <c r="Y471" s="252" t="s">
        <v>5298</v>
      </c>
      <c r="AI471" s="20">
        <v>173</v>
      </c>
      <c r="AJ471" s="20" t="s">
        <v>5627</v>
      </c>
      <c r="AK471" s="115">
        <v>70000</v>
      </c>
      <c r="AL471" s="20">
        <v>1</v>
      </c>
      <c r="AM471" s="20">
        <f t="shared" si="87"/>
        <v>120</v>
      </c>
      <c r="AN471" s="20">
        <f>AK471*AM471</f>
        <v>8400000</v>
      </c>
      <c r="AO471" s="20"/>
    </row>
    <row r="472" spans="18:46">
      <c r="R472" s="97" t="s">
        <v>5578</v>
      </c>
      <c r="S472" s="93">
        <v>5212319.8968359996</v>
      </c>
      <c r="U472" s="186" t="s">
        <v>6106</v>
      </c>
      <c r="V472" s="186">
        <v>10637</v>
      </c>
      <c r="W472" s="185">
        <v>1880.082026</v>
      </c>
      <c r="X472" s="185">
        <f t="shared" si="76"/>
        <v>19998432.510561999</v>
      </c>
      <c r="Y472" s="251" t="s">
        <v>6107</v>
      </c>
      <c r="Z472" t="s">
        <v>25</v>
      </c>
      <c r="AI472" s="20">
        <v>174</v>
      </c>
      <c r="AJ472" s="20" t="s">
        <v>5633</v>
      </c>
      <c r="AK472" s="115">
        <v>330000</v>
      </c>
      <c r="AL472" s="20">
        <v>0</v>
      </c>
      <c r="AM472" s="20">
        <f t="shared" si="87"/>
        <v>119</v>
      </c>
      <c r="AN472" s="20">
        <f>AK472*AM472</f>
        <v>39270000</v>
      </c>
      <c r="AO472" s="20"/>
    </row>
    <row r="473" spans="18:46">
      <c r="R473" s="97" t="s">
        <v>5579</v>
      </c>
      <c r="S473" s="93">
        <v>4524496.4792809999</v>
      </c>
      <c r="U473" s="19" t="s">
        <v>6112</v>
      </c>
      <c r="V473" s="19">
        <v>306</v>
      </c>
      <c r="W473" s="115">
        <v>1831.8117119999999</v>
      </c>
      <c r="X473" s="115">
        <f t="shared" si="76"/>
        <v>560534.38387200003</v>
      </c>
      <c r="Y473" s="252" t="s">
        <v>5060</v>
      </c>
      <c r="Z473" t="s">
        <v>25</v>
      </c>
      <c r="AI473" s="147">
        <v>175</v>
      </c>
      <c r="AJ473" s="147" t="s">
        <v>5633</v>
      </c>
      <c r="AK473" s="185">
        <v>330000</v>
      </c>
      <c r="AL473" s="147">
        <v>10</v>
      </c>
      <c r="AM473" s="147">
        <f t="shared" si="87"/>
        <v>119</v>
      </c>
      <c r="AN473" s="147">
        <f t="shared" ref="AN473:AN478" si="88">AK473*AM473</f>
        <v>39270000</v>
      </c>
      <c r="AO473" s="147"/>
    </row>
    <row r="474" spans="18:46">
      <c r="R474" s="97" t="s">
        <v>5580</v>
      </c>
      <c r="S474" s="93">
        <v>22866040.240959998</v>
      </c>
      <c r="U474" s="19" t="s">
        <v>6114</v>
      </c>
      <c r="V474" s="19">
        <v>325</v>
      </c>
      <c r="W474" s="115">
        <v>1789.1845169999999</v>
      </c>
      <c r="X474" s="115">
        <f t="shared" si="76"/>
        <v>581484.96802499995</v>
      </c>
      <c r="Y474" s="252" t="s">
        <v>5060</v>
      </c>
      <c r="AA474" t="s">
        <v>25</v>
      </c>
      <c r="AI474" s="147">
        <v>176</v>
      </c>
      <c r="AJ474" s="147" t="s">
        <v>5641</v>
      </c>
      <c r="AK474" s="185">
        <v>90000000</v>
      </c>
      <c r="AL474" s="147">
        <v>16</v>
      </c>
      <c r="AM474" s="147">
        <f t="shared" si="87"/>
        <v>109</v>
      </c>
      <c r="AN474" s="147">
        <f t="shared" si="88"/>
        <v>9810000000</v>
      </c>
      <c r="AO474" s="147"/>
    </row>
    <row r="475" spans="18:46">
      <c r="R475" s="97" t="s">
        <v>5582</v>
      </c>
      <c r="S475" s="93">
        <v>15359304.269892</v>
      </c>
      <c r="U475" s="19" t="s">
        <v>6116</v>
      </c>
      <c r="V475" s="19">
        <v>1154</v>
      </c>
      <c r="W475" s="115">
        <v>1851.788857</v>
      </c>
      <c r="X475" s="115">
        <f t="shared" si="76"/>
        <v>2136964.3409779998</v>
      </c>
      <c r="Y475" s="252" t="s">
        <v>5060</v>
      </c>
      <c r="AA475" t="s">
        <v>25</v>
      </c>
      <c r="AI475" s="147">
        <v>177</v>
      </c>
      <c r="AJ475" s="147" t="s">
        <v>5660</v>
      </c>
      <c r="AK475" s="185">
        <v>-15000000</v>
      </c>
      <c r="AL475" s="147">
        <v>65</v>
      </c>
      <c r="AM475" s="147">
        <f t="shared" si="87"/>
        <v>93</v>
      </c>
      <c r="AN475" s="147">
        <f t="shared" si="88"/>
        <v>-1395000000</v>
      </c>
      <c r="AO475" s="147" t="s">
        <v>5661</v>
      </c>
    </row>
    <row r="476" spans="18:46" ht="30">
      <c r="R476" s="97" t="s">
        <v>5583</v>
      </c>
      <c r="S476" s="93">
        <v>2868508.1846330003</v>
      </c>
      <c r="U476" s="19" t="s">
        <v>6116</v>
      </c>
      <c r="V476" s="19">
        <v>3240</v>
      </c>
      <c r="W476" s="115">
        <v>1851.788857</v>
      </c>
      <c r="X476" s="115">
        <f t="shared" si="76"/>
        <v>5999795.8966800002</v>
      </c>
      <c r="Y476" s="252" t="s">
        <v>6117</v>
      </c>
      <c r="AB476" t="s">
        <v>25</v>
      </c>
      <c r="AI476" s="147">
        <v>178</v>
      </c>
      <c r="AJ476" s="147" t="s">
        <v>5718</v>
      </c>
      <c r="AK476" s="185">
        <v>33833075</v>
      </c>
      <c r="AL476" s="147">
        <v>0</v>
      </c>
      <c r="AM476" s="147">
        <f t="shared" si="87"/>
        <v>28</v>
      </c>
      <c r="AN476" s="147">
        <f t="shared" si="88"/>
        <v>947326100</v>
      </c>
      <c r="AO476" s="147" t="s">
        <v>5722</v>
      </c>
    </row>
    <row r="477" spans="18:46">
      <c r="R477" s="97" t="s">
        <v>5584</v>
      </c>
      <c r="S477" s="93">
        <v>17450393.011856001</v>
      </c>
      <c r="U477" s="19" t="s">
        <v>6116</v>
      </c>
      <c r="V477" s="19">
        <v>-3240</v>
      </c>
      <c r="W477" s="115">
        <v>1851.788857</v>
      </c>
      <c r="X477" s="115">
        <f t="shared" si="76"/>
        <v>-5999795.8966800002</v>
      </c>
      <c r="Y477" s="252" t="s">
        <v>6118</v>
      </c>
      <c r="AA477" t="s">
        <v>25</v>
      </c>
      <c r="AI477" s="20">
        <v>197</v>
      </c>
      <c r="AJ477" s="20" t="s">
        <v>5718</v>
      </c>
      <c r="AK477" s="115">
        <v>20033075</v>
      </c>
      <c r="AL477" s="20">
        <v>28</v>
      </c>
      <c r="AM477" s="20">
        <f t="shared" si="87"/>
        <v>28</v>
      </c>
      <c r="AN477" s="20">
        <f t="shared" si="88"/>
        <v>560926100</v>
      </c>
      <c r="AO477" s="20" t="s">
        <v>5722</v>
      </c>
    </row>
    <row r="478" spans="18:46">
      <c r="R478" s="97" t="s">
        <v>5585</v>
      </c>
      <c r="S478" s="93">
        <v>31388943.254850004</v>
      </c>
      <c r="U478" s="19" t="s">
        <v>6119</v>
      </c>
      <c r="V478" s="19">
        <v>330</v>
      </c>
      <c r="W478" s="115">
        <v>1799.34311</v>
      </c>
      <c r="X478" s="115">
        <f t="shared" si="76"/>
        <v>593783.22629999998</v>
      </c>
      <c r="Y478" s="252" t="s">
        <v>5060</v>
      </c>
      <c r="AB478" t="s">
        <v>25</v>
      </c>
      <c r="AI478" s="147">
        <v>198</v>
      </c>
      <c r="AJ478" s="147" t="s">
        <v>5734</v>
      </c>
      <c r="AK478" s="185">
        <v>-22520813.151772</v>
      </c>
      <c r="AL478" s="147">
        <v>0</v>
      </c>
      <c r="AM478" s="147">
        <f>AL478+AM509</f>
        <v>0</v>
      </c>
      <c r="AN478" s="147">
        <f t="shared" si="88"/>
        <v>0</v>
      </c>
      <c r="AO478" s="147" t="s">
        <v>5741</v>
      </c>
      <c r="AT478" t="s">
        <v>25</v>
      </c>
    </row>
    <row r="479" spans="18:46">
      <c r="R479" s="97" t="s">
        <v>5587</v>
      </c>
      <c r="S479" s="93">
        <v>30912095.373174001</v>
      </c>
      <c r="U479" s="19" t="s">
        <v>6123</v>
      </c>
      <c r="V479" s="19">
        <v>266</v>
      </c>
      <c r="W479" s="115">
        <v>1764.9246700000001</v>
      </c>
      <c r="X479" s="115">
        <f t="shared" si="76"/>
        <v>469469.96222000004</v>
      </c>
      <c r="Y479" s="252" t="s">
        <v>5060</v>
      </c>
      <c r="Z479" t="s">
        <v>25</v>
      </c>
      <c r="AI479" s="20">
        <v>199</v>
      </c>
      <c r="AJ479" s="20" t="s">
        <v>5734</v>
      </c>
      <c r="AK479" s="115">
        <v>-204353015</v>
      </c>
      <c r="AL479" s="20">
        <v>0</v>
      </c>
      <c r="AM479" s="20">
        <f>AL479+AM480</f>
        <v>437</v>
      </c>
      <c r="AN479" s="20">
        <f>AK479*AM479</f>
        <v>-89302267555</v>
      </c>
      <c r="AO479" s="20" t="s">
        <v>5742</v>
      </c>
    </row>
    <row r="480" spans="18:46">
      <c r="R480" s="97" t="s">
        <v>5588</v>
      </c>
      <c r="S480" s="93">
        <v>19602926.115093999</v>
      </c>
      <c r="U480" s="186" t="s">
        <v>6127</v>
      </c>
      <c r="V480" s="186">
        <v>-10637</v>
      </c>
      <c r="W480" s="185">
        <v>1739.5916549999999</v>
      </c>
      <c r="X480" s="185">
        <f t="shared" si="76"/>
        <v>-18504036.434234999</v>
      </c>
      <c r="Y480" s="251" t="s">
        <v>6130</v>
      </c>
      <c r="Z480" t="s">
        <v>25</v>
      </c>
      <c r="AB480" t="s">
        <v>25</v>
      </c>
      <c r="AI480" s="20">
        <v>200</v>
      </c>
      <c r="AJ480" s="20" t="s">
        <v>5734</v>
      </c>
      <c r="AK480" s="115">
        <v>50000000</v>
      </c>
      <c r="AL480" s="20">
        <v>1</v>
      </c>
      <c r="AM480" s="20">
        <f>AL480+AM481</f>
        <v>437</v>
      </c>
      <c r="AN480" s="20">
        <f>AK480*AM480</f>
        <v>21850000000</v>
      </c>
      <c r="AO480" s="20" t="s">
        <v>5743</v>
      </c>
    </row>
    <row r="481" spans="18:47">
      <c r="R481" s="97" t="s">
        <v>5589</v>
      </c>
      <c r="S481" s="93">
        <v>34458590.308710001</v>
      </c>
      <c r="U481" s="19" t="s">
        <v>6127</v>
      </c>
      <c r="V481" s="19">
        <v>10637</v>
      </c>
      <c r="W481" s="115">
        <v>1739.5916549999999</v>
      </c>
      <c r="X481" s="115">
        <f t="shared" si="76"/>
        <v>18504036.434234999</v>
      </c>
      <c r="Y481" s="252" t="s">
        <v>6131</v>
      </c>
      <c r="AB481" t="s">
        <v>25</v>
      </c>
      <c r="AI481" s="20">
        <v>201</v>
      </c>
      <c r="AJ481" s="20" t="s">
        <v>5749</v>
      </c>
      <c r="AK481" s="115">
        <v>50000000</v>
      </c>
      <c r="AL481" s="20">
        <v>8</v>
      </c>
      <c r="AM481" s="20">
        <f>AL481+AM482</f>
        <v>436</v>
      </c>
      <c r="AN481" s="20">
        <f>AK481*AM481</f>
        <v>21800000000</v>
      </c>
      <c r="AO481" s="20" t="s">
        <v>5743</v>
      </c>
    </row>
    <row r="482" spans="18:47" ht="30">
      <c r="R482" s="97" t="s">
        <v>5590</v>
      </c>
      <c r="S482" s="93">
        <v>21697868.203256</v>
      </c>
      <c r="U482" s="19" t="s">
        <v>6153</v>
      </c>
      <c r="V482" s="19">
        <v>39478</v>
      </c>
      <c r="W482" s="115">
        <v>1873.903047</v>
      </c>
      <c r="X482" s="115">
        <f t="shared" si="76"/>
        <v>73977944.489465997</v>
      </c>
      <c r="Y482" s="252" t="s">
        <v>6154</v>
      </c>
      <c r="AI482" s="20">
        <v>202</v>
      </c>
      <c r="AJ482" s="20" t="s">
        <v>6101</v>
      </c>
      <c r="AK482" s="115">
        <v>30000000</v>
      </c>
      <c r="AL482" s="20">
        <v>2</v>
      </c>
      <c r="AM482" s="20">
        <f>AL482+AM483</f>
        <v>428</v>
      </c>
      <c r="AN482" s="20">
        <f>AK482*AM482</f>
        <v>12840000000</v>
      </c>
      <c r="AO482" s="20" t="s">
        <v>6102</v>
      </c>
    </row>
    <row r="483" spans="18:47">
      <c r="R483" s="97" t="s">
        <v>5591</v>
      </c>
      <c r="S483" s="93">
        <v>25340079.252110001</v>
      </c>
      <c r="U483" s="19" t="s">
        <v>6157</v>
      </c>
      <c r="V483" s="19">
        <v>283</v>
      </c>
      <c r="W483" s="115">
        <v>2014.7222959999999</v>
      </c>
      <c r="X483" s="115">
        <f t="shared" si="76"/>
        <v>570166.40976800001</v>
      </c>
      <c r="Y483" s="252" t="s">
        <v>6158</v>
      </c>
      <c r="Z483" t="s">
        <v>25</v>
      </c>
      <c r="AB483" t="s">
        <v>25</v>
      </c>
      <c r="AI483" s="147">
        <v>203</v>
      </c>
      <c r="AJ483" s="147" t="s">
        <v>6106</v>
      </c>
      <c r="AK483" s="185">
        <v>20000000</v>
      </c>
      <c r="AL483" s="147">
        <v>29</v>
      </c>
      <c r="AM483" s="147">
        <f t="shared" ref="AM483:AM492" si="89">AL483+AM484</f>
        <v>426</v>
      </c>
      <c r="AN483" s="147">
        <f t="shared" ref="AN483:AN492" si="90">AK483*AM483</f>
        <v>8520000000</v>
      </c>
      <c r="AO483" s="147" t="s">
        <v>6107</v>
      </c>
    </row>
    <row r="484" spans="18:47">
      <c r="R484" s="97" t="s">
        <v>5593</v>
      </c>
      <c r="S484" s="93">
        <v>14780983.183526</v>
      </c>
      <c r="U484" s="19" t="s">
        <v>6160</v>
      </c>
      <c r="V484" s="19">
        <v>1704</v>
      </c>
      <c r="W484" s="115">
        <v>2104.0605820000001</v>
      </c>
      <c r="X484" s="115">
        <f t="shared" si="76"/>
        <v>3585319.2317280001</v>
      </c>
      <c r="Y484" s="252" t="s">
        <v>5060</v>
      </c>
      <c r="AA484" t="s">
        <v>25</v>
      </c>
      <c r="AB484" t="s">
        <v>25</v>
      </c>
      <c r="AI484" s="147">
        <v>204</v>
      </c>
      <c r="AJ484" s="147" t="s">
        <v>6127</v>
      </c>
      <c r="AK484" s="185">
        <v>-20000000</v>
      </c>
      <c r="AL484" s="147">
        <v>0</v>
      </c>
      <c r="AM484" s="147">
        <f t="shared" si="89"/>
        <v>397</v>
      </c>
      <c r="AN484" s="147">
        <f t="shared" si="90"/>
        <v>-7940000000</v>
      </c>
      <c r="AO484" s="147" t="s">
        <v>6128</v>
      </c>
    </row>
    <row r="485" spans="18:47">
      <c r="R485" s="97" t="s">
        <v>5593</v>
      </c>
      <c r="S485" s="93">
        <v>17804396.448481999</v>
      </c>
      <c r="U485" s="19" t="s">
        <v>6163</v>
      </c>
      <c r="V485" s="19">
        <v>324</v>
      </c>
      <c r="W485" s="115">
        <v>2088.5824040000002</v>
      </c>
      <c r="X485" s="115">
        <f t="shared" si="76"/>
        <v>676700.69889600005</v>
      </c>
      <c r="Y485" s="252" t="s">
        <v>5060</v>
      </c>
      <c r="Z485" t="s">
        <v>25</v>
      </c>
      <c r="AA485" t="s">
        <v>25</v>
      </c>
      <c r="AB485" t="s">
        <v>25</v>
      </c>
      <c r="AI485" s="147">
        <v>205</v>
      </c>
      <c r="AJ485" s="147" t="s">
        <v>6127</v>
      </c>
      <c r="AK485" s="185">
        <v>2000000</v>
      </c>
      <c r="AL485" s="147">
        <v>110</v>
      </c>
      <c r="AM485" s="147">
        <f t="shared" si="89"/>
        <v>397</v>
      </c>
      <c r="AN485" s="147">
        <f t="shared" si="90"/>
        <v>794000000</v>
      </c>
      <c r="AO485" s="147" t="s">
        <v>6129</v>
      </c>
    </row>
    <row r="486" spans="18:47">
      <c r="R486" s="97" t="s">
        <v>5596</v>
      </c>
      <c r="S486" s="93">
        <v>260260000</v>
      </c>
      <c r="U486" s="19" t="s">
        <v>6171</v>
      </c>
      <c r="V486" s="19">
        <v>538</v>
      </c>
      <c r="W486" s="115">
        <v>2055.3485930000002</v>
      </c>
      <c r="X486" s="115">
        <f t="shared" si="76"/>
        <v>1105777.5430340001</v>
      </c>
      <c r="Y486" s="252" t="s">
        <v>5060</v>
      </c>
      <c r="Z486" t="s">
        <v>25</v>
      </c>
      <c r="AI486" s="147">
        <v>206</v>
      </c>
      <c r="AJ486" s="147" t="s">
        <v>6309</v>
      </c>
      <c r="AK486" s="185">
        <v>5082711</v>
      </c>
      <c r="AL486" s="147">
        <v>89</v>
      </c>
      <c r="AM486" s="147">
        <f t="shared" si="89"/>
        <v>287</v>
      </c>
      <c r="AN486" s="147">
        <f t="shared" si="90"/>
        <v>1458738057</v>
      </c>
      <c r="AO486" s="147" t="s">
        <v>6310</v>
      </c>
      <c r="AS486" t="s">
        <v>25</v>
      </c>
    </row>
    <row r="487" spans="18:47">
      <c r="R487" s="97" t="s">
        <v>5597</v>
      </c>
      <c r="S487" s="93">
        <v>11538335.631417999</v>
      </c>
      <c r="U487" s="19" t="s">
        <v>6173</v>
      </c>
      <c r="V487" s="19">
        <v>1031</v>
      </c>
      <c r="W487" s="115">
        <v>2245.620621</v>
      </c>
      <c r="X487" s="115">
        <f t="shared" si="76"/>
        <v>2315234.8602510002</v>
      </c>
      <c r="Y487" s="252" t="s">
        <v>5060</v>
      </c>
      <c r="Z487" t="s">
        <v>25</v>
      </c>
      <c r="AB487" t="s">
        <v>25</v>
      </c>
      <c r="AI487" s="147">
        <v>207</v>
      </c>
      <c r="AJ487" s="147" t="s">
        <v>6717</v>
      </c>
      <c r="AK487" s="185">
        <v>7300000</v>
      </c>
      <c r="AL487" s="147">
        <v>0</v>
      </c>
      <c r="AM487" s="147">
        <f t="shared" si="89"/>
        <v>198</v>
      </c>
      <c r="AN487" s="147">
        <f t="shared" si="90"/>
        <v>1445400000</v>
      </c>
      <c r="AO487" s="147" t="s">
        <v>6719</v>
      </c>
    </row>
    <row r="488" spans="18:47">
      <c r="R488" s="97" t="s">
        <v>5605</v>
      </c>
      <c r="S488" s="93">
        <v>12429517.767776001</v>
      </c>
      <c r="U488" s="19" t="s">
        <v>6174</v>
      </c>
      <c r="V488" s="19">
        <v>1804</v>
      </c>
      <c r="W488" s="115">
        <v>2292.882846</v>
      </c>
      <c r="X488" s="115">
        <f t="shared" si="76"/>
        <v>4136360.6541840001</v>
      </c>
      <c r="Y488" s="252" t="s">
        <v>5060</v>
      </c>
      <c r="AB488" t="s">
        <v>25</v>
      </c>
      <c r="AI488" s="20">
        <v>208</v>
      </c>
      <c r="AJ488" s="20" t="s">
        <v>6717</v>
      </c>
      <c r="AK488" s="115">
        <v>7000000</v>
      </c>
      <c r="AL488" s="20">
        <v>135</v>
      </c>
      <c r="AM488" s="20">
        <f t="shared" si="89"/>
        <v>198</v>
      </c>
      <c r="AN488" s="20">
        <f t="shared" si="90"/>
        <v>1386000000</v>
      </c>
      <c r="AO488" s="20" t="s">
        <v>5743</v>
      </c>
    </row>
    <row r="489" spans="18:47">
      <c r="R489" s="97" t="s">
        <v>5607</v>
      </c>
      <c r="S489" s="93">
        <v>5031176.5087869996</v>
      </c>
      <c r="U489" s="19" t="s">
        <v>6175</v>
      </c>
      <c r="V489" s="19">
        <v>1348</v>
      </c>
      <c r="W489" s="115">
        <v>2252.0137020000002</v>
      </c>
      <c r="X489" s="115">
        <f t="shared" si="76"/>
        <v>3035714.4702960001</v>
      </c>
      <c r="Y489" s="252" t="s">
        <v>5060</v>
      </c>
      <c r="AI489" s="147">
        <v>209</v>
      </c>
      <c r="AJ489" s="147" t="s">
        <v>6790</v>
      </c>
      <c r="AK489" s="185">
        <v>-20000000</v>
      </c>
      <c r="AL489" s="147">
        <v>0</v>
      </c>
      <c r="AM489" s="147">
        <f t="shared" si="89"/>
        <v>63</v>
      </c>
      <c r="AN489" s="147">
        <f t="shared" si="90"/>
        <v>-1260000000</v>
      </c>
      <c r="AO489" s="147" t="s">
        <v>6794</v>
      </c>
    </row>
    <row r="490" spans="18:47">
      <c r="R490" s="97" t="s">
        <v>5611</v>
      </c>
      <c r="S490" s="93">
        <v>6822803.9080700008</v>
      </c>
      <c r="U490" s="19" t="s">
        <v>6182</v>
      </c>
      <c r="V490" s="19">
        <v>-76536</v>
      </c>
      <c r="W490" s="115">
        <v>2350.6086869999999</v>
      </c>
      <c r="X490" s="115">
        <f t="shared" si="76"/>
        <v>-179906186.46823201</v>
      </c>
      <c r="Y490" s="252" t="s">
        <v>6183</v>
      </c>
      <c r="AC490" t="s">
        <v>25</v>
      </c>
      <c r="AI490" s="147">
        <v>210</v>
      </c>
      <c r="AJ490" s="147" t="s">
        <v>6790</v>
      </c>
      <c r="AK490" s="185">
        <v>-59825035</v>
      </c>
      <c r="AL490" s="147">
        <v>0</v>
      </c>
      <c r="AM490" s="147">
        <f t="shared" si="89"/>
        <v>63</v>
      </c>
      <c r="AN490" s="147">
        <f t="shared" si="90"/>
        <v>-3768977205</v>
      </c>
      <c r="AO490" s="147" t="s">
        <v>5741</v>
      </c>
    </row>
    <row r="491" spans="18:47">
      <c r="R491" s="97" t="s">
        <v>5619</v>
      </c>
      <c r="S491" s="93">
        <v>330889.73324399994</v>
      </c>
      <c r="U491" s="19" t="s">
        <v>6185</v>
      </c>
      <c r="V491" s="19">
        <v>145</v>
      </c>
      <c r="W491" s="115">
        <v>2379.7882030000001</v>
      </c>
      <c r="X491" s="115">
        <f t="shared" si="76"/>
        <v>345069.28943499998</v>
      </c>
      <c r="Y491" s="252" t="s">
        <v>5060</v>
      </c>
      <c r="Z491" t="s">
        <v>25</v>
      </c>
      <c r="AB491" t="s">
        <v>25</v>
      </c>
      <c r="AI491" s="20">
        <v>211</v>
      </c>
      <c r="AJ491" s="20" t="s">
        <v>6790</v>
      </c>
      <c r="AK491" s="115">
        <v>-450269000</v>
      </c>
      <c r="AL491" s="20">
        <v>1</v>
      </c>
      <c r="AM491" s="20">
        <f t="shared" si="89"/>
        <v>63</v>
      </c>
      <c r="AN491" s="20">
        <f t="shared" si="90"/>
        <v>-28366947000</v>
      </c>
      <c r="AO491" s="20" t="s">
        <v>5740</v>
      </c>
      <c r="AT491" t="s">
        <v>25</v>
      </c>
    </row>
    <row r="492" spans="18:47">
      <c r="R492" s="97" t="s">
        <v>5620</v>
      </c>
      <c r="S492" s="93">
        <v>6610318.1610199995</v>
      </c>
      <c r="U492" s="186" t="s">
        <v>6185</v>
      </c>
      <c r="V492" s="186">
        <v>55</v>
      </c>
      <c r="W492" s="185">
        <v>2379.7882030000001</v>
      </c>
      <c r="X492" s="185">
        <f t="shared" si="76"/>
        <v>130888.351165</v>
      </c>
      <c r="Y492" s="251" t="s">
        <v>6270</v>
      </c>
      <c r="AA492" t="s">
        <v>25</v>
      </c>
      <c r="AI492" s="20">
        <v>212</v>
      </c>
      <c r="AJ492" s="20" t="s">
        <v>6798</v>
      </c>
      <c r="AK492" s="115">
        <v>50000000</v>
      </c>
      <c r="AL492" s="20">
        <v>1</v>
      </c>
      <c r="AM492" s="20">
        <f t="shared" si="89"/>
        <v>62</v>
      </c>
      <c r="AN492" s="20">
        <f t="shared" si="90"/>
        <v>3100000000</v>
      </c>
      <c r="AO492" s="20" t="s">
        <v>5743</v>
      </c>
      <c r="AS492" t="s">
        <v>25</v>
      </c>
      <c r="AT492" t="s">
        <v>25</v>
      </c>
    </row>
    <row r="493" spans="18:47">
      <c r="R493" s="97" t="s">
        <v>5621</v>
      </c>
      <c r="S493" s="93">
        <v>710713.17725199996</v>
      </c>
      <c r="U493" s="19" t="s">
        <v>6185</v>
      </c>
      <c r="V493" s="19">
        <v>53</v>
      </c>
      <c r="W493" s="115">
        <v>2379.7882030000001</v>
      </c>
      <c r="X493" s="115">
        <f t="shared" si="76"/>
        <v>126128.77475900001</v>
      </c>
      <c r="Y493" s="252" t="s">
        <v>6271</v>
      </c>
      <c r="AA493" t="s">
        <v>25</v>
      </c>
      <c r="AI493" s="20">
        <v>213</v>
      </c>
      <c r="AJ493" s="20" t="s">
        <v>6804</v>
      </c>
      <c r="AK493" s="115">
        <v>50000000</v>
      </c>
      <c r="AL493" s="20">
        <v>1</v>
      </c>
      <c r="AM493" s="20">
        <f t="shared" ref="AM493:AM509" si="91">AL493+AM494</f>
        <v>61</v>
      </c>
      <c r="AN493" s="20">
        <f t="shared" ref="AN493:AN509" si="92">AK493*AM493</f>
        <v>3050000000</v>
      </c>
      <c r="AO493" s="20" t="s">
        <v>5743</v>
      </c>
      <c r="AS493" t="s">
        <v>25</v>
      </c>
      <c r="AT493" t="s">
        <v>25</v>
      </c>
      <c r="AU493" s="94" t="s">
        <v>25</v>
      </c>
    </row>
    <row r="494" spans="18:47">
      <c r="R494" s="97" t="s">
        <v>5624</v>
      </c>
      <c r="S494" s="93">
        <v>81025</v>
      </c>
      <c r="U494" s="19" t="s">
        <v>6274</v>
      </c>
      <c r="V494" s="19">
        <v>243</v>
      </c>
      <c r="W494" s="115">
        <v>2336.5653440000001</v>
      </c>
      <c r="X494" s="115">
        <f t="shared" si="76"/>
        <v>567785.37859199999</v>
      </c>
      <c r="Y494" s="252" t="s">
        <v>5060</v>
      </c>
      <c r="AI494" s="20">
        <v>214</v>
      </c>
      <c r="AJ494" s="20" t="s">
        <v>6805</v>
      </c>
      <c r="AK494" s="115">
        <v>50000000</v>
      </c>
      <c r="AL494" s="20">
        <v>1</v>
      </c>
      <c r="AM494" s="20">
        <f t="shared" si="91"/>
        <v>60</v>
      </c>
      <c r="AN494" s="20">
        <f t="shared" si="92"/>
        <v>3000000000</v>
      </c>
      <c r="AO494" s="20" t="s">
        <v>5743</v>
      </c>
      <c r="AR494" t="s">
        <v>25</v>
      </c>
    </row>
    <row r="495" spans="18:47">
      <c r="R495" s="97" t="s">
        <v>5625</v>
      </c>
      <c r="S495" s="93">
        <v>219696.613128</v>
      </c>
      <c r="U495" s="19" t="s">
        <v>6280</v>
      </c>
      <c r="V495" s="19">
        <v>81</v>
      </c>
      <c r="W495" s="115">
        <v>2341.77675</v>
      </c>
      <c r="X495" s="115">
        <f t="shared" si="76"/>
        <v>189683.91675</v>
      </c>
      <c r="Y495" s="252" t="s">
        <v>5060</v>
      </c>
      <c r="Z495" t="s">
        <v>25</v>
      </c>
      <c r="AI495" s="20">
        <v>215</v>
      </c>
      <c r="AJ495" s="20" t="s">
        <v>6806</v>
      </c>
      <c r="AK495" s="115">
        <v>50000000</v>
      </c>
      <c r="AL495" s="20">
        <v>1</v>
      </c>
      <c r="AM495" s="20">
        <f t="shared" si="91"/>
        <v>59</v>
      </c>
      <c r="AN495" s="20">
        <f t="shared" si="92"/>
        <v>2950000000</v>
      </c>
      <c r="AO495" s="20" t="s">
        <v>5743</v>
      </c>
    </row>
    <row r="496" spans="18:47">
      <c r="R496" s="97" t="s">
        <v>5626</v>
      </c>
      <c r="S496" s="93">
        <v>6035472.4070199998</v>
      </c>
      <c r="U496" s="186" t="s">
        <v>6281</v>
      </c>
      <c r="V496" s="186">
        <v>21767</v>
      </c>
      <c r="W496" s="185">
        <v>2297.060872</v>
      </c>
      <c r="X496" s="185">
        <f t="shared" si="76"/>
        <v>50000124.000823997</v>
      </c>
      <c r="Y496" s="251" t="s">
        <v>6283</v>
      </c>
      <c r="AC496" t="s">
        <v>25</v>
      </c>
      <c r="AI496" s="20">
        <v>216</v>
      </c>
      <c r="AJ496" s="20" t="s">
        <v>6807</v>
      </c>
      <c r="AK496" s="115">
        <v>100000000</v>
      </c>
      <c r="AL496" s="20">
        <v>1</v>
      </c>
      <c r="AM496" s="20">
        <f t="shared" si="91"/>
        <v>58</v>
      </c>
      <c r="AN496" s="20">
        <f t="shared" si="92"/>
        <v>5800000000</v>
      </c>
      <c r="AO496" s="20" t="s">
        <v>5743</v>
      </c>
    </row>
    <row r="497" spans="18:45">
      <c r="R497" s="97" t="s">
        <v>5627</v>
      </c>
      <c r="S497" s="93">
        <v>984486.34963200008</v>
      </c>
      <c r="U497" s="19" t="s">
        <v>6281</v>
      </c>
      <c r="V497" s="19">
        <v>4353</v>
      </c>
      <c r="W497" s="115">
        <v>2297.060872</v>
      </c>
      <c r="X497" s="115">
        <f t="shared" si="76"/>
        <v>9999105.9758160003</v>
      </c>
      <c r="Y497" s="252" t="s">
        <v>6284</v>
      </c>
      <c r="AA497" t="s">
        <v>25</v>
      </c>
      <c r="AI497" s="20">
        <v>217</v>
      </c>
      <c r="AJ497" s="20" t="s">
        <v>6809</v>
      </c>
      <c r="AK497" s="115">
        <v>50000000</v>
      </c>
      <c r="AL497" s="20">
        <v>1</v>
      </c>
      <c r="AM497" s="20">
        <f t="shared" si="91"/>
        <v>57</v>
      </c>
      <c r="AN497" s="20">
        <f t="shared" si="92"/>
        <v>2850000000</v>
      </c>
      <c r="AO497" s="20" t="s">
        <v>5743</v>
      </c>
    </row>
    <row r="498" spans="18:45">
      <c r="R498" s="97" t="s">
        <v>5637</v>
      </c>
      <c r="S498" s="93">
        <v>2143469.938015</v>
      </c>
      <c r="U498" s="19" t="s">
        <v>6281</v>
      </c>
      <c r="V498" s="19">
        <v>226</v>
      </c>
      <c r="W498" s="115">
        <v>2297.060872</v>
      </c>
      <c r="X498" s="115">
        <f t="shared" si="76"/>
        <v>519135.75707200001</v>
      </c>
      <c r="Y498" s="252" t="s">
        <v>5060</v>
      </c>
      <c r="AB498" t="s">
        <v>25</v>
      </c>
      <c r="AI498" s="20">
        <v>218</v>
      </c>
      <c r="AJ498" s="20" t="s">
        <v>6811</v>
      </c>
      <c r="AK498" s="115">
        <v>65511600</v>
      </c>
      <c r="AL498" s="20">
        <v>1</v>
      </c>
      <c r="AM498" s="20">
        <f t="shared" si="91"/>
        <v>56</v>
      </c>
      <c r="AN498" s="20">
        <f t="shared" si="92"/>
        <v>3668649600</v>
      </c>
      <c r="AO498" s="20" t="s">
        <v>5743</v>
      </c>
      <c r="AS498" t="s">
        <v>25</v>
      </c>
    </row>
    <row r="499" spans="18:45">
      <c r="R499" s="97" t="s">
        <v>5638</v>
      </c>
      <c r="S499" s="93">
        <v>3085460.5177150001</v>
      </c>
      <c r="U499" s="19" t="s">
        <v>6287</v>
      </c>
      <c r="V499" s="19">
        <v>1416</v>
      </c>
      <c r="W499" s="115">
        <v>2405.6595360000001</v>
      </c>
      <c r="X499" s="115">
        <f t="shared" si="76"/>
        <v>3406413.9029760002</v>
      </c>
      <c r="Y499" s="252" t="s">
        <v>5060</v>
      </c>
      <c r="AA499" t="s">
        <v>25</v>
      </c>
      <c r="AC499" t="s">
        <v>25</v>
      </c>
      <c r="AI499" s="20">
        <v>219</v>
      </c>
      <c r="AJ499" s="20" t="s">
        <v>6815</v>
      </c>
      <c r="AK499" s="115">
        <v>25000000</v>
      </c>
      <c r="AL499" s="20">
        <v>25</v>
      </c>
      <c r="AM499" s="20">
        <f t="shared" si="91"/>
        <v>55</v>
      </c>
      <c r="AN499" s="20">
        <f t="shared" si="92"/>
        <v>1375000000</v>
      </c>
      <c r="AO499" s="20" t="s">
        <v>5743</v>
      </c>
    </row>
    <row r="500" spans="18:45">
      <c r="R500" s="97" t="s">
        <v>5639</v>
      </c>
      <c r="S500" s="93">
        <v>8261456.790906</v>
      </c>
      <c r="U500" s="19" t="s">
        <v>6288</v>
      </c>
      <c r="V500" s="19">
        <v>172</v>
      </c>
      <c r="W500" s="115">
        <v>2529.2810939999999</v>
      </c>
      <c r="X500" s="115">
        <f t="shared" si="76"/>
        <v>435036.348168</v>
      </c>
      <c r="Y500" s="252" t="s">
        <v>5060</v>
      </c>
      <c r="AA500" t="s">
        <v>25</v>
      </c>
      <c r="AI500" s="147">
        <v>220</v>
      </c>
      <c r="AJ500" s="147" t="s">
        <v>6830</v>
      </c>
      <c r="AK500" s="185">
        <v>-15162600</v>
      </c>
      <c r="AL500" s="147">
        <v>7</v>
      </c>
      <c r="AM500" s="20">
        <f t="shared" si="91"/>
        <v>30</v>
      </c>
      <c r="AN500" s="20">
        <f t="shared" si="92"/>
        <v>-454878000</v>
      </c>
      <c r="AO500" s="147" t="s">
        <v>6859</v>
      </c>
      <c r="AQ500" t="s">
        <v>25</v>
      </c>
    </row>
    <row r="501" spans="18:45">
      <c r="R501" s="97" t="s">
        <v>5643</v>
      </c>
      <c r="S501" s="93">
        <v>6572373.7593120001</v>
      </c>
      <c r="U501" s="19" t="s">
        <v>6292</v>
      </c>
      <c r="V501" s="19">
        <v>-3909</v>
      </c>
      <c r="W501" s="115">
        <v>2881.8852230000002</v>
      </c>
      <c r="X501" s="115">
        <f>V501*W501</f>
        <v>-11265289.336707002</v>
      </c>
      <c r="Y501" s="252" t="s">
        <v>6293</v>
      </c>
      <c r="AC501" t="s">
        <v>25</v>
      </c>
      <c r="AI501" s="147">
        <v>221</v>
      </c>
      <c r="AJ501" s="147" t="s">
        <v>6835</v>
      </c>
      <c r="AK501" s="185">
        <v>-10216551.764954999</v>
      </c>
      <c r="AL501" s="147">
        <v>4</v>
      </c>
      <c r="AM501" s="20">
        <f t="shared" si="91"/>
        <v>23</v>
      </c>
      <c r="AN501" s="20">
        <f t="shared" si="92"/>
        <v>-234980690.59396499</v>
      </c>
      <c r="AO501" s="147" t="s">
        <v>6859</v>
      </c>
    </row>
    <row r="502" spans="18:45">
      <c r="R502" s="97" t="s">
        <v>5644</v>
      </c>
      <c r="S502" s="93">
        <v>2893243.5730909999</v>
      </c>
      <c r="U502" s="186" t="s">
        <v>6292</v>
      </c>
      <c r="V502" s="186">
        <v>-932</v>
      </c>
      <c r="W502" s="185">
        <v>2881.8852230000002</v>
      </c>
      <c r="X502" s="185">
        <f t="shared" si="76"/>
        <v>-2685917.0278360001</v>
      </c>
      <c r="Y502" s="251" t="s">
        <v>6294</v>
      </c>
      <c r="AB502" t="s">
        <v>25</v>
      </c>
      <c r="AI502" s="147">
        <v>222</v>
      </c>
      <c r="AJ502" s="147" t="s">
        <v>6840</v>
      </c>
      <c r="AK502" s="185">
        <v>-5095614.0723999999</v>
      </c>
      <c r="AL502" s="147">
        <v>18</v>
      </c>
      <c r="AM502" s="20">
        <f t="shared" si="91"/>
        <v>19</v>
      </c>
      <c r="AN502" s="20">
        <f t="shared" si="92"/>
        <v>-96816667.375599995</v>
      </c>
      <c r="AO502" s="147" t="s">
        <v>6859</v>
      </c>
    </row>
    <row r="503" spans="18:45">
      <c r="R503" s="97" t="s">
        <v>5647</v>
      </c>
      <c r="S503" s="93">
        <v>94992058.939007998</v>
      </c>
      <c r="U503" s="19" t="s">
        <v>6301</v>
      </c>
      <c r="V503" s="19">
        <v>33</v>
      </c>
      <c r="W503" s="115">
        <v>2905.0202519999998</v>
      </c>
      <c r="X503" s="115">
        <f t="shared" si="76"/>
        <v>95865.668315999996</v>
      </c>
      <c r="Y503" s="252" t="s">
        <v>4381</v>
      </c>
      <c r="AI503" s="147">
        <v>223</v>
      </c>
      <c r="AJ503" s="147" t="s">
        <v>6851</v>
      </c>
      <c r="AK503" s="185">
        <v>-5464072.8466919996</v>
      </c>
      <c r="AL503" s="147">
        <v>0</v>
      </c>
      <c r="AM503" s="20">
        <f t="shared" si="91"/>
        <v>1</v>
      </c>
      <c r="AN503" s="20">
        <f t="shared" si="92"/>
        <v>-5464072.8466919996</v>
      </c>
      <c r="AO503" s="147" t="s">
        <v>6294</v>
      </c>
    </row>
    <row r="504" spans="18:45">
      <c r="R504" s="97" t="s">
        <v>5652</v>
      </c>
      <c r="S504" s="93">
        <v>275021.925965</v>
      </c>
      <c r="U504" s="186" t="s">
        <v>6309</v>
      </c>
      <c r="V504" s="186">
        <v>10421</v>
      </c>
      <c r="W504" s="185">
        <v>2780.2819920000002</v>
      </c>
      <c r="X504" s="185">
        <f t="shared" si="76"/>
        <v>28973318.638632003</v>
      </c>
      <c r="Y504" s="251" t="s">
        <v>6311</v>
      </c>
      <c r="AI504" s="20">
        <v>224</v>
      </c>
      <c r="AJ504" s="20" t="s">
        <v>6860</v>
      </c>
      <c r="AK504" s="115">
        <v>-35642178</v>
      </c>
      <c r="AL504" s="20">
        <v>1</v>
      </c>
      <c r="AM504" s="20">
        <f t="shared" si="91"/>
        <v>1</v>
      </c>
      <c r="AN504" s="20">
        <f t="shared" si="92"/>
        <v>-35642178</v>
      </c>
      <c r="AO504" s="20" t="s">
        <v>6854</v>
      </c>
    </row>
    <row r="505" spans="18:45">
      <c r="R505" s="97" t="s">
        <v>5662</v>
      </c>
      <c r="S505" s="93">
        <v>327451.9203</v>
      </c>
      <c r="U505" s="19" t="s">
        <v>6309</v>
      </c>
      <c r="V505" s="19">
        <v>835</v>
      </c>
      <c r="W505" s="115">
        <v>2780.2819920000002</v>
      </c>
      <c r="X505" s="115">
        <f t="shared" si="76"/>
        <v>2321535.4633200001</v>
      </c>
      <c r="Y505" s="252" t="s">
        <v>5060</v>
      </c>
      <c r="AI505" s="20"/>
      <c r="AJ505" s="20"/>
      <c r="AK505" s="115"/>
      <c r="AL505" s="20"/>
      <c r="AM505" s="20">
        <f t="shared" si="91"/>
        <v>0</v>
      </c>
      <c r="AN505" s="20">
        <f t="shared" si="92"/>
        <v>0</v>
      </c>
      <c r="AO505" s="20"/>
    </row>
    <row r="506" spans="18:45">
      <c r="R506" s="97" t="s">
        <v>5670</v>
      </c>
      <c r="S506" s="93">
        <v>260081.94096800001</v>
      </c>
      <c r="U506" s="19" t="s">
        <v>6590</v>
      </c>
      <c r="V506" s="19">
        <v>410</v>
      </c>
      <c r="W506" s="115">
        <v>2678.4068379999999</v>
      </c>
      <c r="X506" s="115">
        <f t="shared" si="76"/>
        <v>1098146.8035800001</v>
      </c>
      <c r="Y506" s="252" t="s">
        <v>5060</v>
      </c>
      <c r="AI506" s="20"/>
      <c r="AJ506" s="20"/>
      <c r="AK506" s="115"/>
      <c r="AL506" s="20"/>
      <c r="AM506" s="20">
        <f t="shared" si="91"/>
        <v>0</v>
      </c>
      <c r="AN506" s="20">
        <f t="shared" si="92"/>
        <v>0</v>
      </c>
      <c r="AO506" s="20"/>
    </row>
    <row r="507" spans="18:45">
      <c r="R507" s="97" t="s">
        <v>5671</v>
      </c>
      <c r="S507" s="93">
        <v>2909284.5308940001</v>
      </c>
      <c r="U507" s="19" t="s">
        <v>6595</v>
      </c>
      <c r="V507" s="19">
        <v>201</v>
      </c>
      <c r="W507" s="115">
        <v>2688.6794049999999</v>
      </c>
      <c r="X507" s="115">
        <f t="shared" si="76"/>
        <v>540424.560405</v>
      </c>
      <c r="Y507" s="252" t="s">
        <v>5060</v>
      </c>
      <c r="AA507" t="s">
        <v>25</v>
      </c>
      <c r="AI507" s="20"/>
      <c r="AJ507" s="20"/>
      <c r="AK507" s="115"/>
      <c r="AL507" s="20"/>
      <c r="AM507" s="20">
        <f t="shared" si="91"/>
        <v>0</v>
      </c>
      <c r="AN507" s="20">
        <f t="shared" si="92"/>
        <v>0</v>
      </c>
      <c r="AO507" s="20"/>
    </row>
    <row r="508" spans="18:45">
      <c r="R508" s="97" t="s">
        <v>5672</v>
      </c>
      <c r="S508" s="93">
        <v>37723205.094084002</v>
      </c>
      <c r="U508" s="19" t="s">
        <v>6596</v>
      </c>
      <c r="V508" s="19">
        <v>1133</v>
      </c>
      <c r="W508" s="115">
        <v>2455.1740869999999</v>
      </c>
      <c r="X508" s="115">
        <f t="shared" si="76"/>
        <v>2781712.2405709997</v>
      </c>
      <c r="Y508" s="252" t="s">
        <v>5060</v>
      </c>
      <c r="AA508" t="s">
        <v>25</v>
      </c>
      <c r="AB508" t="s">
        <v>25</v>
      </c>
      <c r="AI508" s="20"/>
      <c r="AJ508" s="20"/>
      <c r="AK508" s="115"/>
      <c r="AL508" s="20"/>
      <c r="AM508" s="20">
        <f t="shared" si="91"/>
        <v>0</v>
      </c>
      <c r="AN508" s="20">
        <f t="shared" si="92"/>
        <v>0</v>
      </c>
      <c r="AO508" s="20"/>
    </row>
    <row r="509" spans="18:45">
      <c r="R509" s="97" t="s">
        <v>5673</v>
      </c>
      <c r="S509" s="93">
        <v>1500094.75168</v>
      </c>
      <c r="U509" s="19" t="s">
        <v>6599</v>
      </c>
      <c r="V509" s="19">
        <v>59</v>
      </c>
      <c r="W509" s="115">
        <v>2706.4553110000002</v>
      </c>
      <c r="X509" s="115">
        <f t="shared" si="76"/>
        <v>159680.86334900002</v>
      </c>
      <c r="Y509" s="252" t="s">
        <v>6600</v>
      </c>
      <c r="Z509" t="s">
        <v>25</v>
      </c>
      <c r="AA509" t="s">
        <v>25</v>
      </c>
      <c r="AB509" t="s">
        <v>25</v>
      </c>
      <c r="AI509" s="97"/>
      <c r="AJ509" s="97"/>
      <c r="AK509" s="115"/>
      <c r="AL509" s="97"/>
      <c r="AM509" s="20">
        <f t="shared" si="91"/>
        <v>0</v>
      </c>
      <c r="AN509" s="20">
        <f t="shared" si="92"/>
        <v>0</v>
      </c>
      <c r="AO509" s="20"/>
    </row>
    <row r="510" spans="18:45">
      <c r="R510" s="97" t="s">
        <v>5675</v>
      </c>
      <c r="S510" s="93">
        <v>7230628.4378079996</v>
      </c>
      <c r="U510" s="19" t="s">
        <v>6619</v>
      </c>
      <c r="V510" s="19">
        <v>4795</v>
      </c>
      <c r="W510" s="115">
        <v>2908.4025580000002</v>
      </c>
      <c r="X510" s="115">
        <f t="shared" si="76"/>
        <v>13945790.265610002</v>
      </c>
      <c r="Y510" s="252" t="s">
        <v>5300</v>
      </c>
      <c r="AI510" s="97"/>
      <c r="AJ510" s="97"/>
      <c r="AK510" s="115"/>
      <c r="AL510" s="97"/>
      <c r="AM510" s="20">
        <f>AL510+AM511</f>
        <v>0</v>
      </c>
      <c r="AN510" s="20">
        <f>AK510*AM510</f>
        <v>0</v>
      </c>
      <c r="AO510" s="97"/>
    </row>
    <row r="511" spans="18:45">
      <c r="R511" s="97" t="s">
        <v>5676</v>
      </c>
      <c r="S511" s="93">
        <v>29767389.390390001</v>
      </c>
      <c r="U511" s="19" t="s">
        <v>6621</v>
      </c>
      <c r="V511" s="19">
        <v>164</v>
      </c>
      <c r="W511" s="115">
        <v>2792.1636870000002</v>
      </c>
      <c r="X511" s="115">
        <f t="shared" si="76"/>
        <v>457914.84466800001</v>
      </c>
      <c r="Y511" s="252" t="s">
        <v>5300</v>
      </c>
      <c r="AI511" s="97"/>
      <c r="AJ511" s="97"/>
      <c r="AK511" s="93">
        <f>SUM(AK299:AK510)</f>
        <v>60011936.164180979</v>
      </c>
      <c r="AL511" s="97"/>
      <c r="AM511" s="97"/>
      <c r="AN511" s="97">
        <f>SUM(AN299:AN510)</f>
        <v>194101499872.18375</v>
      </c>
      <c r="AO511" s="93">
        <f>AN511*AO285/31</f>
        <v>104357732.20547377</v>
      </c>
    </row>
    <row r="512" spans="18:45">
      <c r="R512" s="97" t="s">
        <v>5678</v>
      </c>
      <c r="S512" s="93">
        <v>151560.25597</v>
      </c>
      <c r="U512" s="19" t="s">
        <v>6622</v>
      </c>
      <c r="V512" s="19">
        <v>352</v>
      </c>
      <c r="W512" s="115">
        <v>2768.6657369999998</v>
      </c>
      <c r="X512" s="115">
        <f t="shared" si="76"/>
        <v>974570.33942399989</v>
      </c>
      <c r="Y512" s="252" t="s">
        <v>5300</v>
      </c>
      <c r="AK512" t="s">
        <v>4022</v>
      </c>
      <c r="AN512" t="s">
        <v>284</v>
      </c>
      <c r="AO512" t="s">
        <v>907</v>
      </c>
    </row>
    <row r="513" spans="16:41">
      <c r="R513" s="97" t="s">
        <v>5680</v>
      </c>
      <c r="S513" s="93">
        <v>481318.88078800001</v>
      </c>
      <c r="U513" s="19" t="s">
        <v>6623</v>
      </c>
      <c r="V513" s="19">
        <v>283</v>
      </c>
      <c r="W513" s="115">
        <v>2636.7439079999999</v>
      </c>
      <c r="X513" s="115">
        <f t="shared" si="76"/>
        <v>746198.52596400003</v>
      </c>
      <c r="Y513" s="252" t="s">
        <v>5300</v>
      </c>
      <c r="Z513" t="s">
        <v>25</v>
      </c>
    </row>
    <row r="514" spans="16:41">
      <c r="R514" s="97" t="s">
        <v>5691</v>
      </c>
      <c r="S514" s="93">
        <v>146277.56820000001</v>
      </c>
      <c r="U514" s="19" t="s">
        <v>6625</v>
      </c>
      <c r="V514" s="19">
        <v>154</v>
      </c>
      <c r="W514" s="115">
        <v>2702</v>
      </c>
      <c r="X514" s="115">
        <f t="shared" si="76"/>
        <v>416108</v>
      </c>
      <c r="Y514" s="252" t="s">
        <v>5300</v>
      </c>
      <c r="Z514" t="s">
        <v>25</v>
      </c>
      <c r="AA514" t="s">
        <v>25</v>
      </c>
      <c r="AJ514" t="s">
        <v>4024</v>
      </c>
      <c r="AK514" s="112">
        <f>AK511+AO511</f>
        <v>164369668.36965474</v>
      </c>
      <c r="AN514" t="s">
        <v>25</v>
      </c>
    </row>
    <row r="515" spans="16:41">
      <c r="R515" s="97" t="s">
        <v>5694</v>
      </c>
      <c r="S515" s="93">
        <v>424693.40162399999</v>
      </c>
      <c r="U515" s="19" t="s">
        <v>6637</v>
      </c>
      <c r="V515" s="19">
        <v>135</v>
      </c>
      <c r="W515" s="115">
        <v>2678.6709300000002</v>
      </c>
      <c r="X515" s="115">
        <f t="shared" si="76"/>
        <v>361620.57555000001</v>
      </c>
      <c r="Y515" s="252" t="s">
        <v>5300</v>
      </c>
      <c r="AA515" t="s">
        <v>25</v>
      </c>
      <c r="AJ515" t="s">
        <v>4027</v>
      </c>
      <c r="AK515" s="112">
        <f>SUM(N30:N39)</f>
        <v>5205059324</v>
      </c>
    </row>
    <row r="516" spans="16:41">
      <c r="R516" s="97" t="s">
        <v>5696</v>
      </c>
      <c r="S516" s="93">
        <v>558320.40202399995</v>
      </c>
      <c r="U516" s="19" t="s">
        <v>6638</v>
      </c>
      <c r="V516" s="19">
        <v>291</v>
      </c>
      <c r="W516" s="115">
        <v>2616.1873500000002</v>
      </c>
      <c r="X516" s="115">
        <f t="shared" si="76"/>
        <v>761310.51884999999</v>
      </c>
      <c r="Y516" s="252" t="s">
        <v>5300</v>
      </c>
      <c r="AA516" t="s">
        <v>25</v>
      </c>
      <c r="AJ516" t="s">
        <v>4093</v>
      </c>
      <c r="AK516" s="112">
        <f>AK515-AK511</f>
        <v>5145047387.8358192</v>
      </c>
    </row>
    <row r="517" spans="16:41">
      <c r="R517" s="97" t="s">
        <v>5718</v>
      </c>
      <c r="S517" s="93">
        <v>207642.22201140001</v>
      </c>
      <c r="U517" s="19" t="s">
        <v>6639</v>
      </c>
      <c r="V517" s="19">
        <v>1194</v>
      </c>
      <c r="W517" s="115">
        <v>2552.0103049999998</v>
      </c>
      <c r="X517" s="115">
        <f t="shared" si="76"/>
        <v>3047100.3041699999</v>
      </c>
      <c r="Y517" s="252" t="s">
        <v>5300</v>
      </c>
      <c r="Z517" t="s">
        <v>25</v>
      </c>
      <c r="AA517" t="s">
        <v>25</v>
      </c>
      <c r="AJ517" t="s">
        <v>907</v>
      </c>
      <c r="AK517" s="112">
        <f>AO511</f>
        <v>104357732.20547377</v>
      </c>
    </row>
    <row r="518" spans="16:41">
      <c r="R518" s="97" t="s">
        <v>5718</v>
      </c>
      <c r="S518" s="93">
        <v>33832510.64875</v>
      </c>
      <c r="U518" s="19" t="s">
        <v>6641</v>
      </c>
      <c r="V518" s="19">
        <v>928</v>
      </c>
      <c r="W518" s="115">
        <v>2626.1621239999999</v>
      </c>
      <c r="X518" s="115">
        <f t="shared" si="76"/>
        <v>2437078.451072</v>
      </c>
      <c r="Y518" s="252" t="s">
        <v>5300</v>
      </c>
      <c r="AJ518" t="s">
        <v>4028</v>
      </c>
      <c r="AK518" s="112">
        <f>AK516-AK517</f>
        <v>5040689655.6303453</v>
      </c>
      <c r="AN518" t="s">
        <v>25</v>
      </c>
      <c r="AO518" t="s">
        <v>25</v>
      </c>
    </row>
    <row r="519" spans="16:41">
      <c r="R519" s="97" t="s">
        <v>5727</v>
      </c>
      <c r="S519" s="93">
        <v>637977.33504399995</v>
      </c>
      <c r="U519" s="186" t="s">
        <v>6695</v>
      </c>
      <c r="V519" s="186">
        <v>-15181</v>
      </c>
      <c r="W519" s="185">
        <v>2675.3319820000002</v>
      </c>
      <c r="X519" s="185">
        <f t="shared" si="76"/>
        <v>-40614214.818742</v>
      </c>
      <c r="Y519" s="251" t="s">
        <v>6696</v>
      </c>
      <c r="AB519" t="s">
        <v>25</v>
      </c>
      <c r="AM519" t="s">
        <v>25</v>
      </c>
      <c r="AN519" t="s">
        <v>25</v>
      </c>
      <c r="AO519" t="s">
        <v>25</v>
      </c>
    </row>
    <row r="520" spans="16:41">
      <c r="R520" s="97" t="s">
        <v>5728</v>
      </c>
      <c r="S520" s="93">
        <v>466552.25632400002</v>
      </c>
      <c r="U520" s="19" t="s">
        <v>6715</v>
      </c>
      <c r="V520" s="19">
        <v>3122</v>
      </c>
      <c r="W520" s="115">
        <v>2481.626972</v>
      </c>
      <c r="X520" s="115">
        <f t="shared" si="76"/>
        <v>7747639.4065840002</v>
      </c>
      <c r="Y520" s="252" t="s">
        <v>5300</v>
      </c>
    </row>
    <row r="521" spans="16:41">
      <c r="R521" s="97" t="s">
        <v>5729</v>
      </c>
      <c r="S521" s="93">
        <v>149316.98805000001</v>
      </c>
      <c r="U521" s="19" t="s">
        <v>6716</v>
      </c>
      <c r="V521" s="19">
        <v>2209</v>
      </c>
      <c r="W521" s="115">
        <v>2528.2563839999998</v>
      </c>
      <c r="X521" s="115">
        <f t="shared" si="76"/>
        <v>5584918.3522559991</v>
      </c>
      <c r="Y521" s="252" t="s">
        <v>5300</v>
      </c>
      <c r="Z521" t="s">
        <v>25</v>
      </c>
    </row>
    <row r="522" spans="16:41">
      <c r="R522" s="97" t="s">
        <v>5729</v>
      </c>
      <c r="S522" s="93">
        <v>189134.85153000001</v>
      </c>
      <c r="U522" s="186" t="s">
        <v>6717</v>
      </c>
      <c r="V522" s="186">
        <v>2977</v>
      </c>
      <c r="W522" s="185">
        <v>2451.5674020000001</v>
      </c>
      <c r="X522" s="185">
        <f t="shared" si="76"/>
        <v>7298316.1557539999</v>
      </c>
      <c r="Y522" s="251" t="s">
        <v>1050</v>
      </c>
      <c r="Z522" t="s">
        <v>25</v>
      </c>
      <c r="AO522" t="s">
        <v>25</v>
      </c>
    </row>
    <row r="523" spans="16:41">
      <c r="R523" s="97" t="s">
        <v>5731</v>
      </c>
      <c r="S523" s="93">
        <v>564888.82799599995</v>
      </c>
      <c r="U523" s="19" t="s">
        <v>6717</v>
      </c>
      <c r="V523" s="19">
        <v>2857</v>
      </c>
      <c r="W523" s="115">
        <v>2451.5674020000001</v>
      </c>
      <c r="X523" s="115">
        <f t="shared" si="76"/>
        <v>7004128.0675140005</v>
      </c>
      <c r="Y523" s="252" t="s">
        <v>724</v>
      </c>
      <c r="AO523" t="s">
        <v>25</v>
      </c>
    </row>
    <row r="524" spans="16:41">
      <c r="R524" s="97" t="s">
        <v>5734</v>
      </c>
      <c r="S524" s="93">
        <v>8762299.2047910001</v>
      </c>
      <c r="U524" s="19" t="s">
        <v>6717</v>
      </c>
      <c r="V524" s="19">
        <v>234</v>
      </c>
      <c r="W524" s="115">
        <v>2451.5674020000001</v>
      </c>
      <c r="X524" s="115">
        <f t="shared" si="76"/>
        <v>573666.77206800005</v>
      </c>
      <c r="Y524" s="252" t="s">
        <v>5060</v>
      </c>
      <c r="Z524" t="s">
        <v>25</v>
      </c>
    </row>
    <row r="525" spans="16:41">
      <c r="R525" s="97" t="s">
        <v>5734</v>
      </c>
      <c r="S525" s="93">
        <v>-341847876.93843603</v>
      </c>
      <c r="U525" s="19" t="s">
        <v>6721</v>
      </c>
      <c r="V525" s="19">
        <v>751</v>
      </c>
      <c r="W525" s="115">
        <v>2490.0381539999998</v>
      </c>
      <c r="X525" s="115">
        <f t="shared" si="76"/>
        <v>1870018.6536539998</v>
      </c>
      <c r="Y525" s="252" t="s">
        <v>5060</v>
      </c>
      <c r="AA525" t="s">
        <v>25</v>
      </c>
    </row>
    <row r="526" spans="16:41">
      <c r="R526" s="97" t="s">
        <v>5756</v>
      </c>
      <c r="S526" s="93">
        <v>259993.58394100002</v>
      </c>
      <c r="U526" s="19" t="s">
        <v>6725</v>
      </c>
      <c r="V526" s="19">
        <v>44</v>
      </c>
      <c r="W526" s="115">
        <v>2664.1462569999999</v>
      </c>
      <c r="X526" s="115">
        <f t="shared" si="76"/>
        <v>117222.435308</v>
      </c>
      <c r="Y526" s="252" t="s">
        <v>5060</v>
      </c>
      <c r="AA526" t="s">
        <v>25</v>
      </c>
    </row>
    <row r="527" spans="16:41">
      <c r="P527" t="s">
        <v>25</v>
      </c>
      <c r="R527" s="97" t="s">
        <v>5757</v>
      </c>
      <c r="S527" s="93">
        <v>269955.31205999997</v>
      </c>
      <c r="U527" s="19" t="s">
        <v>6726</v>
      </c>
      <c r="V527" s="19">
        <v>717</v>
      </c>
      <c r="W527" s="115">
        <v>2706.9144700000002</v>
      </c>
      <c r="X527" s="115">
        <f t="shared" si="76"/>
        <v>1940857.6749900002</v>
      </c>
      <c r="Y527" s="252" t="s">
        <v>5060</v>
      </c>
    </row>
    <row r="528" spans="16:41">
      <c r="R528" s="97" t="s">
        <v>6112</v>
      </c>
      <c r="S528" s="93">
        <v>560534.38387200003</v>
      </c>
      <c r="U528" s="19" t="s">
        <v>6739</v>
      </c>
      <c r="V528" s="19">
        <v>86686</v>
      </c>
      <c r="W528" s="115">
        <v>2307.1718759999999</v>
      </c>
      <c r="X528" s="115">
        <f t="shared" si="76"/>
        <v>199999501.24293599</v>
      </c>
      <c r="Y528" s="376" t="s">
        <v>6742</v>
      </c>
      <c r="Z528" t="s">
        <v>25</v>
      </c>
    </row>
    <row r="529" spans="15:28">
      <c r="R529" s="97" t="s">
        <v>6114</v>
      </c>
      <c r="S529" s="93">
        <v>581484.96802499995</v>
      </c>
      <c r="U529" s="19" t="s">
        <v>6745</v>
      </c>
      <c r="V529" s="19">
        <v>81</v>
      </c>
      <c r="W529" s="115">
        <v>2411.414808</v>
      </c>
      <c r="X529" s="115">
        <f t="shared" si="76"/>
        <v>195324.59944799999</v>
      </c>
      <c r="Y529" s="252" t="s">
        <v>5060</v>
      </c>
      <c r="AA529" t="s">
        <v>25</v>
      </c>
      <c r="AB529" t="s">
        <v>25</v>
      </c>
    </row>
    <row r="530" spans="15:28">
      <c r="R530" s="97" t="s">
        <v>6116</v>
      </c>
      <c r="S530" s="93">
        <v>2136964.3409779998</v>
      </c>
      <c r="U530" s="19" t="s">
        <v>6745</v>
      </c>
      <c r="V530" s="19">
        <v>8426</v>
      </c>
      <c r="W530" s="115">
        <v>2411.414808</v>
      </c>
      <c r="X530" s="115">
        <f t="shared" si="76"/>
        <v>20318581.172208</v>
      </c>
      <c r="Y530" s="376" t="s">
        <v>6746</v>
      </c>
    </row>
    <row r="531" spans="15:28">
      <c r="R531" s="97" t="s">
        <v>6119</v>
      </c>
      <c r="S531" s="93">
        <v>593783.22629999998</v>
      </c>
      <c r="U531" s="19" t="s">
        <v>6747</v>
      </c>
      <c r="V531" s="19">
        <v>1242</v>
      </c>
      <c r="W531" s="115">
        <v>2330.0938919999999</v>
      </c>
      <c r="X531" s="115">
        <f t="shared" si="76"/>
        <v>2893976.613864</v>
      </c>
      <c r="Y531" s="252" t="s">
        <v>5060</v>
      </c>
    </row>
    <row r="532" spans="15:28">
      <c r="R532" s="97" t="s">
        <v>6123</v>
      </c>
      <c r="S532" s="93">
        <v>469469.96222000004</v>
      </c>
      <c r="U532" s="19" t="s">
        <v>6748</v>
      </c>
      <c r="V532" s="19">
        <v>149</v>
      </c>
      <c r="W532" s="115">
        <v>2336.750747</v>
      </c>
      <c r="X532" s="115">
        <f t="shared" si="76"/>
        <v>348175.86130300001</v>
      </c>
      <c r="Y532" s="252" t="s">
        <v>5060</v>
      </c>
    </row>
    <row r="533" spans="15:28">
      <c r="R533" s="97" t="s">
        <v>6153</v>
      </c>
      <c r="S533" s="93">
        <v>73977944.489465997</v>
      </c>
      <c r="U533" s="19" t="s">
        <v>6750</v>
      </c>
      <c r="V533" s="19">
        <v>125</v>
      </c>
      <c r="W533" s="115">
        <v>2522.243884</v>
      </c>
      <c r="X533" s="115">
        <f t="shared" si="76"/>
        <v>315280.48550000001</v>
      </c>
      <c r="Y533" s="252" t="s">
        <v>5060</v>
      </c>
    </row>
    <row r="534" spans="15:28" ht="30">
      <c r="R534" s="97" t="s">
        <v>6157</v>
      </c>
      <c r="S534" s="93">
        <v>570166.40976800001</v>
      </c>
      <c r="U534" s="19" t="s">
        <v>6750</v>
      </c>
      <c r="V534" s="19">
        <v>2429</v>
      </c>
      <c r="W534" s="115">
        <v>2522.243884</v>
      </c>
      <c r="X534" s="115">
        <f t="shared" si="76"/>
        <v>6126530.3942360003</v>
      </c>
      <c r="Y534" s="252" t="s">
        <v>6751</v>
      </c>
    </row>
    <row r="535" spans="15:28">
      <c r="R535" s="97" t="s">
        <v>6160</v>
      </c>
      <c r="S535" s="93">
        <v>3585319.2317280001</v>
      </c>
      <c r="U535" s="19" t="s">
        <v>6750</v>
      </c>
      <c r="V535" s="19">
        <v>-2429</v>
      </c>
      <c r="W535" s="115">
        <v>2522.243884</v>
      </c>
      <c r="X535" s="115">
        <f t="shared" si="76"/>
        <v>-6126530.3942360003</v>
      </c>
      <c r="Y535" s="376" t="s">
        <v>6752</v>
      </c>
    </row>
    <row r="536" spans="15:28">
      <c r="R536" s="97" t="s">
        <v>6163</v>
      </c>
      <c r="S536" s="93">
        <v>676700.69889600005</v>
      </c>
      <c r="U536" s="19" t="s">
        <v>6754</v>
      </c>
      <c r="V536" s="19">
        <v>73</v>
      </c>
      <c r="W536" s="115">
        <v>2521.1733559999998</v>
      </c>
      <c r="X536" s="115">
        <f t="shared" si="76"/>
        <v>184045.65498799999</v>
      </c>
      <c r="Y536" s="376" t="s">
        <v>5060</v>
      </c>
      <c r="AA536" t="s">
        <v>25</v>
      </c>
    </row>
    <row r="537" spans="15:28">
      <c r="R537" s="97" t="s">
        <v>6171</v>
      </c>
      <c r="S537" s="93">
        <v>1105777.5430340001</v>
      </c>
      <c r="U537" s="19" t="s">
        <v>6766</v>
      </c>
      <c r="V537" s="19">
        <v>1275</v>
      </c>
      <c r="W537" s="115">
        <v>2528.6778709999999</v>
      </c>
      <c r="X537" s="115">
        <f t="shared" si="76"/>
        <v>3224064.2855249997</v>
      </c>
      <c r="Y537" s="376" t="s">
        <v>5060</v>
      </c>
      <c r="AA537" t="s">
        <v>25</v>
      </c>
    </row>
    <row r="538" spans="15:28">
      <c r="R538" s="97" t="s">
        <v>6173</v>
      </c>
      <c r="S538" s="93">
        <v>2315234.8602510002</v>
      </c>
      <c r="U538" s="19" t="s">
        <v>6767</v>
      </c>
      <c r="V538" s="19">
        <v>57</v>
      </c>
      <c r="W538" s="115">
        <v>2549.1635460000002</v>
      </c>
      <c r="X538" s="115">
        <f t="shared" si="76"/>
        <v>145302.32212200001</v>
      </c>
      <c r="Y538" s="376" t="s">
        <v>5060</v>
      </c>
      <c r="Z538" t="s">
        <v>25</v>
      </c>
    </row>
    <row r="539" spans="15:28">
      <c r="O539" s="112"/>
      <c r="R539" s="97" t="s">
        <v>6174</v>
      </c>
      <c r="S539" s="93">
        <v>4136360.6541840001</v>
      </c>
      <c r="U539" s="19" t="s">
        <v>6768</v>
      </c>
      <c r="V539" s="19">
        <v>2730</v>
      </c>
      <c r="W539" s="115">
        <v>2631.5477879999999</v>
      </c>
      <c r="X539" s="115">
        <f t="shared" si="76"/>
        <v>7184125.4612399992</v>
      </c>
      <c r="Y539" s="376" t="s">
        <v>5060</v>
      </c>
    </row>
    <row r="540" spans="15:28">
      <c r="R540" s="97" t="s">
        <v>6175</v>
      </c>
      <c r="S540" s="93">
        <v>3035714.4702960001</v>
      </c>
      <c r="U540" s="19" t="s">
        <v>6770</v>
      </c>
      <c r="V540" s="19">
        <v>3150</v>
      </c>
      <c r="W540" s="115">
        <v>2622.3760240000001</v>
      </c>
      <c r="X540" s="115">
        <f t="shared" si="76"/>
        <v>8260484.4756000005</v>
      </c>
      <c r="Y540" s="376" t="s">
        <v>5060</v>
      </c>
      <c r="Z540" t="s">
        <v>25</v>
      </c>
      <c r="AA540" t="s">
        <v>25</v>
      </c>
    </row>
    <row r="541" spans="15:28">
      <c r="R541" s="97" t="s">
        <v>6182</v>
      </c>
      <c r="S541" s="93">
        <v>-179906186.46823201</v>
      </c>
      <c r="U541" s="19" t="s">
        <v>6771</v>
      </c>
      <c r="V541" s="19">
        <v>1044</v>
      </c>
      <c r="W541" s="115">
        <v>2673.5657609999998</v>
      </c>
      <c r="X541" s="115">
        <f t="shared" si="76"/>
        <v>2791202.6544840001</v>
      </c>
      <c r="Y541" s="376" t="s">
        <v>5060</v>
      </c>
    </row>
    <row r="542" spans="15:28">
      <c r="R542" s="97" t="s">
        <v>6185</v>
      </c>
      <c r="S542" s="93">
        <v>345069.28943499998</v>
      </c>
      <c r="U542" s="19" t="s">
        <v>6772</v>
      </c>
      <c r="V542" s="19">
        <v>90</v>
      </c>
      <c r="W542" s="115">
        <v>2757.13409</v>
      </c>
      <c r="X542" s="115">
        <f t="shared" si="76"/>
        <v>248142.0681</v>
      </c>
      <c r="Y542" s="376" t="s">
        <v>5060</v>
      </c>
      <c r="Z542" t="s">
        <v>25</v>
      </c>
    </row>
    <row r="543" spans="15:28">
      <c r="R543" s="97" t="s">
        <v>6274</v>
      </c>
      <c r="S543" s="93">
        <v>567785.37859199999</v>
      </c>
      <c r="U543" s="186" t="s">
        <v>6790</v>
      </c>
      <c r="V543" s="186">
        <v>-20619</v>
      </c>
      <c r="W543" s="185">
        <v>2901.357</v>
      </c>
      <c r="X543" s="185">
        <f t="shared" si="76"/>
        <v>-59823079.983000003</v>
      </c>
      <c r="Y543" s="410" t="s">
        <v>5741</v>
      </c>
      <c r="Z543" t="s">
        <v>25</v>
      </c>
    </row>
    <row r="544" spans="15:28">
      <c r="R544" s="97" t="s">
        <v>6280</v>
      </c>
      <c r="S544" s="93">
        <v>189683.91675</v>
      </c>
      <c r="U544" s="186" t="s">
        <v>6790</v>
      </c>
      <c r="V544" s="186">
        <v>-6894</v>
      </c>
      <c r="W544" s="185">
        <v>2901.357</v>
      </c>
      <c r="X544" s="185">
        <f t="shared" si="76"/>
        <v>-20001955.158</v>
      </c>
      <c r="Y544" s="410" t="s">
        <v>6791</v>
      </c>
    </row>
    <row r="545" spans="18:28">
      <c r="R545" s="97" t="s">
        <v>6281</v>
      </c>
      <c r="S545" s="93">
        <v>10000000</v>
      </c>
      <c r="U545" s="19" t="s">
        <v>6790</v>
      </c>
      <c r="V545" s="19">
        <v>6894</v>
      </c>
      <c r="W545" s="115">
        <v>2901.357</v>
      </c>
      <c r="X545" s="115">
        <f t="shared" si="76"/>
        <v>20001955.158</v>
      </c>
      <c r="Y545" s="376" t="s">
        <v>6793</v>
      </c>
      <c r="AA545" t="s">
        <v>25</v>
      </c>
    </row>
    <row r="546" spans="18:28">
      <c r="R546" s="97" t="s">
        <v>6281</v>
      </c>
      <c r="S546" s="93">
        <v>519135.75707200001</v>
      </c>
      <c r="U546" s="19" t="s">
        <v>6790</v>
      </c>
      <c r="V546" s="19">
        <v>-193841</v>
      </c>
      <c r="W546" s="115">
        <v>2901.357</v>
      </c>
      <c r="X546" s="115">
        <f t="shared" si="76"/>
        <v>-562401942.23699999</v>
      </c>
      <c r="Y546" s="376" t="s">
        <v>5365</v>
      </c>
      <c r="Z546" t="s">
        <v>25</v>
      </c>
    </row>
    <row r="547" spans="18:28">
      <c r="R547" s="97" t="s">
        <v>6287</v>
      </c>
      <c r="S547" s="93">
        <v>3406413.9029760002</v>
      </c>
      <c r="U547" s="19" t="s">
        <v>6790</v>
      </c>
      <c r="V547" s="19">
        <v>-155192</v>
      </c>
      <c r="W547" s="115">
        <v>2901.357</v>
      </c>
      <c r="X547" s="115">
        <f t="shared" si="76"/>
        <v>-450267395.54399997</v>
      </c>
      <c r="Y547" s="376" t="s">
        <v>5742</v>
      </c>
    </row>
    <row r="548" spans="18:28">
      <c r="R548" s="97" t="s">
        <v>6288</v>
      </c>
      <c r="S548" s="93">
        <v>435036.348168</v>
      </c>
      <c r="U548" s="19" t="s">
        <v>6790</v>
      </c>
      <c r="V548" s="19">
        <v>172</v>
      </c>
      <c r="W548" s="115">
        <v>2901.357</v>
      </c>
      <c r="X548" s="115">
        <f t="shared" si="76"/>
        <v>499033.40399999998</v>
      </c>
      <c r="Y548" s="376" t="s">
        <v>5730</v>
      </c>
    </row>
    <row r="549" spans="18:28">
      <c r="R549" s="97" t="s">
        <v>6309</v>
      </c>
      <c r="S549" s="93">
        <v>2321535.4633200001</v>
      </c>
      <c r="U549" s="19" t="s">
        <v>6790</v>
      </c>
      <c r="V549" s="19">
        <v>1163</v>
      </c>
      <c r="W549" s="115">
        <v>2901.357</v>
      </c>
      <c r="X549" s="115">
        <f t="shared" si="76"/>
        <v>3374278.1910000001</v>
      </c>
      <c r="Y549" s="376" t="s">
        <v>5060</v>
      </c>
    </row>
    <row r="550" spans="18:28">
      <c r="R550" s="97" t="s">
        <v>6590</v>
      </c>
      <c r="S550" s="93">
        <v>1098146.8035800001</v>
      </c>
      <c r="U550" s="19" t="s">
        <v>6798</v>
      </c>
      <c r="V550" s="19">
        <v>17233</v>
      </c>
      <c r="W550" s="115">
        <v>2901.357</v>
      </c>
      <c r="X550" s="115">
        <f t="shared" si="76"/>
        <v>49999085.181000002</v>
      </c>
      <c r="Y550" s="376" t="s">
        <v>6799</v>
      </c>
    </row>
    <row r="551" spans="18:28">
      <c r="R551" s="97" t="s">
        <v>6595</v>
      </c>
      <c r="S551" s="93">
        <v>540424.560405</v>
      </c>
      <c r="U551" s="19" t="s">
        <v>6798</v>
      </c>
      <c r="V551" s="19">
        <v>10340</v>
      </c>
      <c r="W551" s="115">
        <v>2901.357</v>
      </c>
      <c r="X551" s="115">
        <f t="shared" si="76"/>
        <v>30000031.379999999</v>
      </c>
      <c r="Y551" s="376" t="s">
        <v>5730</v>
      </c>
      <c r="AA551" t="s">
        <v>25</v>
      </c>
    </row>
    <row r="552" spans="18:28">
      <c r="R552" s="97" t="s">
        <v>6596</v>
      </c>
      <c r="S552" s="93">
        <v>2781712.2405709997</v>
      </c>
      <c r="U552" s="19" t="s">
        <v>6804</v>
      </c>
      <c r="V552" s="19">
        <v>17234</v>
      </c>
      <c r="W552" s="115">
        <v>2901.357</v>
      </c>
      <c r="X552" s="115">
        <f t="shared" si="76"/>
        <v>50001986.538000003</v>
      </c>
      <c r="Y552" s="376" t="s">
        <v>6799</v>
      </c>
      <c r="AA552" t="s">
        <v>25</v>
      </c>
    </row>
    <row r="553" spans="18:28">
      <c r="R553" s="97" t="s">
        <v>6599</v>
      </c>
      <c r="S553" s="93">
        <v>159680.86334900002</v>
      </c>
      <c r="U553" s="19" t="s">
        <v>6805</v>
      </c>
      <c r="V553" s="19">
        <v>17234</v>
      </c>
      <c r="W553" s="115">
        <v>2901.357</v>
      </c>
      <c r="X553" s="115">
        <f t="shared" si="76"/>
        <v>50001986.538000003</v>
      </c>
      <c r="Y553" s="376" t="s">
        <v>6799</v>
      </c>
      <c r="AA553" t="s">
        <v>25</v>
      </c>
    </row>
    <row r="554" spans="18:28">
      <c r="R554" s="97" t="s">
        <v>6619</v>
      </c>
      <c r="S554" s="93">
        <v>13945790.265610002</v>
      </c>
      <c r="U554" s="19" t="s">
        <v>6805</v>
      </c>
      <c r="V554" s="19">
        <v>17234</v>
      </c>
      <c r="W554" s="115">
        <v>2901.357</v>
      </c>
      <c r="X554" s="115">
        <f t="shared" si="76"/>
        <v>50001986.538000003</v>
      </c>
      <c r="Y554" s="376" t="s">
        <v>6810</v>
      </c>
      <c r="AB554" t="s">
        <v>25</v>
      </c>
    </row>
    <row r="555" spans="18:28">
      <c r="R555" s="97" t="s">
        <v>6621</v>
      </c>
      <c r="S555" s="93">
        <v>457914.84466800001</v>
      </c>
      <c r="U555" s="19" t="s">
        <v>6806</v>
      </c>
      <c r="V555" s="19">
        <v>17233</v>
      </c>
      <c r="W555" s="115">
        <v>2901.357</v>
      </c>
      <c r="X555" s="115">
        <f t="shared" si="76"/>
        <v>49999085.181000002</v>
      </c>
      <c r="Y555" s="376" t="s">
        <v>6799</v>
      </c>
      <c r="AA555" t="s">
        <v>25</v>
      </c>
    </row>
    <row r="556" spans="18:28">
      <c r="R556" s="97" t="s">
        <v>6622</v>
      </c>
      <c r="S556" s="93">
        <v>974570.33942399989</v>
      </c>
      <c r="U556" s="19" t="s">
        <v>6807</v>
      </c>
      <c r="V556" s="19">
        <v>34467</v>
      </c>
      <c r="W556" s="115">
        <v>2901.357</v>
      </c>
      <c r="X556" s="115">
        <f t="shared" si="76"/>
        <v>100001071.719</v>
      </c>
      <c r="Y556" s="376" t="s">
        <v>6799</v>
      </c>
    </row>
    <row r="557" spans="18:28">
      <c r="R557" s="97" t="s">
        <v>6623</v>
      </c>
      <c r="S557" s="93">
        <v>746198.52596400003</v>
      </c>
      <c r="U557" s="19" t="s">
        <v>6809</v>
      </c>
      <c r="V557" s="19">
        <v>17233</v>
      </c>
      <c r="W557" s="115">
        <v>2901.357</v>
      </c>
      <c r="X557" s="115">
        <f t="shared" si="76"/>
        <v>49999085.181000002</v>
      </c>
      <c r="Y557" s="376" t="s">
        <v>6799</v>
      </c>
    </row>
    <row r="558" spans="18:28">
      <c r="R558" s="97" t="s">
        <v>6625</v>
      </c>
      <c r="S558" s="93">
        <v>416108</v>
      </c>
      <c r="U558" s="19" t="s">
        <v>6811</v>
      </c>
      <c r="V558" s="19">
        <v>928</v>
      </c>
      <c r="W558" s="115">
        <v>2820</v>
      </c>
      <c r="X558" s="115">
        <f t="shared" si="76"/>
        <v>2616960</v>
      </c>
      <c r="Y558" s="376" t="s">
        <v>5060</v>
      </c>
    </row>
    <row r="559" spans="18:28">
      <c r="R559" s="97" t="s">
        <v>6637</v>
      </c>
      <c r="S559" s="93">
        <v>361620.57555000001</v>
      </c>
      <c r="U559" s="19" t="s">
        <v>6811</v>
      </c>
      <c r="V559" s="19">
        <v>-3980</v>
      </c>
      <c r="W559" s="115">
        <v>2838.81</v>
      </c>
      <c r="X559" s="115">
        <f t="shared" si="76"/>
        <v>-11298463.799999999</v>
      </c>
      <c r="Y559" s="376" t="s">
        <v>6812</v>
      </c>
    </row>
    <row r="560" spans="18:28">
      <c r="R560" s="97" t="s">
        <v>6638</v>
      </c>
      <c r="S560" s="93">
        <v>761310.51884999999</v>
      </c>
      <c r="U560" s="19" t="s">
        <v>6811</v>
      </c>
      <c r="V560" s="19">
        <v>3980</v>
      </c>
      <c r="W560" s="115">
        <v>2838.81</v>
      </c>
      <c r="X560" s="115">
        <f t="shared" si="76"/>
        <v>11298463.799999999</v>
      </c>
      <c r="Y560" s="376" t="s">
        <v>6813</v>
      </c>
      <c r="AB560" t="s">
        <v>25</v>
      </c>
    </row>
    <row r="561" spans="18:28">
      <c r="R561" s="97" t="s">
        <v>6639</v>
      </c>
      <c r="S561" s="93">
        <v>3047100.3041699999</v>
      </c>
      <c r="U561" s="19" t="s">
        <v>6811</v>
      </c>
      <c r="V561" s="19">
        <v>23077</v>
      </c>
      <c r="W561" s="115">
        <v>2838.81</v>
      </c>
      <c r="X561" s="115">
        <f t="shared" ref="X561:X581" si="93">V561*W561</f>
        <v>65511218.369999997</v>
      </c>
      <c r="Y561" s="376" t="s">
        <v>6814</v>
      </c>
    </row>
    <row r="562" spans="18:28">
      <c r="R562" s="97" t="s">
        <v>6641</v>
      </c>
      <c r="S562" s="93">
        <v>2437078.451072</v>
      </c>
      <c r="U562" s="19" t="s">
        <v>6815</v>
      </c>
      <c r="V562" s="19">
        <v>8806</v>
      </c>
      <c r="W562" s="115">
        <v>2838.81</v>
      </c>
      <c r="X562" s="115">
        <f t="shared" si="93"/>
        <v>24998560.859999999</v>
      </c>
      <c r="Y562" s="376" t="s">
        <v>6814</v>
      </c>
      <c r="AA562" t="s">
        <v>25</v>
      </c>
    </row>
    <row r="563" spans="18:28">
      <c r="R563" s="97" t="s">
        <v>6715</v>
      </c>
      <c r="S563" s="93">
        <v>7747639.4065840002</v>
      </c>
      <c r="U563" s="19" t="s">
        <v>6817</v>
      </c>
      <c r="V563" s="19">
        <v>88</v>
      </c>
      <c r="W563" s="115">
        <v>2881.3336610000001</v>
      </c>
      <c r="X563" s="115">
        <f t="shared" si="93"/>
        <v>253557.36216800002</v>
      </c>
      <c r="Y563" s="376" t="s">
        <v>5060</v>
      </c>
      <c r="AB563" t="s">
        <v>25</v>
      </c>
    </row>
    <row r="564" spans="18:28">
      <c r="R564" s="97" t="s">
        <v>6716</v>
      </c>
      <c r="S564" s="93">
        <v>5584918.3522559991</v>
      </c>
      <c r="U564" s="19" t="s">
        <v>6817</v>
      </c>
      <c r="V564" s="19">
        <v>4729</v>
      </c>
      <c r="W564" s="115">
        <v>2881.3336610000001</v>
      </c>
      <c r="X564" s="115">
        <f t="shared" si="93"/>
        <v>13625826.882869001</v>
      </c>
      <c r="Y564" s="376" t="s">
        <v>6819</v>
      </c>
      <c r="AB564" t="s">
        <v>25</v>
      </c>
    </row>
    <row r="565" spans="18:28">
      <c r="R565" s="97" t="s">
        <v>6717</v>
      </c>
      <c r="S565" s="93">
        <v>573666.77206800005</v>
      </c>
      <c r="U565" s="19" t="s">
        <v>6820</v>
      </c>
      <c r="V565" s="19">
        <v>322</v>
      </c>
      <c r="W565" s="115">
        <v>2898.1177969999999</v>
      </c>
      <c r="X565" s="115">
        <f t="shared" si="93"/>
        <v>933193.93063399999</v>
      </c>
      <c r="Y565" s="376" t="s">
        <v>5060</v>
      </c>
    </row>
    <row r="566" spans="18:28">
      <c r="R566" s="97" t="s">
        <v>6721</v>
      </c>
      <c r="S566" s="93">
        <v>1870018.6536539998</v>
      </c>
      <c r="U566" s="19" t="s">
        <v>6823</v>
      </c>
      <c r="V566" s="19">
        <v>387</v>
      </c>
      <c r="W566" s="115">
        <v>3079.346732</v>
      </c>
      <c r="X566" s="115">
        <f t="shared" si="93"/>
        <v>1191707.1852839999</v>
      </c>
      <c r="Y566" s="376" t="s">
        <v>5060</v>
      </c>
    </row>
    <row r="567" spans="18:28">
      <c r="R567" s="97" t="s">
        <v>6725</v>
      </c>
      <c r="S567" s="93">
        <v>117222.435308</v>
      </c>
      <c r="U567" s="19" t="s">
        <v>6824</v>
      </c>
      <c r="V567" s="19">
        <v>807</v>
      </c>
      <c r="W567" s="115">
        <v>3145.9883460000001</v>
      </c>
      <c r="X567" s="115">
        <f t="shared" si="93"/>
        <v>2538812.595222</v>
      </c>
      <c r="Y567" s="376" t="s">
        <v>5060</v>
      </c>
      <c r="Z567" t="s">
        <v>25</v>
      </c>
    </row>
    <row r="568" spans="18:28">
      <c r="R568" s="97" t="s">
        <v>6726</v>
      </c>
      <c r="S568" s="93">
        <v>1940857.6749900002</v>
      </c>
      <c r="U568" s="186" t="s">
        <v>6830</v>
      </c>
      <c r="V568" s="186">
        <v>-5039</v>
      </c>
      <c r="W568" s="185">
        <v>3008.7638149999998</v>
      </c>
      <c r="X568" s="185">
        <f t="shared" si="93"/>
        <v>-15161160.863784999</v>
      </c>
      <c r="Y568" s="410" t="s">
        <v>6831</v>
      </c>
    </row>
    <row r="569" spans="18:28">
      <c r="R569" s="97" t="s">
        <v>6739</v>
      </c>
      <c r="S569" s="93">
        <v>200000000</v>
      </c>
      <c r="U569" s="19" t="s">
        <v>6830</v>
      </c>
      <c r="V569" s="19">
        <v>666</v>
      </c>
      <c r="W569" s="115">
        <v>3028.3040940000001</v>
      </c>
      <c r="X569" s="115">
        <f t="shared" si="93"/>
        <v>2016850.526604</v>
      </c>
      <c r="Y569" s="376" t="s">
        <v>5060</v>
      </c>
    </row>
    <row r="570" spans="18:28">
      <c r="R570" s="97" t="s">
        <v>6745</v>
      </c>
      <c r="S570" s="93">
        <v>195324.59944799999</v>
      </c>
      <c r="U570" s="19" t="s">
        <v>6833</v>
      </c>
      <c r="V570" s="19">
        <v>44</v>
      </c>
      <c r="W570" s="115">
        <v>2971.6949030000001</v>
      </c>
      <c r="X570" s="115">
        <f t="shared" si="93"/>
        <v>130754.575732</v>
      </c>
      <c r="Y570" s="376" t="s">
        <v>5060</v>
      </c>
    </row>
    <row r="571" spans="18:28">
      <c r="R571" s="97" t="s">
        <v>6745</v>
      </c>
      <c r="S571" s="93">
        <v>20318581.172208</v>
      </c>
      <c r="U571" s="19" t="s">
        <v>6834</v>
      </c>
      <c r="V571" s="19">
        <v>52</v>
      </c>
      <c r="W571" s="115">
        <v>2956.8541150000001</v>
      </c>
      <c r="X571" s="115">
        <f t="shared" si="93"/>
        <v>153756.41398000001</v>
      </c>
      <c r="Y571" s="376" t="s">
        <v>5060</v>
      </c>
    </row>
    <row r="572" spans="18:28">
      <c r="R572" s="97" t="s">
        <v>6747</v>
      </c>
      <c r="S572" s="93">
        <v>2893976.613864</v>
      </c>
      <c r="U572" s="186" t="s">
        <v>6835</v>
      </c>
      <c r="V572" s="186">
        <v>-3365</v>
      </c>
      <c r="W572" s="185">
        <v>3036.1223669999999</v>
      </c>
      <c r="X572" s="185">
        <f t="shared" si="93"/>
        <v>-10216551.764954999</v>
      </c>
      <c r="Y572" s="410" t="s">
        <v>6831</v>
      </c>
    </row>
    <row r="573" spans="18:28">
      <c r="R573" s="97" t="s">
        <v>6748</v>
      </c>
      <c r="S573" s="93">
        <v>348175.86130300001</v>
      </c>
      <c r="U573" s="186" t="s">
        <v>6840</v>
      </c>
      <c r="V573" s="186">
        <v>-1733</v>
      </c>
      <c r="W573" s="185">
        <v>2940.3427999999999</v>
      </c>
      <c r="X573" s="185">
        <f t="shared" si="93"/>
        <v>-5095614.0723999999</v>
      </c>
      <c r="Y573" s="410" t="s">
        <v>6831</v>
      </c>
      <c r="AB573" t="s">
        <v>25</v>
      </c>
    </row>
    <row r="574" spans="18:28">
      <c r="R574" s="97" t="s">
        <v>6750</v>
      </c>
      <c r="S574" s="93">
        <v>315280.48550000001</v>
      </c>
      <c r="U574" s="19" t="s">
        <v>6840</v>
      </c>
      <c r="V574" s="19">
        <v>187</v>
      </c>
      <c r="W574" s="115">
        <v>2940</v>
      </c>
      <c r="X574" s="115">
        <f t="shared" si="93"/>
        <v>549780</v>
      </c>
      <c r="Y574" s="376" t="s">
        <v>5060</v>
      </c>
    </row>
    <row r="575" spans="18:28">
      <c r="R575" s="97" t="s">
        <v>6750</v>
      </c>
      <c r="S575" s="93">
        <v>6128000</v>
      </c>
      <c r="U575" s="19" t="s">
        <v>6841</v>
      </c>
      <c r="V575" s="19">
        <v>509</v>
      </c>
      <c r="W575" s="115">
        <v>2877.8520050000002</v>
      </c>
      <c r="X575" s="115">
        <f t="shared" si="93"/>
        <v>1464826.6705450001</v>
      </c>
      <c r="Y575" s="376" t="s">
        <v>5060</v>
      </c>
    </row>
    <row r="576" spans="18:28">
      <c r="R576" s="97" t="s">
        <v>6754</v>
      </c>
      <c r="S576" s="93">
        <v>184045.65498799999</v>
      </c>
      <c r="T576" t="s">
        <v>25</v>
      </c>
      <c r="U576" s="19" t="s">
        <v>6845</v>
      </c>
      <c r="V576" s="19">
        <v>104</v>
      </c>
      <c r="W576" s="115">
        <v>2870.0135799999998</v>
      </c>
      <c r="X576" s="115">
        <f t="shared" si="93"/>
        <v>298481.41232</v>
      </c>
      <c r="Y576" s="376" t="s">
        <v>5060</v>
      </c>
    </row>
    <row r="577" spans="18:27">
      <c r="R577" s="97" t="s">
        <v>6766</v>
      </c>
      <c r="S577" s="93">
        <v>3224064.2855249997</v>
      </c>
      <c r="U577" s="186" t="s">
        <v>6851</v>
      </c>
      <c r="V577" s="186">
        <v>-1812</v>
      </c>
      <c r="W577" s="185">
        <v>3015.492741</v>
      </c>
      <c r="X577" s="185">
        <f t="shared" si="93"/>
        <v>-5464072.8466919996</v>
      </c>
      <c r="Y577" s="410" t="s">
        <v>6852</v>
      </c>
      <c r="AA577" t="s">
        <v>25</v>
      </c>
    </row>
    <row r="578" spans="18:27">
      <c r="R578" s="97" t="s">
        <v>6767</v>
      </c>
      <c r="S578" s="93">
        <v>145302.32212200001</v>
      </c>
      <c r="U578" s="19" t="s">
        <v>6851</v>
      </c>
      <c r="V578" s="19">
        <v>-11819</v>
      </c>
      <c r="W578" s="115">
        <v>3015.492741</v>
      </c>
      <c r="X578" s="115">
        <f t="shared" si="93"/>
        <v>-35640108.705879003</v>
      </c>
      <c r="Y578" s="376" t="s">
        <v>6855</v>
      </c>
    </row>
    <row r="579" spans="18:27">
      <c r="R579" s="97" t="s">
        <v>6768</v>
      </c>
      <c r="S579" s="93">
        <v>7184125.4612399992</v>
      </c>
      <c r="U579" s="19" t="s">
        <v>6851</v>
      </c>
      <c r="V579" s="19">
        <v>-120858</v>
      </c>
      <c r="W579" s="115">
        <v>3015.492741</v>
      </c>
      <c r="X579" s="115">
        <f t="shared" si="93"/>
        <v>-364446421.691778</v>
      </c>
      <c r="Y579" s="376" t="s">
        <v>6854</v>
      </c>
    </row>
    <row r="580" spans="18:27">
      <c r="R580" s="97" t="s">
        <v>6770</v>
      </c>
      <c r="S580" s="93">
        <v>8260484.4756000005</v>
      </c>
      <c r="U580" s="19" t="s">
        <v>6856</v>
      </c>
      <c r="V580" s="19">
        <v>261</v>
      </c>
      <c r="W580" s="115">
        <v>3015.492741</v>
      </c>
      <c r="X580" s="115">
        <f t="shared" si="93"/>
        <v>787043.60540100001</v>
      </c>
      <c r="Y580" s="376" t="s">
        <v>5060</v>
      </c>
    </row>
    <row r="581" spans="18:27">
      <c r="R581" s="97" t="s">
        <v>6771</v>
      </c>
      <c r="S581" s="93">
        <v>2791202.6544840001</v>
      </c>
      <c r="U581" s="19" t="s">
        <v>6804</v>
      </c>
      <c r="V581" s="19">
        <v>8290</v>
      </c>
      <c r="W581" s="115">
        <v>3015.492741</v>
      </c>
      <c r="X581" s="115">
        <f t="shared" si="93"/>
        <v>24998434.822889999</v>
      </c>
      <c r="Y581" s="376" t="s">
        <v>6862</v>
      </c>
    </row>
    <row r="582" spans="18:27">
      <c r="R582" s="97" t="s">
        <v>6772</v>
      </c>
      <c r="S582" s="93">
        <v>248142.0681</v>
      </c>
      <c r="U582" s="19" t="s">
        <v>6868</v>
      </c>
      <c r="V582" s="19">
        <v>19234</v>
      </c>
      <c r="W582" s="115">
        <v>3015.492741</v>
      </c>
      <c r="X582" s="115">
        <f t="shared" ref="X582:X594" si="94">V582*W582</f>
        <v>57999987.380393997</v>
      </c>
      <c r="Y582" s="376" t="s">
        <v>6862</v>
      </c>
    </row>
    <row r="583" spans="18:27">
      <c r="R583" s="97" t="s">
        <v>6790</v>
      </c>
      <c r="S583" s="93">
        <v>20001955</v>
      </c>
      <c r="T583" t="s">
        <v>25</v>
      </c>
      <c r="U583" s="19" t="s">
        <v>6869</v>
      </c>
      <c r="V583" s="19">
        <v>242</v>
      </c>
      <c r="W583" s="115">
        <v>2808.4181440000002</v>
      </c>
      <c r="X583" s="115">
        <f t="shared" si="94"/>
        <v>679637.190848</v>
      </c>
      <c r="Y583" s="376" t="s">
        <v>5060</v>
      </c>
      <c r="AA583" t="s">
        <v>25</v>
      </c>
    </row>
    <row r="584" spans="18:27">
      <c r="R584" s="97" t="s">
        <v>6790</v>
      </c>
      <c r="S584" s="93">
        <v>-562401942</v>
      </c>
      <c r="U584" s="19" t="s">
        <v>6875</v>
      </c>
      <c r="V584" s="19">
        <v>141</v>
      </c>
      <c r="W584" s="115">
        <v>2858.5482630000001</v>
      </c>
      <c r="X584" s="115">
        <f t="shared" si="94"/>
        <v>403055.30508300004</v>
      </c>
      <c r="Y584" s="376" t="s">
        <v>5060</v>
      </c>
    </row>
    <row r="585" spans="18:27">
      <c r="R585" s="97" t="s">
        <v>6790</v>
      </c>
      <c r="S585" s="93">
        <v>499033.40399999998</v>
      </c>
      <c r="U585" s="19" t="s">
        <v>6902</v>
      </c>
      <c r="V585" s="19">
        <v>171</v>
      </c>
      <c r="W585" s="115">
        <v>2790.5885250000001</v>
      </c>
      <c r="X585" s="115">
        <f t="shared" si="94"/>
        <v>477190.63777500001</v>
      </c>
      <c r="Y585" s="376" t="s">
        <v>5060</v>
      </c>
    </row>
    <row r="586" spans="18:27">
      <c r="R586" s="97" t="s">
        <v>6790</v>
      </c>
      <c r="S586" s="93">
        <v>3374278.1910000001</v>
      </c>
      <c r="U586" s="19" t="s">
        <v>6904</v>
      </c>
      <c r="V586" s="19">
        <v>324</v>
      </c>
      <c r="W586" s="115">
        <v>2823.8782249999999</v>
      </c>
      <c r="X586" s="115">
        <f t="shared" si="94"/>
        <v>914936.54489999998</v>
      </c>
      <c r="Y586" s="376" t="s">
        <v>5060</v>
      </c>
      <c r="AA586" t="s">
        <v>25</v>
      </c>
    </row>
    <row r="587" spans="18:27">
      <c r="R587" s="97" t="s">
        <v>6798</v>
      </c>
      <c r="S587" s="93">
        <v>30000000</v>
      </c>
      <c r="U587" s="19" t="s">
        <v>6906</v>
      </c>
      <c r="V587" s="19">
        <v>123</v>
      </c>
      <c r="W587" s="115">
        <v>2832.4637769999999</v>
      </c>
      <c r="X587" s="115">
        <f t="shared" si="94"/>
        <v>348393.04457099998</v>
      </c>
      <c r="Y587" s="376" t="s">
        <v>5060</v>
      </c>
    </row>
    <row r="588" spans="18:27">
      <c r="R588" s="97" t="s">
        <v>6805</v>
      </c>
      <c r="S588" s="93">
        <v>50000000</v>
      </c>
      <c r="U588" s="19" t="s">
        <v>6917</v>
      </c>
      <c r="V588" s="19">
        <v>252</v>
      </c>
      <c r="W588" s="115">
        <v>2859.492174</v>
      </c>
      <c r="X588" s="115">
        <f t="shared" si="94"/>
        <v>720592.02784799994</v>
      </c>
      <c r="Y588" s="376" t="s">
        <v>5060</v>
      </c>
      <c r="Z588" t="s">
        <v>25</v>
      </c>
      <c r="AA588" t="s">
        <v>25</v>
      </c>
    </row>
    <row r="589" spans="18:27">
      <c r="R589" s="97" t="s">
        <v>6811</v>
      </c>
      <c r="S589" s="93">
        <v>2616960</v>
      </c>
      <c r="U589" s="19" t="s">
        <v>6918</v>
      </c>
      <c r="V589" s="19">
        <v>301</v>
      </c>
      <c r="W589" s="115">
        <v>2890.4368220000001</v>
      </c>
      <c r="X589" s="115">
        <f t="shared" si="94"/>
        <v>870021.48342200008</v>
      </c>
      <c r="Y589" s="376" t="s">
        <v>5060</v>
      </c>
    </row>
    <row r="590" spans="18:27">
      <c r="R590" s="97" t="s">
        <v>6817</v>
      </c>
      <c r="S590" s="93">
        <v>253557.36216800002</v>
      </c>
      <c r="U590" s="19" t="s">
        <v>6919</v>
      </c>
      <c r="V590" s="19">
        <v>132</v>
      </c>
      <c r="W590" s="115">
        <v>2871.4281299999998</v>
      </c>
      <c r="X590" s="115">
        <f t="shared" si="94"/>
        <v>379028.51315999997</v>
      </c>
      <c r="Y590" s="376" t="s">
        <v>5060</v>
      </c>
    </row>
    <row r="591" spans="18:27">
      <c r="R591" s="97" t="s">
        <v>6817</v>
      </c>
      <c r="S591" s="93">
        <v>13625826.882869001</v>
      </c>
      <c r="U591" s="19" t="s">
        <v>6920</v>
      </c>
      <c r="V591" s="19">
        <v>257</v>
      </c>
      <c r="W591" s="115">
        <v>2829.3778179999999</v>
      </c>
      <c r="X591" s="115">
        <f t="shared" si="94"/>
        <v>727150.09922600002</v>
      </c>
      <c r="Y591" s="376" t="s">
        <v>5060</v>
      </c>
      <c r="AA591" t="s">
        <v>25</v>
      </c>
    </row>
    <row r="592" spans="18:27">
      <c r="R592" s="97" t="s">
        <v>6820</v>
      </c>
      <c r="S592" s="93">
        <v>933193.93063399999</v>
      </c>
      <c r="U592" s="19" t="s">
        <v>6927</v>
      </c>
      <c r="V592" s="19">
        <v>3580</v>
      </c>
      <c r="W592" s="115">
        <v>2792.7543000000001</v>
      </c>
      <c r="X592" s="115">
        <f t="shared" si="94"/>
        <v>9998060.3939999994</v>
      </c>
      <c r="Y592" s="376" t="s">
        <v>6928</v>
      </c>
    </row>
    <row r="593" spans="18:28">
      <c r="R593" s="97" t="s">
        <v>6823</v>
      </c>
      <c r="S593" s="115">
        <v>1191707.1852839999</v>
      </c>
      <c r="U593" s="19" t="s">
        <v>6927</v>
      </c>
      <c r="V593" s="19">
        <v>-3580</v>
      </c>
      <c r="W593" s="115">
        <v>2792.7543000000001</v>
      </c>
      <c r="X593" s="115">
        <f t="shared" si="94"/>
        <v>-9998060.3939999994</v>
      </c>
      <c r="Y593" s="376" t="s">
        <v>6929</v>
      </c>
      <c r="AA593" t="s">
        <v>25</v>
      </c>
    </row>
    <row r="594" spans="18:28">
      <c r="R594" s="97" t="s">
        <v>6824</v>
      </c>
      <c r="S594" s="93">
        <v>2538812.595222</v>
      </c>
      <c r="U594" s="19" t="s">
        <v>7017</v>
      </c>
      <c r="V594" s="19">
        <v>3891</v>
      </c>
      <c r="W594" s="115">
        <v>2964.3332270000001</v>
      </c>
      <c r="X594" s="115">
        <f t="shared" si="94"/>
        <v>11534220.586257</v>
      </c>
      <c r="Y594" s="376" t="s">
        <v>7021</v>
      </c>
    </row>
    <row r="595" spans="18:28">
      <c r="R595" s="97" t="s">
        <v>6830</v>
      </c>
      <c r="S595" s="93">
        <v>2016850.526604</v>
      </c>
      <c r="U595" s="19"/>
      <c r="V595" s="19"/>
      <c r="W595" s="115"/>
      <c r="X595" s="115"/>
      <c r="Y595" s="376"/>
      <c r="AB595" t="s">
        <v>25</v>
      </c>
    </row>
    <row r="596" spans="18:28">
      <c r="R596" s="97" t="s">
        <v>6833</v>
      </c>
      <c r="S596" s="93">
        <v>130754.575732</v>
      </c>
      <c r="U596" s="19"/>
      <c r="V596" s="19"/>
      <c r="W596" s="115"/>
      <c r="X596" s="115">
        <f t="shared" si="76"/>
        <v>0</v>
      </c>
      <c r="Y596" s="252"/>
    </row>
    <row r="597" spans="18:28">
      <c r="R597" s="97" t="s">
        <v>6834</v>
      </c>
      <c r="S597" s="93">
        <v>153756.41398000001</v>
      </c>
      <c r="U597" s="97"/>
      <c r="V597" s="166"/>
      <c r="W597" s="111"/>
      <c r="X597" s="115">
        <f t="shared" si="76"/>
        <v>0</v>
      </c>
      <c r="Y597" s="97"/>
    </row>
    <row r="598" spans="18:28">
      <c r="R598" s="97" t="s">
        <v>6840</v>
      </c>
      <c r="S598" s="93">
        <v>549780</v>
      </c>
      <c r="U598" s="166"/>
      <c r="V598" s="166">
        <f>SUM(V167:V597)</f>
        <v>4137239</v>
      </c>
      <c r="W598" s="97"/>
      <c r="X598" s="97"/>
      <c r="Y598" s="97"/>
      <c r="AA598" t="s">
        <v>25</v>
      </c>
    </row>
    <row r="599" spans="18:28">
      <c r="R599" s="97" t="s">
        <v>6841</v>
      </c>
      <c r="S599" s="93">
        <v>1464826.6705450001</v>
      </c>
      <c r="U599" s="97"/>
      <c r="V599" s="97" t="s">
        <v>6</v>
      </c>
      <c r="W599" s="97"/>
      <c r="X599" s="97"/>
      <c r="Y599" s="97"/>
      <c r="AB599" t="s">
        <v>25</v>
      </c>
    </row>
    <row r="600" spans="18:28">
      <c r="R600" s="97" t="s">
        <v>6845</v>
      </c>
      <c r="S600" s="93">
        <v>298481.41232</v>
      </c>
      <c r="T600" t="s">
        <v>25</v>
      </c>
      <c r="U600" s="195" t="s">
        <v>4406</v>
      </c>
    </row>
    <row r="601" spans="18:28">
      <c r="R601" s="97" t="s">
        <v>6851</v>
      </c>
      <c r="S601" s="93">
        <v>-364446421.691778</v>
      </c>
      <c r="U601" s="194">
        <f>S179/V598</f>
        <v>3031.8626074055669</v>
      </c>
      <c r="Y601" t="s">
        <v>25</v>
      </c>
    </row>
    <row r="602" spans="18:28">
      <c r="R602" s="97" t="s">
        <v>6856</v>
      </c>
      <c r="S602" s="93">
        <v>787043.60540100001</v>
      </c>
      <c r="X602" s="112"/>
    </row>
    <row r="603" spans="18:28">
      <c r="R603" s="97" t="s">
        <v>6804</v>
      </c>
      <c r="S603" s="93">
        <v>25000000</v>
      </c>
      <c r="V603" s="94" t="s">
        <v>267</v>
      </c>
      <c r="W603" t="s">
        <v>4407</v>
      </c>
      <c r="Y603" t="s">
        <v>25</v>
      </c>
    </row>
    <row r="604" spans="18:28">
      <c r="R604" s="97" t="s">
        <v>6868</v>
      </c>
      <c r="S604" s="93">
        <v>57999987.380393997</v>
      </c>
      <c r="U604" s="112"/>
      <c r="V604" s="93">
        <v>-11534272</v>
      </c>
      <c r="W604">
        <f>V604/U601</f>
        <v>-3804.3518106086399</v>
      </c>
      <c r="Y604" t="s">
        <v>25</v>
      </c>
    </row>
    <row r="605" spans="18:28">
      <c r="R605" s="97" t="s">
        <v>6869</v>
      </c>
      <c r="S605" s="93">
        <v>679637.190848</v>
      </c>
      <c r="T605" t="s">
        <v>25</v>
      </c>
      <c r="U605" t="s">
        <v>25</v>
      </c>
      <c r="Y605" t="s">
        <v>25</v>
      </c>
    </row>
    <row r="606" spans="18:28">
      <c r="R606" s="97" t="s">
        <v>6875</v>
      </c>
      <c r="S606" s="93">
        <v>403055.30508300004</v>
      </c>
      <c r="U606" t="s">
        <v>25</v>
      </c>
      <c r="V606" s="94" t="s">
        <v>25</v>
      </c>
      <c r="W606" s="22"/>
      <c r="X606" s="209"/>
      <c r="Y606" s="261" t="s">
        <v>25</v>
      </c>
    </row>
    <row r="607" spans="18:28">
      <c r="R607" s="97" t="s">
        <v>6902</v>
      </c>
      <c r="S607" s="93">
        <v>477190.63777500001</v>
      </c>
      <c r="W607">
        <f>132*U601</f>
        <v>400205.86417753482</v>
      </c>
      <c r="X607" s="94" t="s">
        <v>25</v>
      </c>
      <c r="Y607" t="s">
        <v>25</v>
      </c>
    </row>
    <row r="608" spans="18:28">
      <c r="R608" s="97" t="s">
        <v>6904</v>
      </c>
      <c r="S608" s="93">
        <v>914936.54489999998</v>
      </c>
      <c r="U608" t="s">
        <v>25</v>
      </c>
      <c r="X608" s="112"/>
      <c r="Y608" s="112"/>
    </row>
    <row r="609" spans="18:26">
      <c r="R609" s="97" t="s">
        <v>6906</v>
      </c>
      <c r="S609" s="93">
        <v>348393.04457099998</v>
      </c>
      <c r="U609" s="22"/>
      <c r="W609" s="209"/>
      <c r="Z609" t="s">
        <v>25</v>
      </c>
    </row>
    <row r="610" spans="18:26">
      <c r="R610" s="97" t="s">
        <v>6917</v>
      </c>
      <c r="S610" s="93">
        <v>720592.02784799994</v>
      </c>
      <c r="U610" s="22"/>
      <c r="X610" s="261"/>
    </row>
    <row r="611" spans="18:26">
      <c r="R611" s="97" t="s">
        <v>6918</v>
      </c>
      <c r="S611" s="93">
        <v>870021.48342200008</v>
      </c>
    </row>
    <row r="612" spans="18:26">
      <c r="R612" s="97" t="s">
        <v>6919</v>
      </c>
      <c r="S612" s="93">
        <v>379028.51315999997</v>
      </c>
    </row>
    <row r="613" spans="18:26">
      <c r="R613" s="97" t="s">
        <v>6920</v>
      </c>
      <c r="S613" s="93">
        <v>727150.09922600002</v>
      </c>
      <c r="U613" s="97" t="s">
        <v>4408</v>
      </c>
      <c r="V613" s="97" t="s">
        <v>4389</v>
      </c>
      <c r="W613" s="97" t="s">
        <v>917</v>
      </c>
      <c r="X613" s="321"/>
    </row>
    <row r="614" spans="18:26">
      <c r="R614" s="97" t="s">
        <v>7017</v>
      </c>
      <c r="S614" s="93">
        <v>11534220.586257</v>
      </c>
      <c r="U614" s="93">
        <f>T238+S318+S619</f>
        <v>1782084286.5968237</v>
      </c>
      <c r="V614" s="93">
        <f>S179</f>
        <v>12543540222</v>
      </c>
      <c r="W614" s="93">
        <f>V614-U614</f>
        <v>10761455935.403175</v>
      </c>
    </row>
    <row r="615" spans="18:26">
      <c r="R615" s="97"/>
      <c r="S615" s="93"/>
      <c r="X615" s="94" t="s">
        <v>25</v>
      </c>
    </row>
    <row r="616" spans="18:26">
      <c r="R616" s="97"/>
      <c r="S616" s="93"/>
      <c r="W616">
        <v>193</v>
      </c>
    </row>
    <row r="617" spans="18:26">
      <c r="R617" s="97"/>
      <c r="S617" s="93"/>
      <c r="U617" s="94" t="s">
        <v>5366</v>
      </c>
      <c r="V617" s="120">
        <v>353427</v>
      </c>
      <c r="W617" s="112">
        <f>V617*$W$616</f>
        <v>68211411</v>
      </c>
    </row>
    <row r="618" spans="18:26">
      <c r="R618" s="97" t="s">
        <v>25</v>
      </c>
      <c r="S618" s="97" t="s">
        <v>25</v>
      </c>
      <c r="U618" t="s">
        <v>6765</v>
      </c>
      <c r="V618">
        <v>2333000</v>
      </c>
      <c r="W618" s="112">
        <f>V618*$W$616</f>
        <v>450269000</v>
      </c>
    </row>
    <row r="619" spans="18:26">
      <c r="R619" s="97"/>
      <c r="S619" s="93">
        <f>SUM(S323:S618)</f>
        <v>1663293089.4214866</v>
      </c>
      <c r="T619" t="s">
        <v>25</v>
      </c>
      <c r="U619" s="411" t="s">
        <v>1050</v>
      </c>
      <c r="V619" s="412">
        <v>309975</v>
      </c>
      <c r="W619" s="413">
        <f>V619*$W$616</f>
        <v>59825175</v>
      </c>
    </row>
    <row r="620" spans="18:26">
      <c r="S620" s="97" t="s">
        <v>6</v>
      </c>
      <c r="U620" t="s">
        <v>434</v>
      </c>
      <c r="V620" s="113">
        <v>2914000</v>
      </c>
      <c r="W620" s="112">
        <f>V620*$W$616</f>
        <v>562402000</v>
      </c>
    </row>
    <row r="621" spans="18:26">
      <c r="U621" s="112" t="s">
        <v>25</v>
      </c>
    </row>
    <row r="622" spans="18:26">
      <c r="R622" t="s">
        <v>25</v>
      </c>
      <c r="U622" t="s">
        <v>25</v>
      </c>
    </row>
    <row r="623" spans="18:26">
      <c r="R623" t="s">
        <v>25</v>
      </c>
      <c r="U623" t="s">
        <v>25</v>
      </c>
      <c r="W623" t="s">
        <v>25</v>
      </c>
      <c r="Y623" s="112"/>
    </row>
    <row r="624" spans="18:26">
      <c r="R624" t="s">
        <v>25</v>
      </c>
      <c r="S624" t="s">
        <v>25</v>
      </c>
      <c r="X624" s="94" t="s">
        <v>25</v>
      </c>
    </row>
    <row r="625" spans="18:25">
      <c r="R625" t="s">
        <v>25</v>
      </c>
      <c r="S625" t="s">
        <v>25</v>
      </c>
      <c r="U625" t="s">
        <v>25</v>
      </c>
    </row>
    <row r="626" spans="18:25">
      <c r="R626" s="112"/>
      <c r="S626" t="s">
        <v>25</v>
      </c>
      <c r="U626" t="s">
        <v>25</v>
      </c>
    </row>
    <row r="627" spans="18:25">
      <c r="R627" t="s">
        <v>25</v>
      </c>
      <c r="U627" s="321" t="s">
        <v>25</v>
      </c>
      <c r="V627" s="321"/>
      <c r="W627" s="321"/>
    </row>
    <row r="628" spans="18:25">
      <c r="S628" t="s">
        <v>25</v>
      </c>
      <c r="U628" s="321" t="s">
        <v>25</v>
      </c>
      <c r="V628" s="321"/>
      <c r="W628" s="321"/>
      <c r="X628" s="94" t="s">
        <v>25</v>
      </c>
    </row>
    <row r="629" spans="18:25">
      <c r="R629" t="s">
        <v>25</v>
      </c>
      <c r="U629" s="321"/>
      <c r="V629" s="321"/>
      <c r="W629" s="321"/>
      <c r="Y629" t="s">
        <v>25</v>
      </c>
    </row>
    <row r="630" spans="18:25">
      <c r="U630" s="321"/>
      <c r="V630" s="321"/>
      <c r="W630" s="321" t="s">
        <v>25</v>
      </c>
    </row>
    <row r="631" spans="18:25">
      <c r="U631" s="321"/>
      <c r="V631" s="321"/>
      <c r="W631" s="321"/>
    </row>
    <row r="632" spans="18:25">
      <c r="U632" s="321" t="s">
        <v>25</v>
      </c>
      <c r="V632" s="321" t="s">
        <v>25</v>
      </c>
      <c r="W632" s="321"/>
    </row>
    <row r="633" spans="18:25">
      <c r="U633" s="321" t="s">
        <v>25</v>
      </c>
      <c r="V633" s="321"/>
      <c r="W633" s="321"/>
    </row>
    <row r="634" spans="18:25">
      <c r="U634" s="321"/>
      <c r="V634" s="321"/>
      <c r="W634" s="321"/>
    </row>
    <row r="635" spans="18:25">
      <c r="U635" s="321"/>
      <c r="V635" s="321"/>
      <c r="W635" s="321"/>
    </row>
    <row r="636" spans="18:25">
      <c r="U636" s="321"/>
      <c r="V636" s="321"/>
      <c r="W636" s="321"/>
    </row>
    <row r="637" spans="18:25">
      <c r="U637" s="321"/>
      <c r="V637" s="321"/>
      <c r="W637" s="321"/>
    </row>
    <row r="638" spans="18:25">
      <c r="U638" s="321"/>
      <c r="V638" s="321"/>
      <c r="W638" s="321"/>
      <c r="Y638" t="s">
        <v>25</v>
      </c>
    </row>
    <row r="639" spans="18:25">
      <c r="U639" s="321"/>
      <c r="V639" s="321"/>
      <c r="W639" s="321"/>
    </row>
    <row r="640" spans="18:25">
      <c r="U640" s="321"/>
      <c r="V640" s="321"/>
      <c r="W640" s="321"/>
    </row>
    <row r="641" spans="21:24">
      <c r="U641" s="321"/>
      <c r="V641" s="321"/>
      <c r="W641" s="321"/>
    </row>
    <row r="643" spans="21:24">
      <c r="U643" s="94"/>
      <c r="W643" s="94"/>
    </row>
    <row r="644" spans="21:24">
      <c r="U644" s="94"/>
      <c r="W644" s="94"/>
      <c r="X644" s="112"/>
    </row>
    <row r="645" spans="21:24">
      <c r="U645" s="94"/>
      <c r="W645" s="94"/>
    </row>
    <row r="646" spans="21:24">
      <c r="U646" s="94"/>
      <c r="W646" s="94"/>
    </row>
    <row r="648" spans="21:24">
      <c r="V648" s="112"/>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1:G65 G282:G1048576 G74 G67:G69 G276:G277 L270:L274 G80 L80:L93">
    <cfRule type="cellIs" dxfId="13"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1"/>
  <sheetViews>
    <sheetView tabSelected="1" topLeftCell="A62" zoomScale="80" zoomScaleNormal="80" workbookViewId="0">
      <selection activeCell="F74" sqref="F7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389.18728402366867</v>
      </c>
      <c r="G1" s="409">
        <f>C1*D1*0.99114/(F1*1.0037158)</f>
        <v>36288.312896322117</v>
      </c>
      <c r="H1" s="306">
        <f t="shared" ref="H1:H8" si="0">C1/F1</f>
        <v>2.727555507024308</v>
      </c>
      <c r="I1" s="307">
        <f t="shared" ref="I1:I32" si="1">$O$81/$O$82</f>
        <v>3.6281179138321997</v>
      </c>
      <c r="J1" s="308">
        <f t="shared" ref="J1:J12" si="2">I1/H1</f>
        <v>1.3301719816475455</v>
      </c>
      <c r="K1" s="308">
        <f t="shared" ref="K1:K12" si="3">(1/J1-1.0256)*100</f>
        <v>-27.381751337642513</v>
      </c>
      <c r="L1" s="308">
        <f>1</f>
        <v>1</v>
      </c>
      <c r="M1" s="40"/>
      <c r="N1" s="516"/>
      <c r="O1" s="516"/>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391.9968106508876</v>
      </c>
      <c r="G2" s="409">
        <f t="shared" ref="G2:G10" si="4">C2*D2*0.99114/(F2*1.0037158)</f>
        <v>166828.36989313504</v>
      </c>
      <c r="H2" s="306">
        <f t="shared" si="0"/>
        <v>2.7529526882281847</v>
      </c>
      <c r="I2" s="307">
        <f t="shared" si="1"/>
        <v>3.6281179138321997</v>
      </c>
      <c r="J2" s="308">
        <f t="shared" si="2"/>
        <v>1.317900568849687</v>
      </c>
      <c r="K2" s="308">
        <f t="shared" si="3"/>
        <v>-26.681741530710667</v>
      </c>
      <c r="L2" s="308">
        <f>H2/H1</f>
        <v>1.0093113343205926</v>
      </c>
      <c r="M2" s="40"/>
      <c r="N2" s="516"/>
      <c r="O2" s="516"/>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406.7872721893491</v>
      </c>
      <c r="G3" s="409">
        <f>C3*D3*0.99114/(F3*1.0037158)</f>
        <v>32386.564983662669</v>
      </c>
      <c r="H3" s="306">
        <f t="shared" si="0"/>
        <v>2.8135448887150414</v>
      </c>
      <c r="I3" s="307">
        <f t="shared" si="1"/>
        <v>3.6281179138321997</v>
      </c>
      <c r="J3" s="308">
        <f t="shared" si="2"/>
        <v>1.2895184037704042</v>
      </c>
      <c r="K3" s="308">
        <f t="shared" si="3"/>
        <v>-25.011669004791681</v>
      </c>
      <c r="L3" s="308">
        <f t="shared" ref="L3:L66" si="5">H3/H2</f>
        <v>1.0220098953192887</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 t="shared" si="1"/>
        <v>3.6281179138321997</v>
      </c>
      <c r="J4" s="308">
        <f>I4/H4</f>
        <v>1.3197150253486334</v>
      </c>
      <c r="K4" s="308">
        <f>(1/J4-1.0256)*100</f>
        <v>-26.786065416219184</v>
      </c>
      <c r="L4" s="308">
        <f>H4/H3</f>
        <v>0.97711883171880076</v>
      </c>
      <c r="M4" s="40"/>
      <c r="R4" s="113"/>
      <c r="S4" s="113"/>
      <c r="Y4" s="113"/>
      <c r="Z4" s="113"/>
      <c r="AA4" s="113"/>
    </row>
    <row r="5" spans="1:27" ht="15.75">
      <c r="A5" s="309" t="s">
        <v>6174</v>
      </c>
      <c r="B5" s="304" t="s">
        <v>4193</v>
      </c>
      <c r="C5" s="303">
        <v>1151.3855644663788</v>
      </c>
      <c r="D5" s="415">
        <v>138014</v>
      </c>
      <c r="E5" s="306" t="s">
        <v>5224</v>
      </c>
      <c r="F5" s="305">
        <v>410.572</v>
      </c>
      <c r="G5" s="428">
        <f t="shared" si="4"/>
        <v>382189.5761116317</v>
      </c>
      <c r="H5" s="306">
        <f t="shared" si="0"/>
        <v>2.8043450709409772</v>
      </c>
      <c r="I5" s="307">
        <f t="shared" si="1"/>
        <v>3.6281179138321997</v>
      </c>
      <c r="J5" s="308">
        <f t="shared" si="2"/>
        <v>1.2937487441995901</v>
      </c>
      <c r="K5" s="308">
        <f t="shared" si="3"/>
        <v>-25.26523898218932</v>
      </c>
      <c r="L5" s="308">
        <f t="shared" si="5"/>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 t="shared" si="1"/>
        <v>3.6281179138321997</v>
      </c>
      <c r="J6" s="308">
        <f>I6/H6</f>
        <v>1.2972212438247668</v>
      </c>
      <c r="K6" s="308">
        <f>(1/J6-1.0256)*100</f>
        <v>-25.472147425864744</v>
      </c>
      <c r="L6" s="308">
        <f t="shared" si="5"/>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 t="shared" si="1"/>
        <v>3.6281179138321997</v>
      </c>
      <c r="J7" s="308">
        <f>I7/H7</f>
        <v>1.2951868217382023</v>
      </c>
      <c r="K7" s="308">
        <f>(1/J7-1.0256)*100</f>
        <v>-25.351061241809703</v>
      </c>
      <c r="L7" s="308">
        <f t="shared" si="5"/>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4"/>
        <v>26300.993565030676</v>
      </c>
      <c r="H8" s="320">
        <f t="shared" si="0"/>
        <v>2.8101610355233775</v>
      </c>
      <c r="I8" s="307">
        <f t="shared" si="1"/>
        <v>3.6281179138321997</v>
      </c>
      <c r="J8" s="308">
        <f t="shared" si="2"/>
        <v>1.2910711763379361</v>
      </c>
      <c r="K8" s="308">
        <f t="shared" si="3"/>
        <v>-25.104936458386916</v>
      </c>
      <c r="L8" s="308">
        <f t="shared" si="5"/>
        <v>1.0031877757599237</v>
      </c>
      <c r="M8" s="40"/>
      <c r="N8" s="144">
        <v>66</v>
      </c>
      <c r="O8" s="144">
        <f>O82</f>
        <v>441</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6">C9/F9</f>
        <v>2.8348914369305667</v>
      </c>
      <c r="I9" s="307">
        <f t="shared" si="1"/>
        <v>3.6281179138321997</v>
      </c>
      <c r="J9" s="308">
        <f>I9/H9</f>
        <v>1.279808414025366</v>
      </c>
      <c r="K9" s="308">
        <f>(1/J9-1.0256)*100</f>
        <v>-24.423304769601263</v>
      </c>
      <c r="L9" s="308">
        <f t="shared" si="5"/>
        <v>1.008800350262697</v>
      </c>
      <c r="M9" s="40"/>
      <c r="R9" s="113"/>
      <c r="S9" s="113"/>
    </row>
    <row r="10" spans="1:27" ht="18.75">
      <c r="A10" s="309" t="s">
        <v>6599</v>
      </c>
      <c r="B10" s="304" t="s">
        <v>4193</v>
      </c>
      <c r="C10" s="303">
        <v>1300.7749784083899</v>
      </c>
      <c r="D10" s="415">
        <v>10777</v>
      </c>
      <c r="E10" s="306" t="s">
        <v>5224</v>
      </c>
      <c r="F10" s="305">
        <v>452.07955120213717</v>
      </c>
      <c r="G10" s="428">
        <f t="shared" si="4"/>
        <v>30620.299686000919</v>
      </c>
      <c r="H10" s="320">
        <f t="shared" si="6"/>
        <v>2.8773143464451407</v>
      </c>
      <c r="I10" s="307">
        <f t="shared" si="1"/>
        <v>3.6281179138321997</v>
      </c>
      <c r="J10" s="308">
        <f t="shared" si="2"/>
        <v>1.2609390136029663</v>
      </c>
      <c r="K10" s="308">
        <f t="shared" si="3"/>
        <v>-23.254023326105809</v>
      </c>
      <c r="L10" s="308">
        <f t="shared" si="5"/>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6"/>
        <v>2.8571945851263774</v>
      </c>
      <c r="I11" s="307">
        <f t="shared" si="1"/>
        <v>3.6281179138321997</v>
      </c>
      <c r="J11" s="308">
        <f>I11/H11</f>
        <v>1.2698182800425977</v>
      </c>
      <c r="K11" s="308">
        <f>(1/J11-1.0256)*100</f>
        <v>-23.808574247454239</v>
      </c>
      <c r="L11" s="308">
        <f t="shared" si="5"/>
        <v>0.99300745108242316</v>
      </c>
      <c r="M11" s="40"/>
      <c r="N11" s="516"/>
    </row>
    <row r="12" spans="1:27" ht="18.75">
      <c r="A12" s="309" t="s">
        <v>6786</v>
      </c>
      <c r="B12" s="304" t="s">
        <v>4193</v>
      </c>
      <c r="C12" s="303">
        <v>1369</v>
      </c>
      <c r="D12" s="415">
        <v>53130</v>
      </c>
      <c r="E12" s="306" t="s">
        <v>5224</v>
      </c>
      <c r="F12" s="305">
        <v>471.21499999999997</v>
      </c>
      <c r="G12" s="428">
        <f>C12*D12*0.9912/(F12*1.003631981)</f>
        <v>152444.21873592964</v>
      </c>
      <c r="H12" s="320">
        <f t="shared" si="6"/>
        <v>2.905255562747366</v>
      </c>
      <c r="I12" s="307">
        <f t="shared" si="1"/>
        <v>3.6281179138321997</v>
      </c>
      <c r="J12" s="308">
        <f t="shared" si="2"/>
        <v>1.248811966958685</v>
      </c>
      <c r="K12" s="308">
        <f t="shared" si="3"/>
        <v>-22.483893551775726</v>
      </c>
      <c r="L12" s="308">
        <f t="shared" si="5"/>
        <v>1.016821037625921</v>
      </c>
      <c r="M12" s="40"/>
      <c r="N12" s="516"/>
    </row>
    <row r="13" spans="1:27" ht="18.75">
      <c r="A13" s="309" t="s">
        <v>6788</v>
      </c>
      <c r="B13" s="304" t="s">
        <v>4193</v>
      </c>
      <c r="C13" s="303">
        <v>1329</v>
      </c>
      <c r="D13" s="415">
        <v>44302</v>
      </c>
      <c r="E13" s="306" t="s">
        <v>5224</v>
      </c>
      <c r="F13" s="305">
        <v>453.19</v>
      </c>
      <c r="G13" s="428">
        <f>C13*D13*0.9912/(F13*1.003631981)</f>
        <v>128308.31363494661</v>
      </c>
      <c r="H13" s="320">
        <f t="shared" si="6"/>
        <v>2.9325448487389396</v>
      </c>
      <c r="I13" s="307">
        <f t="shared" si="1"/>
        <v>3.6281179138321997</v>
      </c>
      <c r="J13" s="308">
        <f>I13/H13</f>
        <v>1.2371909385775881</v>
      </c>
      <c r="K13" s="308">
        <f>(1/J13-1.0256)*100</f>
        <v>-21.731732606632992</v>
      </c>
      <c r="L13" s="308">
        <f t="shared" si="5"/>
        <v>1.0093930758937322</v>
      </c>
      <c r="M13" s="40"/>
      <c r="N13" s="516"/>
    </row>
    <row r="14" spans="1:27" ht="18.75">
      <c r="A14" s="309" t="s">
        <v>6788</v>
      </c>
      <c r="B14" s="304" t="s">
        <v>4193</v>
      </c>
      <c r="C14" s="303">
        <v>1322</v>
      </c>
      <c r="D14" s="415">
        <v>553147</v>
      </c>
      <c r="E14" s="306" t="s">
        <v>5224</v>
      </c>
      <c r="F14" s="305">
        <f>450.0262</f>
        <v>450.02620000000002</v>
      </c>
      <c r="G14" s="428">
        <f>C14*D14*0.9912/(F14*1.003631981)</f>
        <v>1604800.3834569703</v>
      </c>
      <c r="H14" s="320">
        <f t="shared" si="6"/>
        <v>2.9376067437851394</v>
      </c>
      <c r="I14" s="307">
        <f t="shared" si="1"/>
        <v>3.6281179138321997</v>
      </c>
      <c r="J14" s="308">
        <f>I14/H14</f>
        <v>1.2350590907063785</v>
      </c>
      <c r="K14" s="308">
        <f>(1/J14-1.0256)*100</f>
        <v>-21.592214124422103</v>
      </c>
      <c r="L14" s="308">
        <f t="shared" si="5"/>
        <v>1.001726110019554</v>
      </c>
      <c r="M14" s="40"/>
      <c r="N14" s="516"/>
    </row>
    <row r="15" spans="1:27" ht="18.75">
      <c r="A15" s="309" t="s">
        <v>6788</v>
      </c>
      <c r="B15" s="304" t="s">
        <v>4193</v>
      </c>
      <c r="C15" s="303">
        <v>1322</v>
      </c>
      <c r="D15" s="415">
        <v>54086.269462180921</v>
      </c>
      <c r="E15" s="306" t="s">
        <v>5224</v>
      </c>
      <c r="F15" s="305">
        <v>449.39547566360085</v>
      </c>
      <c r="G15" s="428">
        <f t="shared" ref="G15:G34" si="7">C15*D15*0.9912/(F15*1.003631981)</f>
        <v>157136.32374268974</v>
      </c>
      <c r="H15" s="320">
        <f t="shared" ref="H15:H26" si="8">C15/F15</f>
        <v>2.9417296603795702</v>
      </c>
      <c r="I15" s="307">
        <f t="shared" si="1"/>
        <v>3.6281179138321997</v>
      </c>
      <c r="J15" s="308">
        <f t="shared" ref="J15:J26" si="9">I15/H15</f>
        <v>1.2333281207641851</v>
      </c>
      <c r="K15" s="308">
        <f t="shared" ref="K15:K26" si="10">(1/J15-1.0256)*100</f>
        <v>-21.478576235788104</v>
      </c>
      <c r="L15" s="308">
        <f t="shared" si="5"/>
        <v>1.0014034950740609</v>
      </c>
      <c r="M15" s="40"/>
      <c r="N15" s="516"/>
      <c r="O15" s="113"/>
      <c r="P15" s="113"/>
    </row>
    <row r="16" spans="1:27" ht="18.75">
      <c r="A16" s="309" t="s">
        <v>6832</v>
      </c>
      <c r="B16" s="304" t="s">
        <v>4193</v>
      </c>
      <c r="C16" s="303">
        <v>1485.5</v>
      </c>
      <c r="D16" s="415">
        <v>3544.787012082938</v>
      </c>
      <c r="E16" s="306" t="s">
        <v>5224</v>
      </c>
      <c r="F16" s="305">
        <v>506.01222850310961</v>
      </c>
      <c r="G16" s="409">
        <f t="shared" si="7"/>
        <v>10277.526167837888</v>
      </c>
      <c r="H16" s="320">
        <f t="shared" si="8"/>
        <v>2.935699803924543</v>
      </c>
      <c r="I16" s="307">
        <f t="shared" si="1"/>
        <v>3.6281179138321997</v>
      </c>
      <c r="J16" s="308">
        <f t="shared" si="9"/>
        <v>1.2358613469204205</v>
      </c>
      <c r="K16" s="308">
        <f t="shared" si="10"/>
        <v>-21.644774154329806</v>
      </c>
      <c r="L16" s="308">
        <f t="shared" si="5"/>
        <v>0.99795023433450059</v>
      </c>
      <c r="M16" s="40"/>
      <c r="N16" s="516"/>
    </row>
    <row r="17" spans="1:27" ht="18.75">
      <c r="A17" s="309" t="s">
        <v>6841</v>
      </c>
      <c r="B17" s="304" t="s">
        <v>4193</v>
      </c>
      <c r="C17" s="303">
        <v>1400</v>
      </c>
      <c r="D17" s="415">
        <v>114009.14407603061</v>
      </c>
      <c r="E17" s="306" t="s">
        <v>5224</v>
      </c>
      <c r="F17" s="305">
        <v>473.97776203710504</v>
      </c>
      <c r="G17" s="409">
        <f t="shared" si="7"/>
        <v>332580.32735952159</v>
      </c>
      <c r="H17" s="320">
        <f t="shared" si="8"/>
        <v>2.9537250734780294</v>
      </c>
      <c r="I17" s="307">
        <f t="shared" si="1"/>
        <v>3.6281179138321997</v>
      </c>
      <c r="J17" s="308">
        <f t="shared" si="9"/>
        <v>1.2283194351463689</v>
      </c>
      <c r="K17" s="308">
        <f t="shared" si="10"/>
        <v>-21.147952662261826</v>
      </c>
      <c r="L17" s="308">
        <f t="shared" si="5"/>
        <v>1.0061400247836614</v>
      </c>
      <c r="M17" s="40"/>
      <c r="N17" s="516"/>
    </row>
    <row r="18" spans="1:27" ht="18.75">
      <c r="A18" s="309" t="s">
        <v>6846</v>
      </c>
      <c r="B18" s="304" t="s">
        <v>4193</v>
      </c>
      <c r="C18" s="303">
        <v>1448</v>
      </c>
      <c r="D18" s="415">
        <v>17695.162154610232</v>
      </c>
      <c r="E18" s="306" t="s">
        <v>5224</v>
      </c>
      <c r="F18" s="305">
        <v>487.08100177239885</v>
      </c>
      <c r="G18" s="409">
        <f t="shared" si="7"/>
        <v>51952.771385351523</v>
      </c>
      <c r="H18" s="320">
        <f t="shared" si="8"/>
        <v>2.9728114928132947</v>
      </c>
      <c r="I18" s="307">
        <f t="shared" si="1"/>
        <v>3.6281179138321997</v>
      </c>
      <c r="J18" s="308">
        <f t="shared" si="9"/>
        <v>1.2204332237691806</v>
      </c>
      <c r="K18" s="308">
        <f t="shared" si="10"/>
        <v>-20.621883229333569</v>
      </c>
      <c r="L18" s="308">
        <f t="shared" si="5"/>
        <v>1.006461813087022</v>
      </c>
      <c r="M18" s="40"/>
      <c r="N18" s="516"/>
    </row>
    <row r="19" spans="1:27" ht="18.75">
      <c r="A19" s="309" t="s">
        <v>6846</v>
      </c>
      <c r="B19" s="304" t="s">
        <v>4193</v>
      </c>
      <c r="C19" s="303">
        <v>1449</v>
      </c>
      <c r="D19" s="415">
        <v>17693.570415766731</v>
      </c>
      <c r="E19" s="306" t="s">
        <v>5224</v>
      </c>
      <c r="F19" s="305">
        <v>487.08100177239885</v>
      </c>
      <c r="G19" s="409">
        <f t="shared" si="7"/>
        <v>51983.973818648519</v>
      </c>
      <c r="H19" s="320">
        <f t="shared" si="8"/>
        <v>2.9748645394243534</v>
      </c>
      <c r="I19" s="307">
        <f t="shared" si="1"/>
        <v>3.6281179138321997</v>
      </c>
      <c r="J19" s="308">
        <f t="shared" si="9"/>
        <v>1.2195909648155789</v>
      </c>
      <c r="K19" s="308">
        <f t="shared" si="10"/>
        <v>-20.565296132116273</v>
      </c>
      <c r="L19" s="308">
        <f t="shared" si="5"/>
        <v>1.0006906077348066</v>
      </c>
      <c r="M19" s="40"/>
      <c r="N19" s="516"/>
    </row>
    <row r="20" spans="1:27" ht="18.75">
      <c r="A20" s="309" t="s">
        <v>6846</v>
      </c>
      <c r="B20" s="304" t="s">
        <v>4193</v>
      </c>
      <c r="C20" s="303">
        <v>1450</v>
      </c>
      <c r="D20" s="415">
        <v>17691.978676923231</v>
      </c>
      <c r="E20" s="306" t="s">
        <v>5224</v>
      </c>
      <c r="F20" s="305">
        <v>487.08100177239885</v>
      </c>
      <c r="G20" s="409">
        <f t="shared" si="7"/>
        <v>52015.169797076684</v>
      </c>
      <c r="H20" s="320">
        <f t="shared" si="8"/>
        <v>2.9769175860354125</v>
      </c>
      <c r="I20" s="307">
        <f t="shared" si="1"/>
        <v>3.6281179138321997</v>
      </c>
      <c r="J20" s="308">
        <f t="shared" si="9"/>
        <v>1.2187498675984645</v>
      </c>
      <c r="K20" s="308">
        <f t="shared" si="10"/>
        <v>-20.508709034898953</v>
      </c>
      <c r="L20" s="308">
        <f t="shared" si="5"/>
        <v>1.0006901311249139</v>
      </c>
      <c r="M20" s="40"/>
      <c r="N20" s="516"/>
      <c r="Q20" s="293"/>
      <c r="R20" s="113"/>
      <c r="S20" s="113"/>
    </row>
    <row r="21" spans="1:27" ht="18.75">
      <c r="A21" s="309" t="s">
        <v>6846</v>
      </c>
      <c r="B21" s="304" t="s">
        <v>4193</v>
      </c>
      <c r="C21" s="303">
        <v>1451</v>
      </c>
      <c r="D21" s="415">
        <v>17690.38693807973</v>
      </c>
      <c r="E21" s="306" t="s">
        <v>5224</v>
      </c>
      <c r="F21" s="305">
        <v>487.08100177239885</v>
      </c>
      <c r="G21" s="409">
        <f t="shared" si="7"/>
        <v>52046.359320636024</v>
      </c>
      <c r="H21" s="320">
        <f t="shared" si="8"/>
        <v>2.9789706326464711</v>
      </c>
      <c r="I21" s="307">
        <f t="shared" si="1"/>
        <v>3.6281179138321997</v>
      </c>
      <c r="J21" s="308">
        <f t="shared" si="9"/>
        <v>1.217909929715902</v>
      </c>
      <c r="K21" s="308">
        <f t="shared" si="10"/>
        <v>-20.452121937681646</v>
      </c>
      <c r="L21" s="308">
        <f t="shared" si="5"/>
        <v>1.0006896551724138</v>
      </c>
      <c r="M21" s="40"/>
      <c r="N21" s="516"/>
      <c r="Q21" s="113"/>
    </row>
    <row r="22" spans="1:27" ht="18.75">
      <c r="A22" s="309" t="s">
        <v>6846</v>
      </c>
      <c r="B22" s="304" t="s">
        <v>4193</v>
      </c>
      <c r="C22" s="303">
        <v>1452</v>
      </c>
      <c r="D22" s="415">
        <v>17688.795199236229</v>
      </c>
      <c r="E22" s="306" t="s">
        <v>5224</v>
      </c>
      <c r="F22" s="305">
        <v>487.08100177239885</v>
      </c>
      <c r="G22" s="409">
        <f t="shared" si="7"/>
        <v>52077.542389326547</v>
      </c>
      <c r="H22" s="320">
        <f t="shared" si="8"/>
        <v>2.9810236792575302</v>
      </c>
      <c r="I22" s="307">
        <f t="shared" si="1"/>
        <v>3.6281179138321997</v>
      </c>
      <c r="J22" s="308">
        <f t="shared" si="9"/>
        <v>1.2170711487725714</v>
      </c>
      <c r="K22" s="308">
        <f t="shared" si="10"/>
        <v>-20.395534840464336</v>
      </c>
      <c r="L22" s="308">
        <f t="shared" si="5"/>
        <v>1.0006891798759476</v>
      </c>
      <c r="M22" s="40"/>
      <c r="N22" s="516"/>
      <c r="P22" s="261"/>
    </row>
    <row r="23" spans="1:27" ht="18.75">
      <c r="A23" s="309" t="s">
        <v>6846</v>
      </c>
      <c r="B23" s="304" t="s">
        <v>4193</v>
      </c>
      <c r="C23" s="303">
        <v>1453</v>
      </c>
      <c r="D23" s="415">
        <v>17687.203460392728</v>
      </c>
      <c r="E23" s="306" t="s">
        <v>5224</v>
      </c>
      <c r="F23" s="305">
        <v>487.08100177239885</v>
      </c>
      <c r="G23" s="409">
        <f t="shared" si="7"/>
        <v>52108.719003148224</v>
      </c>
      <c r="H23" s="320">
        <f t="shared" si="8"/>
        <v>2.9830767258685893</v>
      </c>
      <c r="I23" s="307">
        <f t="shared" si="1"/>
        <v>3.6281179138321997</v>
      </c>
      <c r="J23" s="308">
        <f t="shared" si="9"/>
        <v>1.2162335223797478</v>
      </c>
      <c r="K23" s="308">
        <f t="shared" si="10"/>
        <v>-20.338947743247015</v>
      </c>
      <c r="L23" s="308">
        <f t="shared" si="5"/>
        <v>1.0006887052341598</v>
      </c>
      <c r="M23" s="40"/>
      <c r="N23" s="516"/>
      <c r="Q23" s="417"/>
      <c r="R23" s="417"/>
      <c r="S23" s="417"/>
      <c r="T23" s="417"/>
    </row>
    <row r="24" spans="1:27" ht="18.75">
      <c r="A24" s="309" t="s">
        <v>6846</v>
      </c>
      <c r="B24" s="304" t="s">
        <v>4193</v>
      </c>
      <c r="C24" s="303">
        <v>1466</v>
      </c>
      <c r="D24" s="415">
        <v>17678.736905145841</v>
      </c>
      <c r="E24" s="306" t="s">
        <v>5224</v>
      </c>
      <c r="F24" s="305">
        <v>489.6464483854391</v>
      </c>
      <c r="G24" s="409">
        <f t="shared" si="7"/>
        <v>52274.440820197124</v>
      </c>
      <c r="H24" s="320">
        <f t="shared" si="8"/>
        <v>2.9939970050512783</v>
      </c>
      <c r="I24" s="307">
        <f t="shared" si="1"/>
        <v>3.6281179138321997</v>
      </c>
      <c r="J24" s="308">
        <f t="shared" si="9"/>
        <v>1.2117974425863065</v>
      </c>
      <c r="K24" s="308">
        <f t="shared" si="10"/>
        <v>-20.037957548274154</v>
      </c>
      <c r="L24" s="308">
        <f t="shared" si="5"/>
        <v>1.0036607436503362</v>
      </c>
      <c r="M24" s="40"/>
      <c r="N24" s="516"/>
      <c r="Q24" s="417"/>
      <c r="R24" s="417"/>
      <c r="S24" s="417"/>
      <c r="T24" s="417"/>
      <c r="X24" s="294"/>
    </row>
    <row r="25" spans="1:27" ht="18.75">
      <c r="A25" s="309" t="s">
        <v>6846</v>
      </c>
      <c r="B25" s="304" t="s">
        <v>4193</v>
      </c>
      <c r="C25" s="303">
        <v>1475</v>
      </c>
      <c r="D25" s="415">
        <v>17674.98772362075</v>
      </c>
      <c r="E25" s="306" t="s">
        <v>5224</v>
      </c>
      <c r="F25" s="305">
        <v>491.85804029323242</v>
      </c>
      <c r="G25" s="409">
        <f t="shared" si="7"/>
        <v>52347.767836186547</v>
      </c>
      <c r="H25" s="320">
        <f t="shared" si="8"/>
        <v>2.9988327508495032</v>
      </c>
      <c r="I25" s="307">
        <f t="shared" si="1"/>
        <v>3.6281179138321997</v>
      </c>
      <c r="J25" s="308">
        <f t="shared" si="9"/>
        <v>1.2098433674917128</v>
      </c>
      <c r="K25" s="308">
        <f t="shared" si="10"/>
        <v>-19.90467230471058</v>
      </c>
      <c r="L25" s="308">
        <f t="shared" si="5"/>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7"/>
        <v>52378.586237906435</v>
      </c>
      <c r="H26" s="320">
        <f t="shared" si="8"/>
        <v>3.0008658577992318</v>
      </c>
      <c r="I26" s="307">
        <f t="shared" si="1"/>
        <v>3.6281179138321997</v>
      </c>
      <c r="J26" s="308">
        <f t="shared" si="9"/>
        <v>1.2090236904134664</v>
      </c>
      <c r="K26" s="308">
        <f t="shared" si="10"/>
        <v>-19.848634794408682</v>
      </c>
      <c r="L26" s="308">
        <f t="shared" si="5"/>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7"/>
        <v>4026.5579059824672</v>
      </c>
      <c r="H27" s="320">
        <f t="shared" ref="H27:H34" si="11">C27/F27</f>
        <v>3.004466042360983</v>
      </c>
      <c r="I27" s="307">
        <f t="shared" si="1"/>
        <v>3.6281179138321997</v>
      </c>
      <c r="J27" s="308">
        <f t="shared" ref="J27:J34" si="12">I27/H27</f>
        <v>1.2075749443255932</v>
      </c>
      <c r="K27" s="308">
        <f t="shared" ref="K27:K59" si="13">(1/J27-1.0256)*100</f>
        <v>-19.749404707425413</v>
      </c>
      <c r="L27" s="308">
        <f t="shared" si="5"/>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7"/>
        <v>59772.056851272217</v>
      </c>
      <c r="H28" s="320">
        <f t="shared" si="11"/>
        <v>3.026086956521739</v>
      </c>
      <c r="I28" s="307">
        <f t="shared" si="1"/>
        <v>3.6281179138321997</v>
      </c>
      <c r="J28" s="308">
        <f t="shared" si="12"/>
        <v>1.1989470117548937</v>
      </c>
      <c r="K28" s="308">
        <f t="shared" si="13"/>
        <v>-19.153478260869583</v>
      </c>
      <c r="L28" s="308">
        <f t="shared" si="5"/>
        <v>1.0071962584552181</v>
      </c>
      <c r="M28" s="310"/>
      <c r="P28" s="261"/>
      <c r="Q28" s="429"/>
      <c r="R28" s="113"/>
      <c r="W28" s="294"/>
    </row>
    <row r="29" spans="1:27" ht="18.75">
      <c r="A29" s="309" t="s">
        <v>6869</v>
      </c>
      <c r="B29" s="304" t="s">
        <v>4193</v>
      </c>
      <c r="C29" s="303">
        <v>1394</v>
      </c>
      <c r="D29" s="415">
        <v>20000</v>
      </c>
      <c r="E29" s="306" t="s">
        <v>5224</v>
      </c>
      <c r="F29" s="305">
        <v>460</v>
      </c>
      <c r="G29" s="409">
        <f t="shared" si="7"/>
        <v>59857.936243299904</v>
      </c>
      <c r="H29" s="320">
        <f t="shared" si="11"/>
        <v>3.0304347826086957</v>
      </c>
      <c r="I29" s="307">
        <f t="shared" si="1"/>
        <v>3.6281179138321997</v>
      </c>
      <c r="J29" s="308">
        <f t="shared" si="12"/>
        <v>1.1972268582229639</v>
      </c>
      <c r="K29" s="308">
        <f t="shared" si="13"/>
        <v>-19.033641304347825</v>
      </c>
      <c r="L29" s="308">
        <f t="shared" si="5"/>
        <v>1.0014367816091954</v>
      </c>
      <c r="M29" s="310"/>
      <c r="P29" s="261"/>
      <c r="Q29" s="429"/>
      <c r="W29" s="294"/>
    </row>
    <row r="30" spans="1:27" ht="18.75">
      <c r="A30" s="309" t="s">
        <v>6869</v>
      </c>
      <c r="B30" s="304" t="s">
        <v>4193</v>
      </c>
      <c r="C30" s="303">
        <v>1396</v>
      </c>
      <c r="D30" s="415">
        <v>5221.2060000000001</v>
      </c>
      <c r="E30" s="306" t="s">
        <v>5224</v>
      </c>
      <c r="F30" s="305">
        <v>460</v>
      </c>
      <c r="G30" s="409">
        <f t="shared" si="7"/>
        <v>15648.950492903312</v>
      </c>
      <c r="H30" s="320">
        <f t="shared" si="11"/>
        <v>3.034782608695652</v>
      </c>
      <c r="I30" s="307">
        <f t="shared" si="1"/>
        <v>3.6281179138321997</v>
      </c>
      <c r="J30" s="308">
        <f t="shared" si="12"/>
        <v>1.1955116334977163</v>
      </c>
      <c r="K30" s="308">
        <f t="shared" si="13"/>
        <v>-18.913804347826101</v>
      </c>
      <c r="L30" s="308">
        <f t="shared" si="5"/>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7"/>
        <v>90680.830763783539</v>
      </c>
      <c r="H31" s="320">
        <f t="shared" si="11"/>
        <v>3.0606060606060606</v>
      </c>
      <c r="I31" s="307">
        <f t="shared" si="1"/>
        <v>3.6281179138321997</v>
      </c>
      <c r="J31" s="308">
        <f t="shared" si="12"/>
        <v>1.1854246649154712</v>
      </c>
      <c r="K31" s="308">
        <f t="shared" si="13"/>
        <v>-18.20204545454547</v>
      </c>
      <c r="L31" s="308">
        <f t="shared" si="5"/>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7"/>
        <v>30232.180444744477</v>
      </c>
      <c r="H32" s="320">
        <f t="shared" si="11"/>
        <v>3.0611363145387775</v>
      </c>
      <c r="I32" s="307">
        <f t="shared" si="1"/>
        <v>3.6281179138321997</v>
      </c>
      <c r="J32" s="308">
        <f t="shared" si="12"/>
        <v>1.1852193241446189</v>
      </c>
      <c r="K32" s="308">
        <f t="shared" si="13"/>
        <v>-18.187430330524958</v>
      </c>
      <c r="L32" s="308">
        <f t="shared" si="5"/>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7"/>
        <v>30312.451207695674</v>
      </c>
      <c r="H33" s="320">
        <f t="shared" si="11"/>
        <v>3.0692640692640691</v>
      </c>
      <c r="I33" s="307">
        <f t="shared" ref="I33:I64" si="14">$O$81/$O$82</f>
        <v>3.6281179138321997</v>
      </c>
      <c r="J33" s="308">
        <f t="shared" si="12"/>
        <v>1.1820807307408154</v>
      </c>
      <c r="K33" s="308">
        <f t="shared" si="13"/>
        <v>-17.963409090909099</v>
      </c>
      <c r="L33" s="308">
        <f t="shared" si="5"/>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7"/>
        <v>30333.828112637631</v>
      </c>
      <c r="H34" s="320">
        <f t="shared" si="11"/>
        <v>3.0714285714285716</v>
      </c>
      <c r="I34" s="307">
        <f t="shared" si="14"/>
        <v>3.6281179138321997</v>
      </c>
      <c r="J34" s="308">
        <f t="shared" si="12"/>
        <v>1.1812476928755999</v>
      </c>
      <c r="K34" s="308">
        <f t="shared" si="13"/>
        <v>-17.903750000000016</v>
      </c>
      <c r="L34" s="308">
        <f t="shared" si="5"/>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5">C35*D35*0.9912/(F35*1.003631981)</f>
        <v>30355.205017579588</v>
      </c>
      <c r="H35" s="320">
        <f t="shared" ref="H35:H40" si="16">C35/F35</f>
        <v>3.0735930735930737</v>
      </c>
      <c r="I35" s="307">
        <f t="shared" si="14"/>
        <v>3.6281179138321997</v>
      </c>
      <c r="J35" s="308">
        <f t="shared" ref="J35:J40" si="17">I35/H35</f>
        <v>1.1804158283031523</v>
      </c>
      <c r="K35" s="308">
        <f t="shared" si="13"/>
        <v>-17.844090909090916</v>
      </c>
      <c r="L35" s="308">
        <f t="shared" si="5"/>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5"/>
        <v>25868.697165219346</v>
      </c>
      <c r="H36" s="320">
        <f t="shared" si="16"/>
        <v>3.0757575757575757</v>
      </c>
      <c r="I36" s="307">
        <f t="shared" si="14"/>
        <v>3.6281179138321997</v>
      </c>
      <c r="J36" s="308">
        <f t="shared" si="17"/>
        <v>1.1795851345464294</v>
      </c>
      <c r="K36" s="308">
        <f t="shared" si="13"/>
        <v>-17.784431818181822</v>
      </c>
      <c r="L36" s="308">
        <f t="shared" si="5"/>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5"/>
        <v>30623.493280686453</v>
      </c>
      <c r="H37" s="320">
        <f t="shared" si="16"/>
        <v>3.1007583965330445</v>
      </c>
      <c r="I37" s="307">
        <f t="shared" si="14"/>
        <v>3.6281179138321997</v>
      </c>
      <c r="J37" s="308">
        <f t="shared" si="17"/>
        <v>1.1700743656419008</v>
      </c>
      <c r="K37" s="308">
        <f t="shared" si="13"/>
        <v>-17.095346695557968</v>
      </c>
      <c r="L37" s="308">
        <f t="shared" si="5"/>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5"/>
        <v>30644.893345872119</v>
      </c>
      <c r="H38" s="320">
        <f t="shared" si="16"/>
        <v>3.1029252437703141</v>
      </c>
      <c r="I38" s="307">
        <f t="shared" si="14"/>
        <v>3.6281179138321997</v>
      </c>
      <c r="J38" s="308">
        <f t="shared" si="17"/>
        <v>1.1692572746044414</v>
      </c>
      <c r="K38" s="308">
        <f t="shared" si="13"/>
        <v>-17.035622968580721</v>
      </c>
      <c r="L38" s="308">
        <f t="shared" si="5"/>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5"/>
        <v>30699.554032978671</v>
      </c>
      <c r="H39" s="320">
        <f t="shared" si="16"/>
        <v>3.108459869848156</v>
      </c>
      <c r="I39" s="307">
        <f t="shared" si="14"/>
        <v>3.6281179138321997</v>
      </c>
      <c r="J39" s="308">
        <f>I39/H39</f>
        <v>1.1671754070318521</v>
      </c>
      <c r="K39" s="308">
        <f t="shared" si="13"/>
        <v>-16.883074837310208</v>
      </c>
      <c r="L39" s="308">
        <f t="shared" si="5"/>
        <v>1.0017836801221536</v>
      </c>
      <c r="M39" s="310"/>
      <c r="P39" s="426"/>
      <c r="Q39" s="261"/>
    </row>
    <row r="40" spans="1:26" ht="18.75">
      <c r="A40" s="309" t="s">
        <v>6873</v>
      </c>
      <c r="B40" s="304" t="s">
        <v>4193</v>
      </c>
      <c r="C40" s="303">
        <v>1427</v>
      </c>
      <c r="D40" s="415">
        <v>7000</v>
      </c>
      <c r="E40" s="306" t="s">
        <v>5224</v>
      </c>
      <c r="F40" s="305">
        <v>459</v>
      </c>
      <c r="G40" s="409">
        <f t="shared" si="15"/>
        <v>21492.954989309022</v>
      </c>
      <c r="H40" s="320">
        <f t="shared" si="16"/>
        <v>3.1089324618736383</v>
      </c>
      <c r="I40" s="307">
        <f t="shared" si="14"/>
        <v>3.6281179138321997</v>
      </c>
      <c r="J40" s="308">
        <f t="shared" si="17"/>
        <v>1.1669979834961315</v>
      </c>
      <c r="K40" s="308">
        <f t="shared" si="13"/>
        <v>-16.870049019607848</v>
      </c>
      <c r="L40" s="308">
        <f t="shared" si="5"/>
        <v>1.0001520341407866</v>
      </c>
      <c r="M40" s="310"/>
      <c r="P40" s="426"/>
      <c r="Q40" s="426"/>
    </row>
    <row r="41" spans="1:26" ht="18.75" customHeight="1">
      <c r="A41" s="309" t="s">
        <v>6873</v>
      </c>
      <c r="B41" s="304" t="s">
        <v>4193</v>
      </c>
      <c r="C41" s="303">
        <v>1434</v>
      </c>
      <c r="D41" s="415">
        <v>10000</v>
      </c>
      <c r="E41" s="306" t="s">
        <v>5224</v>
      </c>
      <c r="F41" s="305">
        <v>461.3</v>
      </c>
      <c r="G41" s="409">
        <f t="shared" ref="G41:G48" si="18">C41*D41*0.9912/(F41*1.003631981)</f>
        <v>30700.998350935079</v>
      </c>
      <c r="H41" s="320">
        <f t="shared" ref="H41:H53" si="19">C41/F41</f>
        <v>3.1086061131584652</v>
      </c>
      <c r="I41" s="307">
        <f t="shared" si="14"/>
        <v>3.6281179138321997</v>
      </c>
      <c r="J41" s="308">
        <f t="shared" ref="J41:J76" si="20">I41/H41</f>
        <v>1.1671204976644307</v>
      </c>
      <c r="K41" s="308">
        <f t="shared" si="13"/>
        <v>-16.879044006069812</v>
      </c>
      <c r="L41" s="308">
        <f t="shared" si="5"/>
        <v>0.99989502868937319</v>
      </c>
      <c r="M41" s="310"/>
      <c r="P41" s="426"/>
      <c r="Q41" s="426"/>
    </row>
    <row r="42" spans="1:26" ht="21.75" customHeight="1">
      <c r="A42" s="309" t="s">
        <v>6873</v>
      </c>
      <c r="B42" s="304" t="s">
        <v>4193</v>
      </c>
      <c r="C42" s="303">
        <v>1435</v>
      </c>
      <c r="D42" s="415">
        <v>10000</v>
      </c>
      <c r="E42" s="306" t="s">
        <v>5224</v>
      </c>
      <c r="F42" s="305">
        <v>461.3</v>
      </c>
      <c r="G42" s="409">
        <f t="shared" si="18"/>
        <v>30722.407694276037</v>
      </c>
      <c r="H42" s="320">
        <f t="shared" si="19"/>
        <v>3.110773899848255</v>
      </c>
      <c r="I42" s="307">
        <f t="shared" si="14"/>
        <v>3.6281179138321997</v>
      </c>
      <c r="J42" s="308">
        <f t="shared" si="20"/>
        <v>1.1663071732758143</v>
      </c>
      <c r="K42" s="308">
        <f t="shared" si="13"/>
        <v>-16.819294385432482</v>
      </c>
      <c r="L42" s="308">
        <f t="shared" si="5"/>
        <v>1.0006973500697349</v>
      </c>
      <c r="M42" s="310"/>
      <c r="P42" s="426"/>
      <c r="Q42" s="426"/>
    </row>
    <row r="43" spans="1:26" ht="18.75">
      <c r="A43" s="309" t="s">
        <v>6873</v>
      </c>
      <c r="B43" s="304" t="s">
        <v>4193</v>
      </c>
      <c r="C43" s="303">
        <v>1436</v>
      </c>
      <c r="D43" s="415">
        <v>10000</v>
      </c>
      <c r="E43" s="306" t="s">
        <v>5224</v>
      </c>
      <c r="F43" s="305">
        <v>461.23</v>
      </c>
      <c r="G43" s="409">
        <f t="shared" si="18"/>
        <v>30748.482968264681</v>
      </c>
      <c r="H43" s="320">
        <f t="shared" si="19"/>
        <v>3.1134141317780717</v>
      </c>
      <c r="I43" s="307">
        <f t="shared" si="14"/>
        <v>3.6281179138321997</v>
      </c>
      <c r="J43" s="308">
        <f t="shared" si="20"/>
        <v>1.1653181235353938</v>
      </c>
      <c r="K43" s="308">
        <f t="shared" si="13"/>
        <v>-16.746522992866907</v>
      </c>
      <c r="L43" s="308">
        <f t="shared" si="5"/>
        <v>1.0008487379715849</v>
      </c>
      <c r="M43" s="310"/>
      <c r="P43" s="426"/>
      <c r="Q43" s="426"/>
    </row>
    <row r="44" spans="1:26" ht="18.75" customHeight="1">
      <c r="A44" s="309" t="s">
        <v>6873</v>
      </c>
      <c r="B44" s="304" t="s">
        <v>4193</v>
      </c>
      <c r="C44" s="303">
        <v>1437</v>
      </c>
      <c r="D44" s="415">
        <v>10000</v>
      </c>
      <c r="E44" s="306" t="s">
        <v>5224</v>
      </c>
      <c r="F44" s="305">
        <v>461.2</v>
      </c>
      <c r="G44" s="409">
        <f t="shared" si="18"/>
        <v>30771.89707184715</v>
      </c>
      <c r="H44" s="320">
        <f t="shared" si="19"/>
        <v>3.1157849089332177</v>
      </c>
      <c r="I44" s="307">
        <f t="shared" si="14"/>
        <v>3.6281179138321997</v>
      </c>
      <c r="J44" s="308">
        <f t="shared" si="20"/>
        <v>1.1644314417949968</v>
      </c>
      <c r="K44" s="308">
        <f t="shared" si="13"/>
        <v>-16.68117844752819</v>
      </c>
      <c r="L44" s="308">
        <f t="shared" si="5"/>
        <v>1.0007614718295739</v>
      </c>
      <c r="M44" s="310"/>
      <c r="P44" s="426"/>
      <c r="Q44" s="426"/>
      <c r="U44" t="s">
        <v>25</v>
      </c>
    </row>
    <row r="45" spans="1:26" ht="20.25" customHeight="1">
      <c r="A45" s="309" t="s">
        <v>6873</v>
      </c>
      <c r="B45" s="304" t="s">
        <v>4193</v>
      </c>
      <c r="C45" s="303">
        <v>1438</v>
      </c>
      <c r="D45" s="415">
        <v>10000</v>
      </c>
      <c r="E45" s="306" t="s">
        <v>5224</v>
      </c>
      <c r="F45" s="305">
        <v>461.2</v>
      </c>
      <c r="G45" s="409">
        <f t="shared" si="18"/>
        <v>30793.311057283368</v>
      </c>
      <c r="H45" s="320">
        <f t="shared" si="19"/>
        <v>3.1179531656548134</v>
      </c>
      <c r="I45" s="307">
        <f t="shared" si="14"/>
        <v>3.6281179138321997</v>
      </c>
      <c r="J45" s="308">
        <f t="shared" si="20"/>
        <v>1.1636216841859601</v>
      </c>
      <c r="K45" s="308">
        <f t="shared" si="13"/>
        <v>-16.621415871639222</v>
      </c>
      <c r="L45" s="308">
        <f t="shared" si="5"/>
        <v>1.000695894224078</v>
      </c>
      <c r="M45" s="310"/>
      <c r="P45" s="426"/>
      <c r="Q45" s="426"/>
    </row>
    <row r="46" spans="1:26" ht="18.75">
      <c r="A46" s="309" t="s">
        <v>6876</v>
      </c>
      <c r="B46" s="304" t="s">
        <v>4193</v>
      </c>
      <c r="C46" s="303">
        <v>1398</v>
      </c>
      <c r="D46" s="415">
        <v>10000</v>
      </c>
      <c r="E46" s="306" t="s">
        <v>5224</v>
      </c>
      <c r="F46" s="305">
        <v>448</v>
      </c>
      <c r="G46" s="409">
        <f t="shared" si="18"/>
        <v>30818.816643508289</v>
      </c>
      <c r="H46" s="320">
        <f t="shared" si="19"/>
        <v>3.1205357142857144</v>
      </c>
      <c r="I46" s="307">
        <f t="shared" si="14"/>
        <v>3.6281179138321997</v>
      </c>
      <c r="J46" s="308">
        <f t="shared" si="20"/>
        <v>1.1626586733882871</v>
      </c>
      <c r="K46" s="308">
        <f t="shared" si="13"/>
        <v>-16.550234375000006</v>
      </c>
      <c r="L46" s="308">
        <f t="shared" si="5"/>
        <v>1.0008282833300219</v>
      </c>
      <c r="M46" s="310"/>
      <c r="P46" s="426"/>
      <c r="Q46" s="426"/>
      <c r="V46" s="375"/>
    </row>
    <row r="47" spans="1:26" ht="18.75">
      <c r="A47" s="309" t="s">
        <v>6876</v>
      </c>
      <c r="B47" s="304" t="s">
        <v>4193</v>
      </c>
      <c r="C47" s="303">
        <v>1398</v>
      </c>
      <c r="D47" s="415">
        <v>15400</v>
      </c>
      <c r="E47" s="306" t="s">
        <v>5224</v>
      </c>
      <c r="F47" s="305">
        <v>443.62</v>
      </c>
      <c r="G47" s="409">
        <f t="shared" si="18"/>
        <v>47929.57481332952</v>
      </c>
      <c r="H47" s="320">
        <f t="shared" si="19"/>
        <v>3.1513457463594969</v>
      </c>
      <c r="I47" s="307">
        <f t="shared" si="14"/>
        <v>3.6281179138321997</v>
      </c>
      <c r="J47" s="308">
        <f t="shared" si="20"/>
        <v>1.1512916086797143</v>
      </c>
      <c r="K47" s="308">
        <f t="shared" si="13"/>
        <v>-15.701032865966379</v>
      </c>
      <c r="L47" s="308">
        <f t="shared" si="5"/>
        <v>1.0098733149993238</v>
      </c>
      <c r="M47" s="310"/>
      <c r="P47" s="426"/>
      <c r="Q47" s="426"/>
      <c r="V47" s="375"/>
    </row>
    <row r="48" spans="1:26" ht="18.75">
      <c r="A48" s="309" t="s">
        <v>6878</v>
      </c>
      <c r="B48" s="304" t="s">
        <v>4193</v>
      </c>
      <c r="C48" s="303">
        <v>1398</v>
      </c>
      <c r="D48" s="415">
        <v>12000</v>
      </c>
      <c r="E48" s="306" t="s">
        <v>5224</v>
      </c>
      <c r="F48" s="305">
        <v>439</v>
      </c>
      <c r="G48" s="409">
        <f t="shared" si="18"/>
        <v>37740.764983029738</v>
      </c>
      <c r="H48" s="320">
        <f t="shared" si="19"/>
        <v>3.1845102505694762</v>
      </c>
      <c r="I48" s="307">
        <f t="shared" si="14"/>
        <v>3.6281179138321997</v>
      </c>
      <c r="J48" s="308">
        <f t="shared" si="20"/>
        <v>1.1393016911103975</v>
      </c>
      <c r="K48" s="308">
        <f t="shared" si="13"/>
        <v>-14.786936218678825</v>
      </c>
      <c r="L48" s="308">
        <f t="shared" si="5"/>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9"/>
        <v>3.1946854934089788</v>
      </c>
      <c r="I49" s="307">
        <f t="shared" si="14"/>
        <v>3.6281179138321997</v>
      </c>
      <c r="J49" s="308">
        <f t="shared" si="20"/>
        <v>1.1356729547611006</v>
      </c>
      <c r="K49" s="308">
        <f t="shared" si="13"/>
        <v>-14.506481087915034</v>
      </c>
      <c r="L49" s="308">
        <f t="shared" si="5"/>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9"/>
        <v>3.2377992633517496</v>
      </c>
      <c r="I50" s="307">
        <f t="shared" si="14"/>
        <v>3.6281179138321997</v>
      </c>
      <c r="J50" s="308">
        <f t="shared" si="20"/>
        <v>1.1205506020396072</v>
      </c>
      <c r="K50" s="308">
        <f t="shared" si="13"/>
        <v>-13.318157803867415</v>
      </c>
      <c r="L50" s="308">
        <f t="shared" si="5"/>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9"/>
        <v>3.245756800744013</v>
      </c>
      <c r="I51" s="307">
        <f t="shared" si="14"/>
        <v>3.6281179138321997</v>
      </c>
      <c r="J51" s="308">
        <f t="shared" si="20"/>
        <v>1.1178033773203646</v>
      </c>
      <c r="K51" s="308">
        <f t="shared" si="13"/>
        <v>-13.09882817949315</v>
      </c>
      <c r="L51" s="308">
        <f t="shared" si="5"/>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9"/>
        <v>3.2455623087602321</v>
      </c>
      <c r="I52" s="307">
        <f t="shared" si="14"/>
        <v>3.6281179138321997</v>
      </c>
      <c r="J52" s="308">
        <f t="shared" si="20"/>
        <v>1.1178703622603072</v>
      </c>
      <c r="K52" s="308">
        <f t="shared" si="13"/>
        <v>-13.104188864796118</v>
      </c>
      <c r="L52" s="308">
        <f t="shared" si="5"/>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9"/>
        <v>3.2701697279702393</v>
      </c>
      <c r="I53" s="307">
        <f t="shared" si="14"/>
        <v>3.6281179138321997</v>
      </c>
      <c r="J53" s="308">
        <f t="shared" si="20"/>
        <v>1.1094585956197862</v>
      </c>
      <c r="K53" s="308">
        <f t="shared" si="13"/>
        <v>-12.425946872820292</v>
      </c>
      <c r="L53" s="308">
        <f t="shared" si="5"/>
        <v>1.0075818662127016</v>
      </c>
      <c r="M53" s="40"/>
      <c r="P53" s="426"/>
      <c r="Q53" s="426"/>
    </row>
    <row r="54" spans="1:23" ht="18.75">
      <c r="A54" s="309" t="s">
        <v>6893</v>
      </c>
      <c r="B54" s="304" t="s">
        <v>4193</v>
      </c>
      <c r="C54" s="303">
        <v>1406.5</v>
      </c>
      <c r="D54" s="415">
        <v>17704</v>
      </c>
      <c r="E54" s="306" t="s">
        <v>5224</v>
      </c>
      <c r="F54" s="305">
        <v>428.87</v>
      </c>
      <c r="G54" s="409">
        <f t="shared" ref="G54:G74" si="21">C54*D54*0.9912/(F54*1.003631981)</f>
        <v>57341.925370211582</v>
      </c>
      <c r="H54" s="320">
        <f t="shared" ref="H54:H74" si="22">C54/F54</f>
        <v>3.2795485811551286</v>
      </c>
      <c r="I54" s="307">
        <f t="shared" si="14"/>
        <v>3.6281179138321997</v>
      </c>
      <c r="J54" s="308">
        <f t="shared" si="20"/>
        <v>1.1062857658764418</v>
      </c>
      <c r="K54" s="308">
        <f t="shared" si="13"/>
        <v>-12.167442231911775</v>
      </c>
      <c r="L54" s="308">
        <f t="shared" si="5"/>
        <v>1.0028680019586356</v>
      </c>
      <c r="M54" s="40"/>
      <c r="N54" s="426"/>
      <c r="O54" s="426"/>
      <c r="P54" s="426"/>
      <c r="Q54" s="426"/>
    </row>
    <row r="55" spans="1:23" ht="18.75">
      <c r="A55" s="309" t="s">
        <v>6886</v>
      </c>
      <c r="B55" s="304" t="s">
        <v>4193</v>
      </c>
      <c r="C55" s="303">
        <v>1405</v>
      </c>
      <c r="D55" s="415">
        <v>309</v>
      </c>
      <c r="E55" s="306" t="s">
        <v>5224</v>
      </c>
      <c r="F55" s="305">
        <v>428.2</v>
      </c>
      <c r="G55" s="409">
        <f t="shared" si="21"/>
        <v>1001.3247302578393</v>
      </c>
      <c r="H55" s="320">
        <f t="shared" si="22"/>
        <v>3.2811770200840731</v>
      </c>
      <c r="I55" s="307">
        <f t="shared" si="14"/>
        <v>3.6281179138321997</v>
      </c>
      <c r="J55" s="308">
        <f t="shared" si="20"/>
        <v>1.1057367193615286</v>
      </c>
      <c r="K55" s="308">
        <f t="shared" si="13"/>
        <v>-12.122558383932736</v>
      </c>
      <c r="L55" s="308">
        <f t="shared" si="5"/>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21"/>
        <v>25680.845932717737</v>
      </c>
      <c r="H56" s="320">
        <f t="shared" si="22"/>
        <v>3.3162790697674418</v>
      </c>
      <c r="I56" s="307">
        <f t="shared" si="14"/>
        <v>3.6281179138321997</v>
      </c>
      <c r="J56" s="308">
        <f t="shared" si="20"/>
        <v>1.0940327510153196</v>
      </c>
      <c r="K56" s="308">
        <f t="shared" si="13"/>
        <v>-11.155058139534891</v>
      </c>
      <c r="L56" s="308">
        <f t="shared" si="5"/>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21"/>
        <v>77699.153820516891</v>
      </c>
      <c r="H57" s="320">
        <f t="shared" si="22"/>
        <v>3.3170454545454544</v>
      </c>
      <c r="I57" s="307">
        <f t="shared" si="14"/>
        <v>3.6281179138321997</v>
      </c>
      <c r="J57" s="308">
        <f t="shared" si="20"/>
        <v>1.0937799808743871</v>
      </c>
      <c r="K57" s="308">
        <f t="shared" si="13"/>
        <v>-11.133934659090928</v>
      </c>
      <c r="L57" s="308">
        <f t="shared" si="5"/>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21"/>
        <v>61117.135996457175</v>
      </c>
      <c r="H58" s="320">
        <f t="shared" si="22"/>
        <v>3.326364692218351</v>
      </c>
      <c r="I58" s="307">
        <f t="shared" si="14"/>
        <v>3.6281179138321997</v>
      </c>
      <c r="J58" s="308">
        <f t="shared" si="20"/>
        <v>1.0907156158552807</v>
      </c>
      <c r="K58" s="308">
        <f t="shared" si="13"/>
        <v>-10.877073170731711</v>
      </c>
      <c r="L58" s="308">
        <f t="shared" si="5"/>
        <v>1.002809499538249</v>
      </c>
      <c r="M58" s="365"/>
      <c r="N58" s="426"/>
      <c r="O58" s="426"/>
      <c r="P58" s="426" t="s">
        <v>25</v>
      </c>
      <c r="Q58" s="426"/>
    </row>
    <row r="59" spans="1:23" ht="18.75">
      <c r="A59" s="309" t="s">
        <v>6888</v>
      </c>
      <c r="B59" s="304" t="s">
        <v>4193</v>
      </c>
      <c r="C59" s="303">
        <v>1432</v>
      </c>
      <c r="D59" s="415">
        <v>2280</v>
      </c>
      <c r="E59" s="306" t="s">
        <v>5224</v>
      </c>
      <c r="F59" s="305">
        <v>430</v>
      </c>
      <c r="G59" s="409">
        <f t="shared" si="21"/>
        <v>7498.8766689287349</v>
      </c>
      <c r="H59" s="320">
        <f t="shared" si="22"/>
        <v>3.3302325581395347</v>
      </c>
      <c r="I59" s="307">
        <f t="shared" si="14"/>
        <v>3.6281179138321997</v>
      </c>
      <c r="J59" s="308">
        <f t="shared" si="20"/>
        <v>1.0894488149077137</v>
      </c>
      <c r="K59" s="308">
        <f t="shared" si="13"/>
        <v>-10.770465116279093</v>
      </c>
      <c r="L59" s="308">
        <f t="shared" si="5"/>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21"/>
        <v>389205.4177951577</v>
      </c>
      <c r="H60" s="320">
        <f t="shared" si="22"/>
        <v>3.3337870722615066</v>
      </c>
      <c r="I60" s="307">
        <f t="shared" si="14"/>
        <v>3.6281179138321997</v>
      </c>
      <c r="J60" s="308">
        <f t="shared" si="20"/>
        <v>1.0882872346646395</v>
      </c>
      <c r="K60" s="308">
        <f>(1/J60-1.0256)*100</f>
        <v>-10.672493820792239</v>
      </c>
      <c r="L60" s="308">
        <f t="shared" si="5"/>
        <v>1.0010673471176312</v>
      </c>
      <c r="M60" s="382"/>
      <c r="N60" s="426"/>
      <c r="O60" s="426"/>
      <c r="P60" s="426"/>
      <c r="Q60" s="426"/>
    </row>
    <row r="61" spans="1:23" ht="18.75">
      <c r="A61" s="309" t="s">
        <v>6962</v>
      </c>
      <c r="B61" s="304" t="s">
        <v>4193</v>
      </c>
      <c r="C61" s="303">
        <v>1339.8</v>
      </c>
      <c r="D61" s="415">
        <v>154247</v>
      </c>
      <c r="E61" s="306" t="s">
        <v>5224</v>
      </c>
      <c r="F61" s="305">
        <v>400.65</v>
      </c>
      <c r="G61" s="409">
        <f t="shared" si="21"/>
        <v>509422.77120016614</v>
      </c>
      <c r="H61" s="320">
        <f t="shared" si="22"/>
        <v>3.3440658929239984</v>
      </c>
      <c r="I61" s="307">
        <f t="shared" si="14"/>
        <v>3.6281179138321997</v>
      </c>
      <c r="J61" s="308">
        <f>I61/H61</f>
        <v>1.0849421123875733</v>
      </c>
      <c r="K61" s="308">
        <f t="shared" ref="K61:K77" si="23">(1/J61-1.0256)*100</f>
        <v>-10.3891838262823</v>
      </c>
      <c r="L61" s="308">
        <f t="shared" si="5"/>
        <v>1.0030832265047807</v>
      </c>
      <c r="M61" s="382"/>
      <c r="N61" s="426"/>
      <c r="O61" s="426"/>
      <c r="P61" s="426" t="s">
        <v>25</v>
      </c>
      <c r="Q61" s="426"/>
    </row>
    <row r="62" spans="1:23" ht="24" customHeight="1">
      <c r="A62" s="309" t="s">
        <v>6965</v>
      </c>
      <c r="B62" s="304" t="s">
        <v>4193</v>
      </c>
      <c r="C62" s="303">
        <v>1340</v>
      </c>
      <c r="D62" s="415">
        <v>49049</v>
      </c>
      <c r="E62" s="306" t="s">
        <v>5224</v>
      </c>
      <c r="F62" s="305">
        <v>400.94</v>
      </c>
      <c r="G62" s="409">
        <f t="shared" si="21"/>
        <v>161898.33091314064</v>
      </c>
      <c r="H62" s="320">
        <f t="shared" si="22"/>
        <v>3.3421459570010477</v>
      </c>
      <c r="I62" s="307">
        <f t="shared" si="14"/>
        <v>3.6281179138321997</v>
      </c>
      <c r="J62" s="308">
        <f>I62/H62</f>
        <v>1.0855653704267776</v>
      </c>
      <c r="K62" s="308">
        <f t="shared" si="23"/>
        <v>-10.442102060158632</v>
      </c>
      <c r="L62" s="308">
        <f t="shared" si="5"/>
        <v>0.99942586779554399</v>
      </c>
      <c r="M62" s="433"/>
      <c r="N62" s="433"/>
      <c r="O62" s="433"/>
      <c r="P62" s="426"/>
      <c r="Q62" s="426"/>
      <c r="T62" s="425"/>
      <c r="U62" s="425"/>
      <c r="V62" s="426"/>
    </row>
    <row r="63" spans="1:23" ht="18.75">
      <c r="A63" s="309" t="s">
        <v>7004</v>
      </c>
      <c r="B63" s="304" t="s">
        <v>4193</v>
      </c>
      <c r="C63" s="303">
        <v>1429</v>
      </c>
      <c r="D63" s="415">
        <v>300000</v>
      </c>
      <c r="E63" s="306" t="s">
        <v>5224</v>
      </c>
      <c r="F63" s="305">
        <v>414.77749999999997</v>
      </c>
      <c r="G63" s="409">
        <f t="shared" si="21"/>
        <v>1020763.4133146395</v>
      </c>
      <c r="H63" s="320">
        <f t="shared" si="22"/>
        <v>3.4452206303379524</v>
      </c>
      <c r="I63" s="307">
        <f t="shared" si="14"/>
        <v>3.6281179138321997</v>
      </c>
      <c r="J63" s="308">
        <f t="shared" ref="J63:J64" si="24">I63/H63</f>
        <v>1.053087248428646</v>
      </c>
      <c r="K63" s="308">
        <f t="shared" ref="K63:K64" si="25">(1/J63-1.0256)*100</f>
        <v>-7.601106376310196</v>
      </c>
      <c r="L63" s="308">
        <f t="shared" si="5"/>
        <v>1.0308408653191781</v>
      </c>
      <c r="M63" s="433"/>
      <c r="N63" s="433"/>
      <c r="O63" s="433"/>
      <c r="T63" s="425"/>
      <c r="U63" s="425"/>
      <c r="V63" s="426"/>
      <c r="W63" s="426"/>
    </row>
    <row r="64" spans="1:23" ht="18.75">
      <c r="A64" s="309" t="s">
        <v>7008</v>
      </c>
      <c r="B64" s="304" t="s">
        <v>4193</v>
      </c>
      <c r="C64" s="303">
        <v>1468</v>
      </c>
      <c r="D64" s="415">
        <v>26655.5</v>
      </c>
      <c r="E64" s="306" t="s">
        <v>5224</v>
      </c>
      <c r="F64" s="305">
        <v>417.37</v>
      </c>
      <c r="G64" s="409">
        <f t="shared" si="21"/>
        <v>92593.065197461779</v>
      </c>
      <c r="H64" s="320">
        <f t="shared" si="22"/>
        <v>3.5172628602918272</v>
      </c>
      <c r="I64" s="307">
        <f t="shared" si="14"/>
        <v>3.6281179138321997</v>
      </c>
      <c r="J64" s="308">
        <f t="shared" si="24"/>
        <v>1.0315174207739408</v>
      </c>
      <c r="K64" s="308">
        <f t="shared" si="25"/>
        <v>-5.6154424132065177</v>
      </c>
      <c r="L64" s="308">
        <f t="shared" si="5"/>
        <v>1.0209107739920877</v>
      </c>
      <c r="M64" s="433"/>
      <c r="N64" s="433"/>
      <c r="O64" s="433" t="s">
        <v>25</v>
      </c>
      <c r="T64" s="425"/>
      <c r="U64" s="425"/>
      <c r="V64" s="426"/>
      <c r="W64" s="426"/>
    </row>
    <row r="65" spans="1:24" ht="18.75">
      <c r="A65" s="309" t="s">
        <v>7008</v>
      </c>
      <c r="B65" s="304" t="s">
        <v>4193</v>
      </c>
      <c r="C65" s="303">
        <v>1456</v>
      </c>
      <c r="D65" s="415">
        <v>42145</v>
      </c>
      <c r="E65" s="306" t="s">
        <v>5224</v>
      </c>
      <c r="F65" s="305">
        <v>414</v>
      </c>
      <c r="G65" s="409">
        <f t="shared" si="21"/>
        <v>146384.09551450505</v>
      </c>
      <c r="H65" s="320">
        <f t="shared" si="22"/>
        <v>3.5169082125603865</v>
      </c>
      <c r="I65" s="307">
        <f t="shared" ref="I65:I74" si="26">$O$81/$O$82</f>
        <v>3.6281179138321997</v>
      </c>
      <c r="J65" s="308">
        <f t="shared" ref="J65" si="27">I65/H65</f>
        <v>1.0316214397847052</v>
      </c>
      <c r="K65" s="308">
        <f t="shared" ref="K65" si="28">(1/J65-1.0256)*100</f>
        <v>-5.6252173913043713</v>
      </c>
      <c r="L65" s="308">
        <f t="shared" si="5"/>
        <v>0.99989916939804402</v>
      </c>
      <c r="M65" s="433"/>
      <c r="N65" s="433"/>
      <c r="O65" s="433"/>
      <c r="T65" s="425"/>
      <c r="U65" s="425"/>
      <c r="V65" s="426"/>
      <c r="W65" s="426"/>
    </row>
    <row r="66" spans="1:24" ht="18.75">
      <c r="A66" s="309" t="s">
        <v>7012</v>
      </c>
      <c r="B66" s="304" t="s">
        <v>4193</v>
      </c>
      <c r="C66" s="303">
        <v>1481</v>
      </c>
      <c r="D66" s="415">
        <v>12935</v>
      </c>
      <c r="E66" s="306" t="s">
        <v>5224</v>
      </c>
      <c r="F66" s="305">
        <v>420.5</v>
      </c>
      <c r="G66" s="409">
        <f t="shared" si="21"/>
        <v>44992.724572910927</v>
      </c>
      <c r="H66" s="320">
        <f t="shared" si="22"/>
        <v>3.5219976218787159</v>
      </c>
      <c r="I66" s="307">
        <f t="shared" si="26"/>
        <v>3.6281179138321997</v>
      </c>
      <c r="J66" s="308">
        <f t="shared" ref="J66" si="29">I66/H66</f>
        <v>1.0301307108483726</v>
      </c>
      <c r="K66" s="308">
        <f t="shared" ref="K66" si="30">(1/J66-1.0256)*100</f>
        <v>-5.4849405469678985</v>
      </c>
      <c r="L66" s="308">
        <f t="shared" si="5"/>
        <v>1.0014471260012283</v>
      </c>
      <c r="M66" s="433"/>
      <c r="N66" s="433"/>
      <c r="O66" s="433"/>
      <c r="T66" s="425"/>
      <c r="U66" s="425"/>
      <c r="V66" s="426"/>
      <c r="W66" s="426"/>
    </row>
    <row r="67" spans="1:24" ht="18.75">
      <c r="A67" s="309" t="s">
        <v>7012</v>
      </c>
      <c r="B67" s="304" t="s">
        <v>4193</v>
      </c>
      <c r="C67" s="303">
        <v>1549</v>
      </c>
      <c r="D67" s="415">
        <v>100000</v>
      </c>
      <c r="E67" s="306" t="s">
        <v>5224</v>
      </c>
      <c r="F67" s="305">
        <v>434.1</v>
      </c>
      <c r="G67" s="409">
        <f t="shared" si="21"/>
        <v>352410.17044120136</v>
      </c>
      <c r="H67" s="320">
        <f t="shared" si="22"/>
        <v>3.5683022345081779</v>
      </c>
      <c r="I67" s="307">
        <f t="shared" si="26"/>
        <v>3.6281179138321997</v>
      </c>
      <c r="J67" s="308">
        <f t="shared" ref="J67" si="31">I67/H67</f>
        <v>1.0167630641669192</v>
      </c>
      <c r="K67" s="308">
        <f t="shared" ref="K67" si="32">(1/J67-1.0256)*100</f>
        <v>-4.2086696613683579</v>
      </c>
      <c r="L67" s="308">
        <f t="shared" ref="L67:L68" si="33">H67/H66</f>
        <v>1.0131472583461774</v>
      </c>
      <c r="M67" s="433"/>
      <c r="N67" s="433"/>
      <c r="O67" s="433"/>
      <c r="T67" s="425"/>
      <c r="U67" s="425"/>
      <c r="V67" s="426"/>
      <c r="W67" s="426"/>
    </row>
    <row r="68" spans="1:24" ht="18.75">
      <c r="A68" s="309" t="s">
        <v>7017</v>
      </c>
      <c r="B68" s="304" t="s">
        <v>4193</v>
      </c>
      <c r="C68" s="303">
        <v>1574</v>
      </c>
      <c r="D68" s="415">
        <v>27779.5</v>
      </c>
      <c r="E68" s="306" t="s">
        <v>5224</v>
      </c>
      <c r="F68" s="305">
        <v>438.13499999999999</v>
      </c>
      <c r="G68" s="409">
        <f t="shared" si="21"/>
        <v>98561.65934849302</v>
      </c>
      <c r="H68" s="320">
        <f t="shared" si="22"/>
        <v>3.5925000285300195</v>
      </c>
      <c r="I68" s="307">
        <f t="shared" si="26"/>
        <v>3.6281179138321997</v>
      </c>
      <c r="J68" s="308">
        <f t="shared" ref="J68" si="34">I68/H68</f>
        <v>1.0099145121835265</v>
      </c>
      <c r="K68" s="308">
        <f t="shared" ref="K68" si="35">(1/J68-1.0256)*100</f>
        <v>-3.5417179636413443</v>
      </c>
      <c r="L68" s="308">
        <f t="shared" si="33"/>
        <v>1.0067813185183225</v>
      </c>
      <c r="M68" s="433"/>
      <c r="N68" s="433"/>
      <c r="O68" s="433"/>
      <c r="T68" s="425"/>
      <c r="U68" s="425"/>
      <c r="V68" s="426"/>
      <c r="W68" s="426"/>
    </row>
    <row r="69" spans="1:24" ht="18.75">
      <c r="A69" s="309" t="s">
        <v>7023</v>
      </c>
      <c r="B69" s="304" t="s">
        <v>4193</v>
      </c>
      <c r="C69" s="303">
        <v>1600</v>
      </c>
      <c r="D69" s="415">
        <v>29951</v>
      </c>
      <c r="E69" s="306" t="s">
        <v>5224</v>
      </c>
      <c r="F69" s="305">
        <v>444.524</v>
      </c>
      <c r="G69" s="409">
        <f t="shared" si="21"/>
        <v>106468.9320248911</v>
      </c>
      <c r="H69" s="320">
        <f t="shared" si="22"/>
        <v>3.5993557153269564</v>
      </c>
      <c r="I69" s="307">
        <f t="shared" si="26"/>
        <v>3.6281179138321997</v>
      </c>
      <c r="J69" s="308">
        <f t="shared" ref="J69:J74" si="36">I69/H69</f>
        <v>1.0079909297052154</v>
      </c>
      <c r="K69" s="308">
        <f t="shared" ref="K69:K74" si="37">(1/J69-1.0256)*100</f>
        <v>-3.3527580963007675</v>
      </c>
      <c r="L69" s="308">
        <f t="shared" ref="L69:L70" si="38">H69/H68</f>
        <v>1.0019083331224752</v>
      </c>
      <c r="M69" s="433"/>
      <c r="N69" s="87" t="s">
        <v>913</v>
      </c>
      <c r="O69" s="87">
        <v>1490.2</v>
      </c>
      <c r="P69" s="87">
        <f>O69/0.9912</f>
        <v>1503.4301856335755</v>
      </c>
      <c r="T69" s="425"/>
      <c r="U69" s="425"/>
      <c r="V69" s="426"/>
      <c r="W69" s="426"/>
      <c r="X69" s="94"/>
    </row>
    <row r="70" spans="1:24" ht="18.75">
      <c r="A70" s="309" t="s">
        <v>7026</v>
      </c>
      <c r="B70" s="304" t="s">
        <v>4193</v>
      </c>
      <c r="C70" s="303">
        <v>1610</v>
      </c>
      <c r="D70" s="415">
        <v>60000</v>
      </c>
      <c r="E70" s="306" t="s">
        <v>5224</v>
      </c>
      <c r="F70" s="305">
        <v>446.25900000000001</v>
      </c>
      <c r="G70" s="409">
        <f t="shared" si="21"/>
        <v>213784.85723214719</v>
      </c>
      <c r="H70" s="320">
        <f t="shared" si="22"/>
        <v>3.6077703754994297</v>
      </c>
      <c r="I70" s="307">
        <f t="shared" si="26"/>
        <v>3.6281179138321997</v>
      </c>
      <c r="J70" s="308">
        <f t="shared" si="36"/>
        <v>1.0056399205644992</v>
      </c>
      <c r="K70" s="308">
        <f t="shared" si="37"/>
        <v>-3.1208290252969895</v>
      </c>
      <c r="L70" s="308">
        <f t="shared" si="38"/>
        <v>1.0023378239990679</v>
      </c>
      <c r="M70" s="433"/>
      <c r="N70" s="87" t="s">
        <v>61</v>
      </c>
      <c r="O70" s="87">
        <v>401.7</v>
      </c>
      <c r="P70" s="87">
        <f>O70/1.003631981</f>
        <v>400.2463129958789</v>
      </c>
      <c r="T70" s="425"/>
      <c r="U70" s="425"/>
      <c r="V70" s="426"/>
      <c r="W70" s="426"/>
      <c r="X70" s="94"/>
    </row>
    <row r="71" spans="1:24" ht="18.75">
      <c r="A71" s="309" t="s">
        <v>7026</v>
      </c>
      <c r="B71" s="304" t="s">
        <v>4193</v>
      </c>
      <c r="C71" s="303">
        <v>1615</v>
      </c>
      <c r="D71" s="415">
        <v>60000</v>
      </c>
      <c r="E71" s="306" t="s">
        <v>5224</v>
      </c>
      <c r="F71" s="305">
        <v>447.48500000000001</v>
      </c>
      <c r="G71" s="409">
        <f t="shared" si="21"/>
        <v>213861.24787659096</v>
      </c>
      <c r="H71" s="320">
        <f t="shared" si="22"/>
        <v>3.6090595215482084</v>
      </c>
      <c r="I71" s="307">
        <f t="shared" si="26"/>
        <v>3.6281179138321997</v>
      </c>
      <c r="J71" s="308">
        <f t="shared" ref="J71:J72" si="39">I71/H71</f>
        <v>1.005280708774738</v>
      </c>
      <c r="K71" s="308">
        <f t="shared" ref="K71:K72" si="40">(1/J71-1.0256)*100</f>
        <v>-3.0852969373275196</v>
      </c>
      <c r="L71" s="308">
        <f t="shared" ref="L71:L72" si="41">H71/H70</f>
        <v>1.000357324861231</v>
      </c>
      <c r="M71" s="436"/>
      <c r="N71" s="87" t="s">
        <v>6279</v>
      </c>
      <c r="O71" s="87">
        <v>14984</v>
      </c>
      <c r="P71" s="87">
        <f>O71*0.9912/1.003631981</f>
        <v>14798.393316643422</v>
      </c>
      <c r="Q71" s="470"/>
      <c r="R71" s="470"/>
      <c r="T71" s="425"/>
      <c r="U71" s="425"/>
      <c r="V71" s="426"/>
      <c r="W71" s="426"/>
      <c r="X71" s="94"/>
    </row>
    <row r="72" spans="1:24" ht="27.75" customHeight="1">
      <c r="A72" s="309" t="s">
        <v>7026</v>
      </c>
      <c r="B72" s="304" t="s">
        <v>4193</v>
      </c>
      <c r="C72" s="303">
        <v>1600</v>
      </c>
      <c r="D72" s="415">
        <v>9750</v>
      </c>
      <c r="E72" s="306" t="s">
        <v>5224</v>
      </c>
      <c r="F72" s="305">
        <v>441.86</v>
      </c>
      <c r="G72" s="409">
        <f t="shared" si="21"/>
        <v>34867.973859972793</v>
      </c>
      <c r="H72" s="320">
        <f t="shared" si="22"/>
        <v>3.6210564432173085</v>
      </c>
      <c r="I72" s="307">
        <f t="shared" si="26"/>
        <v>3.6281179138321997</v>
      </c>
      <c r="J72" s="308">
        <f>I72/H72</f>
        <v>1.001950113378685</v>
      </c>
      <c r="K72" s="308">
        <f t="shared" ref="K72:K74" si="42">(1/J72-1.0256)*100</f>
        <v>-2.7546317838229584</v>
      </c>
      <c r="L72" s="308">
        <f t="shared" ref="L72:L74" si="43">H72/H71</f>
        <v>1.0033241129988217</v>
      </c>
      <c r="M72" s="436"/>
      <c r="N72" s="87" t="s">
        <v>1049</v>
      </c>
      <c r="O72" s="87">
        <v>1155794</v>
      </c>
      <c r="P72" s="87">
        <f>O72*1.00125</f>
        <v>1157238.7424999999</v>
      </c>
      <c r="Q72" s="470"/>
      <c r="R72" s="470"/>
      <c r="T72" s="425"/>
      <c r="U72" s="425"/>
      <c r="V72" s="426"/>
      <c r="W72" s="426"/>
      <c r="X72" s="94"/>
    </row>
    <row r="73" spans="1:24" ht="18.75">
      <c r="A73" s="309" t="s">
        <v>7029</v>
      </c>
      <c r="B73" s="304" t="s">
        <v>4193</v>
      </c>
      <c r="C73" s="303">
        <v>1601</v>
      </c>
      <c r="D73" s="415">
        <v>173709</v>
      </c>
      <c r="E73" s="306" t="s">
        <v>5224</v>
      </c>
      <c r="F73" s="305">
        <v>440</v>
      </c>
      <c r="G73" s="409">
        <f t="shared" si="21"/>
        <v>624234.51401645713</v>
      </c>
      <c r="H73" s="320">
        <f t="shared" si="22"/>
        <v>3.6386363636363637</v>
      </c>
      <c r="I73" s="307">
        <f t="shared" si="26"/>
        <v>3.6281179138321997</v>
      </c>
      <c r="J73" s="308">
        <f t="shared" ref="J72:J74" si="44">I73/H73</f>
        <v>0.9971092330332092</v>
      </c>
      <c r="K73" s="308">
        <f t="shared" si="42"/>
        <v>-2.2700852272727445</v>
      </c>
      <c r="L73" s="308">
        <f t="shared" si="43"/>
        <v>1.0048549147727273</v>
      </c>
      <c r="M73" s="437"/>
      <c r="N73" t="s">
        <v>25</v>
      </c>
      <c r="O73" t="s">
        <v>25</v>
      </c>
      <c r="Q73" s="470"/>
      <c r="R73" s="470"/>
      <c r="T73" s="425"/>
      <c r="U73" s="425"/>
      <c r="V73" s="426"/>
      <c r="W73" s="426"/>
      <c r="X73" s="94"/>
    </row>
    <row r="74" spans="1:24" ht="18.75">
      <c r="A74" s="309"/>
      <c r="B74" s="304"/>
      <c r="C74" s="303"/>
      <c r="D74" s="415"/>
      <c r="E74" s="306"/>
      <c r="F74" s="305"/>
      <c r="G74" s="409" t="e">
        <f t="shared" si="21"/>
        <v>#DIV/0!</v>
      </c>
      <c r="H74" s="320" t="e">
        <f t="shared" si="22"/>
        <v>#DIV/0!</v>
      </c>
      <c r="I74" s="307">
        <f t="shared" si="26"/>
        <v>3.6281179138321997</v>
      </c>
      <c r="J74" s="308" t="e">
        <f t="shared" si="44"/>
        <v>#DIV/0!</v>
      </c>
      <c r="K74" s="308" t="e">
        <f t="shared" si="42"/>
        <v>#DIV/0!</v>
      </c>
      <c r="L74" s="308" t="e">
        <f t="shared" si="43"/>
        <v>#DIV/0!</v>
      </c>
      <c r="M74" s="437"/>
      <c r="O74" t="s">
        <v>25</v>
      </c>
      <c r="Q74" s="470"/>
      <c r="R74" s="470"/>
      <c r="T74" s="425"/>
      <c r="U74" s="425"/>
      <c r="V74" s="426"/>
      <c r="W74" s="426"/>
      <c r="X74" s="94"/>
    </row>
    <row r="75" spans="1:24" ht="27.75" customHeight="1">
      <c r="A75" s="304" t="s">
        <v>6900</v>
      </c>
      <c r="B75" s="304" t="s">
        <v>4193</v>
      </c>
      <c r="C75" s="303">
        <v>1424.84</v>
      </c>
      <c r="D75" s="304">
        <v>174750</v>
      </c>
      <c r="E75" s="339" t="s">
        <v>4618</v>
      </c>
      <c r="F75" s="339">
        <v>372.90320000000003</v>
      </c>
      <c r="G75" s="339">
        <f t="shared" ref="G75:G87" si="45">C75*D75*0.9912/(F75*1.003631981)</f>
        <v>659438.00738498231</v>
      </c>
      <c r="H75" s="339">
        <f>C75/F75</f>
        <v>3.820937980687749</v>
      </c>
      <c r="I75" s="339">
        <f t="shared" ref="I75:I100" si="46">$O$81/$O$84</f>
        <v>3.9771314939100173</v>
      </c>
      <c r="J75" s="32">
        <f t="shared" si="20"/>
        <v>1.0408783167933424</v>
      </c>
      <c r="K75" s="311">
        <f t="shared" si="23"/>
        <v>-6.4872906480824</v>
      </c>
      <c r="L75" s="32">
        <v>1</v>
      </c>
      <c r="M75" s="441"/>
      <c r="N75" s="180">
        <v>33580</v>
      </c>
      <c r="O75" s="180">
        <v>119142</v>
      </c>
      <c r="Q75" s="470"/>
      <c r="R75" s="470" t="s">
        <v>25</v>
      </c>
      <c r="T75" s="425"/>
      <c r="U75" s="425"/>
      <c r="V75" s="426"/>
      <c r="W75" s="426"/>
      <c r="X75" s="94"/>
    </row>
    <row r="76" spans="1:24" ht="21">
      <c r="A76" s="304" t="s">
        <v>6945</v>
      </c>
      <c r="B76" s="304" t="s">
        <v>4193</v>
      </c>
      <c r="C76" s="303">
        <v>1405.3679999999999</v>
      </c>
      <c r="D76" s="304">
        <v>1</v>
      </c>
      <c r="E76" s="339" t="s">
        <v>4618</v>
      </c>
      <c r="F76" s="339">
        <v>388.3</v>
      </c>
      <c r="G76" s="339">
        <f t="shared" si="45"/>
        <v>3.5744520171889298</v>
      </c>
      <c r="H76" s="339">
        <f t="shared" ref="H76:H87" si="47">C76/F76</f>
        <v>3.6192840587174864</v>
      </c>
      <c r="I76" s="339">
        <f t="shared" si="46"/>
        <v>3.9771314939100173</v>
      </c>
      <c r="J76" s="32">
        <f t="shared" si="20"/>
        <v>1.0988724370309126</v>
      </c>
      <c r="K76" s="311">
        <f t="shared" si="23"/>
        <v>-11.557626448622194</v>
      </c>
      <c r="L76" s="32">
        <f>H76/H75</f>
        <v>0.94722397406357117</v>
      </c>
      <c r="M76" s="442"/>
      <c r="N76" s="180">
        <f>N75*O76/O75</f>
        <v>5800.4431686558892</v>
      </c>
      <c r="O76" s="180">
        <v>20580</v>
      </c>
      <c r="R76" t="s">
        <v>25</v>
      </c>
      <c r="T76" s="425"/>
      <c r="U76" s="425"/>
      <c r="V76" s="426"/>
      <c r="W76" s="426"/>
      <c r="X76" s="94"/>
    </row>
    <row r="77" spans="1:24" ht="21">
      <c r="A77" s="304" t="s">
        <v>6960</v>
      </c>
      <c r="B77" s="304" t="s">
        <v>4193</v>
      </c>
      <c r="C77" s="303">
        <v>1306</v>
      </c>
      <c r="D77" s="304">
        <v>11600</v>
      </c>
      <c r="E77" s="339" t="s">
        <v>4618</v>
      </c>
      <c r="F77" s="339">
        <v>379.7</v>
      </c>
      <c r="G77" s="339">
        <f t="shared" si="45"/>
        <v>39404.640586834226</v>
      </c>
      <c r="H77" s="339">
        <f t="shared" si="47"/>
        <v>3.4395575454306031</v>
      </c>
      <c r="I77" s="339">
        <f t="shared" si="46"/>
        <v>3.9771314939100173</v>
      </c>
      <c r="J77" s="32">
        <f t="shared" ref="J77:J101" si="48">I77/H77</f>
        <v>1.1562915989568403</v>
      </c>
      <c r="K77" s="311">
        <f t="shared" si="23"/>
        <v>-16.076624967079269</v>
      </c>
      <c r="L77" s="32">
        <f t="shared" ref="L77:L100" si="49">H77/H76</f>
        <v>0.95034197085083993</v>
      </c>
      <c r="M77" s="443"/>
      <c r="N77" s="180">
        <f>N75-N76</f>
        <v>27779.556831344111</v>
      </c>
      <c r="O77" s="180">
        <f>O75-O76</f>
        <v>98562</v>
      </c>
      <c r="P77" t="s">
        <v>25</v>
      </c>
      <c r="T77" s="425"/>
      <c r="U77" s="425"/>
      <c r="V77" s="426"/>
      <c r="W77" s="426"/>
      <c r="X77" s="94"/>
    </row>
    <row r="78" spans="1:24" ht="21">
      <c r="A78" s="304" t="s">
        <v>6960</v>
      </c>
      <c r="B78" s="304" t="s">
        <v>4193</v>
      </c>
      <c r="C78" s="303">
        <v>1315</v>
      </c>
      <c r="D78" s="304">
        <v>5000</v>
      </c>
      <c r="E78" s="339" t="s">
        <v>4618</v>
      </c>
      <c r="F78" s="339">
        <v>379.5</v>
      </c>
      <c r="G78" s="339">
        <f t="shared" si="45"/>
        <v>17110.818260062471</v>
      </c>
      <c r="H78" s="339">
        <f t="shared" si="47"/>
        <v>3.4650856389986826</v>
      </c>
      <c r="I78" s="339">
        <f t="shared" si="46"/>
        <v>3.9771314939100173</v>
      </c>
      <c r="J78" s="32">
        <f t="shared" si="48"/>
        <v>1.1477729292310659</v>
      </c>
      <c r="K78" s="311">
        <f t="shared" ref="K78:K84" si="50">(1/J78-1.0256)*100</f>
        <v>-15.43475296442689</v>
      </c>
      <c r="L78" s="32">
        <f t="shared" si="49"/>
        <v>1.0074219120427257</v>
      </c>
      <c r="M78" s="444"/>
      <c r="P78" t="s">
        <v>25</v>
      </c>
      <c r="Q78" t="s">
        <v>25</v>
      </c>
      <c r="R78" t="s">
        <v>25</v>
      </c>
      <c r="T78" s="425"/>
      <c r="U78" s="425"/>
      <c r="V78" s="426"/>
      <c r="W78" s="426"/>
      <c r="X78" s="94"/>
    </row>
    <row r="79" spans="1:24" ht="21">
      <c r="A79" s="304" t="s">
        <v>6960</v>
      </c>
      <c r="B79" s="304" t="s">
        <v>4193</v>
      </c>
      <c r="C79" s="303">
        <v>1316</v>
      </c>
      <c r="D79" s="304">
        <v>5000</v>
      </c>
      <c r="E79" s="339" t="s">
        <v>4618</v>
      </c>
      <c r="F79" s="339">
        <v>379.6</v>
      </c>
      <c r="G79" s="339">
        <f t="shared" si="45"/>
        <v>17119.319269587195</v>
      </c>
      <c r="H79" s="339">
        <f t="shared" si="47"/>
        <v>3.4668071654373023</v>
      </c>
      <c r="I79" s="339">
        <f t="shared" si="46"/>
        <v>3.9771314939100173</v>
      </c>
      <c r="J79" s="32">
        <f t="shared" si="48"/>
        <v>1.1472029749910659</v>
      </c>
      <c r="K79" s="311">
        <f t="shared" si="50"/>
        <v>-15.391467334035847</v>
      </c>
      <c r="L79" s="32">
        <f t="shared" si="49"/>
        <v>1.0004968207478755</v>
      </c>
      <c r="M79" s="444"/>
      <c r="P79" t="s">
        <v>25</v>
      </c>
      <c r="Q79" t="s">
        <v>25</v>
      </c>
      <c r="T79" s="425"/>
      <c r="U79" s="425"/>
      <c r="V79" s="426"/>
      <c r="W79" s="426"/>
      <c r="X79" s="94"/>
    </row>
    <row r="80" spans="1:24" ht="21">
      <c r="A80" s="304" t="s">
        <v>6960</v>
      </c>
      <c r="B80" s="304" t="s">
        <v>4193</v>
      </c>
      <c r="C80" s="303">
        <v>1317</v>
      </c>
      <c r="D80" s="304">
        <v>5000</v>
      </c>
      <c r="E80" s="339" t="s">
        <v>4618</v>
      </c>
      <c r="F80" s="339">
        <v>379.6</v>
      </c>
      <c r="G80" s="339">
        <f t="shared" si="45"/>
        <v>17132.327870855876</v>
      </c>
      <c r="H80" s="339">
        <f t="shared" si="47"/>
        <v>3.4694415173867226</v>
      </c>
      <c r="I80" s="339">
        <f t="shared" si="46"/>
        <v>3.9771314939100173</v>
      </c>
      <c r="J80" s="32">
        <f t="shared" si="48"/>
        <v>1.1463319021171168</v>
      </c>
      <c r="K80" s="311">
        <f t="shared" si="50"/>
        <v>-15.3252298472076</v>
      </c>
      <c r="L80" s="32">
        <f t="shared" si="49"/>
        <v>1.0007598784194529</v>
      </c>
      <c r="M80" s="441"/>
      <c r="N80" s="469" t="s">
        <v>5755</v>
      </c>
      <c r="O80" s="465">
        <v>3500</v>
      </c>
      <c r="T80" s="425"/>
      <c r="U80" s="425"/>
      <c r="V80" s="426"/>
      <c r="W80" s="426"/>
      <c r="X80" s="94"/>
    </row>
    <row r="81" spans="1:24" ht="21">
      <c r="A81" s="304" t="s">
        <v>6960</v>
      </c>
      <c r="B81" s="304" t="s">
        <v>4193</v>
      </c>
      <c r="C81" s="303">
        <v>1318</v>
      </c>
      <c r="D81" s="304">
        <v>5000</v>
      </c>
      <c r="E81" s="339" t="s">
        <v>4618</v>
      </c>
      <c r="F81" s="339">
        <v>379.6</v>
      </c>
      <c r="G81" s="339">
        <f t="shared" si="45"/>
        <v>17145.33647212456</v>
      </c>
      <c r="H81" s="339">
        <f t="shared" si="47"/>
        <v>3.4720758693361433</v>
      </c>
      <c r="I81" s="339">
        <f t="shared" si="46"/>
        <v>3.9771314939100173</v>
      </c>
      <c r="J81" s="32">
        <f t="shared" si="48"/>
        <v>1.1454621510532947</v>
      </c>
      <c r="K81" s="311">
        <f t="shared" si="50"/>
        <v>-15.258992360379342</v>
      </c>
      <c r="L81" s="32">
        <f t="shared" si="49"/>
        <v>1.0007593014426728</v>
      </c>
      <c r="M81" s="444"/>
      <c r="N81" s="311" t="s">
        <v>4193</v>
      </c>
      <c r="O81" s="418">
        <v>1600</v>
      </c>
      <c r="T81" s="425"/>
      <c r="U81" s="425"/>
      <c r="V81" s="94"/>
      <c r="W81" s="426"/>
      <c r="X81" s="94"/>
    </row>
    <row r="82" spans="1:24" ht="21">
      <c r="A82" s="304" t="s">
        <v>6960</v>
      </c>
      <c r="B82" s="304" t="s">
        <v>4193</v>
      </c>
      <c r="C82" s="303">
        <v>1316</v>
      </c>
      <c r="D82" s="304">
        <v>5000</v>
      </c>
      <c r="E82" s="339" t="s">
        <v>4618</v>
      </c>
      <c r="F82" s="339">
        <v>378</v>
      </c>
      <c r="G82" s="339">
        <f t="shared" si="45"/>
        <v>17191.78199665423</v>
      </c>
      <c r="H82" s="339">
        <f t="shared" si="47"/>
        <v>3.4814814814814814</v>
      </c>
      <c r="I82" s="339">
        <f t="shared" si="46"/>
        <v>3.9771314939100173</v>
      </c>
      <c r="J82" s="32">
        <f t="shared" si="48"/>
        <v>1.142367556761388</v>
      </c>
      <c r="K82" s="311">
        <f t="shared" si="50"/>
        <v>-15.022500000000004</v>
      </c>
      <c r="L82" s="32">
        <f t="shared" si="49"/>
        <v>1.0027089304782779</v>
      </c>
      <c r="M82" s="444"/>
      <c r="N82" s="311" t="s">
        <v>5224</v>
      </c>
      <c r="O82" s="419">
        <v>441</v>
      </c>
      <c r="P82" t="s">
        <v>25</v>
      </c>
      <c r="U82" s="94"/>
      <c r="V82" s="94"/>
      <c r="W82" s="94"/>
      <c r="X82" s="94"/>
    </row>
    <row r="83" spans="1:24" ht="21">
      <c r="A83" s="304" t="s">
        <v>6960</v>
      </c>
      <c r="B83" s="304" t="s">
        <v>4193</v>
      </c>
      <c r="C83" s="303">
        <v>1317</v>
      </c>
      <c r="D83" s="304">
        <v>5000</v>
      </c>
      <c r="E83" s="339" t="s">
        <v>4618</v>
      </c>
      <c r="F83" s="339">
        <v>378</v>
      </c>
      <c r="G83" s="339">
        <f t="shared" si="45"/>
        <v>17204.845660785428</v>
      </c>
      <c r="H83" s="339">
        <f t="shared" si="47"/>
        <v>3.4841269841269842</v>
      </c>
      <c r="I83" s="339">
        <f t="shared" si="46"/>
        <v>3.9771314939100173</v>
      </c>
      <c r="J83" s="32">
        <f t="shared" si="48"/>
        <v>1.1415001554274764</v>
      </c>
      <c r="K83" s="311">
        <f t="shared" si="50"/>
        <v>-14.955982142857138</v>
      </c>
      <c r="L83" s="32">
        <f t="shared" si="49"/>
        <v>1.0007598784194529</v>
      </c>
      <c r="M83" s="446"/>
      <c r="N83" s="311" t="s">
        <v>6934</v>
      </c>
      <c r="O83" s="466">
        <v>1000</v>
      </c>
      <c r="U83" s="94"/>
      <c r="V83" s="94"/>
      <c r="W83" s="94"/>
      <c r="X83" s="94"/>
    </row>
    <row r="84" spans="1:24" ht="21">
      <c r="A84" s="304" t="s">
        <v>6960</v>
      </c>
      <c r="B84" s="304" t="s">
        <v>4193</v>
      </c>
      <c r="C84" s="303">
        <v>1318</v>
      </c>
      <c r="D84" s="304">
        <v>5000</v>
      </c>
      <c r="E84" s="339" t="s">
        <v>4618</v>
      </c>
      <c r="F84" s="339">
        <v>378</v>
      </c>
      <c r="G84" s="339">
        <f t="shared" si="45"/>
        <v>17217.909324916622</v>
      </c>
      <c r="H84" s="339">
        <f t="shared" si="47"/>
        <v>3.486772486772487</v>
      </c>
      <c r="I84" s="339">
        <f t="shared" si="46"/>
        <v>3.9771314939100173</v>
      </c>
      <c r="J84" s="32">
        <f t="shared" si="48"/>
        <v>1.1406340703323115</v>
      </c>
      <c r="K84" s="311">
        <f t="shared" si="50"/>
        <v>-14.889464285714293</v>
      </c>
      <c r="L84" s="32">
        <f t="shared" si="49"/>
        <v>1.0007593014426728</v>
      </c>
      <c r="M84" s="446"/>
      <c r="N84" s="311" t="s">
        <v>4618</v>
      </c>
      <c r="O84" s="467">
        <v>402.3</v>
      </c>
      <c r="U84" s="94"/>
      <c r="V84" s="94"/>
      <c r="W84" s="94"/>
      <c r="X84" s="94"/>
    </row>
    <row r="85" spans="1:24" ht="21">
      <c r="A85" s="304" t="s">
        <v>6960</v>
      </c>
      <c r="B85" s="304" t="s">
        <v>4193</v>
      </c>
      <c r="C85" s="303">
        <v>1319</v>
      </c>
      <c r="D85" s="304">
        <v>5000</v>
      </c>
      <c r="E85" s="339" t="s">
        <v>4618</v>
      </c>
      <c r="F85" s="339">
        <v>378</v>
      </c>
      <c r="G85" s="339">
        <f t="shared" si="45"/>
        <v>17230.972989047819</v>
      </c>
      <c r="H85" s="339">
        <f t="shared" si="47"/>
        <v>3.4894179894179893</v>
      </c>
      <c r="I85" s="339">
        <f t="shared" si="46"/>
        <v>3.9771314939100173</v>
      </c>
      <c r="J85" s="32">
        <f t="shared" si="48"/>
        <v>1.1397692984821732</v>
      </c>
      <c r="K85" s="311">
        <f t="shared" ref="K85:K101" si="51">(1/J85-1.0256)*100</f>
        <v>-14.822946428571427</v>
      </c>
      <c r="L85" s="32">
        <f t="shared" si="49"/>
        <v>1.0007587253414263</v>
      </c>
      <c r="M85" s="446"/>
      <c r="N85" s="311" t="s">
        <v>5710</v>
      </c>
      <c r="O85" s="467">
        <v>1100</v>
      </c>
      <c r="P85">
        <f>O85*(1+20/81.5)+215-2000/81.5</f>
        <v>1560.3987730061349</v>
      </c>
      <c r="R85" s="94"/>
    </row>
    <row r="86" spans="1:24" ht="21">
      <c r="A86" s="304" t="s">
        <v>6962</v>
      </c>
      <c r="B86" s="304" t="s">
        <v>4193</v>
      </c>
      <c r="C86" s="303">
        <v>1339.8</v>
      </c>
      <c r="D86" s="304">
        <v>66105</v>
      </c>
      <c r="E86" s="339" t="s">
        <v>4618</v>
      </c>
      <c r="F86" s="339">
        <v>378.53</v>
      </c>
      <c r="G86" s="339">
        <f t="shared" si="45"/>
        <v>231079.15984035551</v>
      </c>
      <c r="H86" s="339">
        <f t="shared" si="47"/>
        <v>3.5394816791271499</v>
      </c>
      <c r="I86" s="339">
        <f t="shared" si="46"/>
        <v>3.9771314939100173</v>
      </c>
      <c r="J86" s="32">
        <f t="shared" si="48"/>
        <v>1.1236479955140759</v>
      </c>
      <c r="K86" s="311">
        <f t="shared" si="51"/>
        <v>-13.56415753044673</v>
      </c>
      <c r="L86" s="32">
        <f t="shared" si="49"/>
        <v>1.0143472893935275</v>
      </c>
      <c r="M86" s="447"/>
      <c r="N86" s="469" t="s">
        <v>1049</v>
      </c>
      <c r="O86" s="468">
        <v>13850000</v>
      </c>
      <c r="Q86" s="94"/>
      <c r="R86" s="94"/>
    </row>
    <row r="87" spans="1:24" ht="23.25">
      <c r="A87" s="304" t="s">
        <v>6965</v>
      </c>
      <c r="B87" s="304" t="s">
        <v>4193</v>
      </c>
      <c r="C87" s="303">
        <v>1340</v>
      </c>
      <c r="D87" s="304">
        <v>1813</v>
      </c>
      <c r="E87" s="339" t="s">
        <v>4618</v>
      </c>
      <c r="F87" s="339">
        <v>377.53</v>
      </c>
      <c r="G87" s="339">
        <f t="shared" si="45"/>
        <v>6355.3275095196968</v>
      </c>
      <c r="H87" s="339">
        <f t="shared" si="47"/>
        <v>3.5493868036977196</v>
      </c>
      <c r="I87" s="339">
        <f t="shared" si="46"/>
        <v>3.9771314939100173</v>
      </c>
      <c r="J87" s="32">
        <f t="shared" si="48"/>
        <v>1.1205122782804842</v>
      </c>
      <c r="K87" s="311">
        <f t="shared" si="51"/>
        <v>-13.315105554525475</v>
      </c>
      <c r="L87" s="32">
        <f t="shared" si="49"/>
        <v>1.0027984675352275</v>
      </c>
      <c r="M87" s="389"/>
      <c r="N87" s="463" t="s">
        <v>5238</v>
      </c>
      <c r="O87" s="464">
        <v>199</v>
      </c>
      <c r="Q87" s="94"/>
      <c r="R87" s="94"/>
    </row>
    <row r="88" spans="1:24" ht="26.25">
      <c r="A88" s="304" t="s">
        <v>6969</v>
      </c>
      <c r="B88" s="304" t="s">
        <v>4193</v>
      </c>
      <c r="C88" s="303">
        <v>1320</v>
      </c>
      <c r="D88" s="304">
        <v>158287.5</v>
      </c>
      <c r="E88" s="339" t="s">
        <v>4618</v>
      </c>
      <c r="F88" s="339">
        <v>369.05</v>
      </c>
      <c r="G88" s="339">
        <f t="shared" ref="G88:G100" si="52">C88*D88*0.9912/(F88*1.003631981)</f>
        <v>559142.0353652609</v>
      </c>
      <c r="H88" s="339">
        <f>C88/F88</f>
        <v>3.576751117734724</v>
      </c>
      <c r="I88" s="339">
        <f t="shared" si="46"/>
        <v>3.9771314939100173</v>
      </c>
      <c r="J88" s="32">
        <f t="shared" si="48"/>
        <v>1.1119396801723425</v>
      </c>
      <c r="K88" s="311">
        <f t="shared" si="51"/>
        <v>-12.62706408345754</v>
      </c>
      <c r="L88" s="32">
        <f t="shared" si="49"/>
        <v>1.0077095891629777</v>
      </c>
      <c r="M88" s="389"/>
      <c r="N88" s="487" t="s">
        <v>4473</v>
      </c>
      <c r="O88" s="488">
        <v>860</v>
      </c>
      <c r="Q88" s="94"/>
      <c r="R88" s="94"/>
    </row>
    <row r="89" spans="1:24" ht="21">
      <c r="A89" s="304" t="s">
        <v>6974</v>
      </c>
      <c r="B89" s="304" t="s">
        <v>4193</v>
      </c>
      <c r="C89" s="303">
        <v>1380</v>
      </c>
      <c r="D89" s="304">
        <v>1476.3</v>
      </c>
      <c r="E89" s="339" t="s">
        <v>4618</v>
      </c>
      <c r="F89" s="339">
        <v>383.6</v>
      </c>
      <c r="G89" s="339">
        <f t="shared" si="52"/>
        <v>5245.198269471055</v>
      </c>
      <c r="H89" s="339">
        <f>C89/F89</f>
        <v>3.5974973931178309</v>
      </c>
      <c r="I89" s="339">
        <f t="shared" si="46"/>
        <v>3.9771314939100173</v>
      </c>
      <c r="J89" s="32">
        <f t="shared" si="48"/>
        <v>1.1055272761332484</v>
      </c>
      <c r="K89" s="311">
        <f t="shared" si="51"/>
        <v>-12.105424921793551</v>
      </c>
      <c r="L89" s="32">
        <f t="shared" si="49"/>
        <v>1.0058003128258604</v>
      </c>
      <c r="M89" s="389"/>
      <c r="N89" s="448"/>
      <c r="O89" s="448"/>
      <c r="P89" t="s">
        <v>25</v>
      </c>
      <c r="Q89" s="120"/>
      <c r="R89" s="94"/>
    </row>
    <row r="90" spans="1:24" ht="21">
      <c r="A90" s="304" t="s">
        <v>6977</v>
      </c>
      <c r="B90" s="304" t="s">
        <v>4193</v>
      </c>
      <c r="C90" s="303">
        <v>1367.8</v>
      </c>
      <c r="D90" s="304">
        <v>13625</v>
      </c>
      <c r="E90" s="339" t="s">
        <v>4618</v>
      </c>
      <c r="F90" s="339">
        <v>379.39</v>
      </c>
      <c r="G90" s="339">
        <f t="shared" si="52"/>
        <v>48513.212305542147</v>
      </c>
      <c r="H90" s="339">
        <f>C90/F90</f>
        <v>3.6052610769920137</v>
      </c>
      <c r="I90" s="339">
        <f t="shared" si="46"/>
        <v>3.9771314939100173</v>
      </c>
      <c r="J90" s="32">
        <f t="shared" si="48"/>
        <v>1.1031465985337925</v>
      </c>
      <c r="K90" s="311">
        <f t="shared" si="51"/>
        <v>-11.910216795382055</v>
      </c>
      <c r="L90" s="32">
        <f t="shared" si="49"/>
        <v>1.0021580790827076</v>
      </c>
      <c r="M90" s="389"/>
      <c r="N90" s="449"/>
      <c r="O90" s="449"/>
      <c r="Q90" s="94"/>
      <c r="R90" s="94"/>
    </row>
    <row r="91" spans="1:24" ht="21">
      <c r="A91" s="304" t="s">
        <v>6979</v>
      </c>
      <c r="B91" s="304" t="s">
        <v>4193</v>
      </c>
      <c r="C91" s="303">
        <v>1365</v>
      </c>
      <c r="D91" s="304">
        <v>8000</v>
      </c>
      <c r="E91" s="339" t="s">
        <v>4618</v>
      </c>
      <c r="F91" s="339">
        <v>378.02</v>
      </c>
      <c r="G91" s="339">
        <f t="shared" si="52"/>
        <v>28529.532963433961</v>
      </c>
      <c r="H91" s="339">
        <f>C91/F91</f>
        <v>3.6109200571398339</v>
      </c>
      <c r="I91" s="339">
        <f t="shared" si="46"/>
        <v>3.9771314939100173</v>
      </c>
      <c r="J91" s="32">
        <f t="shared" si="48"/>
        <v>1.1014177636101574</v>
      </c>
      <c r="K91" s="311">
        <f t="shared" si="51"/>
        <v>-11.767928813290318</v>
      </c>
      <c r="L91" s="32">
        <f t="shared" si="49"/>
        <v>1.0015696450345675</v>
      </c>
      <c r="M91" s="389"/>
      <c r="Q91" s="94" t="s">
        <v>25</v>
      </c>
      <c r="R91" s="94"/>
    </row>
    <row r="92" spans="1:24" ht="21">
      <c r="A92" s="304" t="s">
        <v>6981</v>
      </c>
      <c r="B92" s="304" t="s">
        <v>4193</v>
      </c>
      <c r="C92" s="303">
        <v>1367</v>
      </c>
      <c r="D92" s="304">
        <v>21502</v>
      </c>
      <c r="E92" s="339" t="s">
        <v>4618</v>
      </c>
      <c r="F92" s="339">
        <v>375.024</v>
      </c>
      <c r="G92" s="339">
        <f t="shared" si="52"/>
        <v>77406.086690312324</v>
      </c>
      <c r="H92" s="339">
        <f>C92/F92</f>
        <v>3.6451000469303296</v>
      </c>
      <c r="I92" s="339">
        <f t="shared" si="46"/>
        <v>3.9771314939100173</v>
      </c>
      <c r="J92" s="32">
        <f t="shared" si="48"/>
        <v>1.0910898034909366</v>
      </c>
      <c r="K92" s="311">
        <f t="shared" si="51"/>
        <v>-10.908515694995524</v>
      </c>
      <c r="L92" s="32">
        <f t="shared" si="49"/>
        <v>1.0094657287476947</v>
      </c>
      <c r="M92" s="389"/>
      <c r="Q92" s="94"/>
      <c r="R92" s="94"/>
    </row>
    <row r="93" spans="1:24" ht="21">
      <c r="A93" s="304" t="s">
        <v>6983</v>
      </c>
      <c r="B93" s="304" t="s">
        <v>4193</v>
      </c>
      <c r="C93" s="303">
        <v>1368</v>
      </c>
      <c r="D93" s="304">
        <v>27258</v>
      </c>
      <c r="E93" s="339" t="s">
        <v>4618</v>
      </c>
      <c r="F93" s="339">
        <v>375</v>
      </c>
      <c r="G93" s="339">
        <f t="shared" si="52"/>
        <v>98205.456428953723</v>
      </c>
      <c r="H93" s="339">
        <f t="shared" ref="H93:H100" si="53">C93/F93</f>
        <v>3.6480000000000001</v>
      </c>
      <c r="I93" s="339">
        <f t="shared" si="46"/>
        <v>3.9771314939100173</v>
      </c>
      <c r="J93" s="32">
        <f t="shared" si="48"/>
        <v>1.0902224489884915</v>
      </c>
      <c r="K93" s="311">
        <f t="shared" si="51"/>
        <v>-10.835600000000001</v>
      </c>
      <c r="L93" s="32">
        <f t="shared" si="49"/>
        <v>1.0007955757132407</v>
      </c>
      <c r="M93" s="389"/>
      <c r="Q93" s="94" t="s">
        <v>25</v>
      </c>
      <c r="R93" s="94"/>
    </row>
    <row r="94" spans="1:24" ht="21">
      <c r="A94" s="304" t="s">
        <v>6986</v>
      </c>
      <c r="B94" s="304" t="s">
        <v>4193</v>
      </c>
      <c r="C94" s="303">
        <v>1370</v>
      </c>
      <c r="D94" s="304">
        <v>35232</v>
      </c>
      <c r="E94" s="339" t="s">
        <v>4618</v>
      </c>
      <c r="F94" s="339">
        <v>373.7</v>
      </c>
      <c r="G94" s="339">
        <f t="shared" si="52"/>
        <v>127562.07296610349</v>
      </c>
      <c r="H94" s="339">
        <f t="shared" si="53"/>
        <v>3.666042279903666</v>
      </c>
      <c r="I94" s="339">
        <f t="shared" si="46"/>
        <v>3.9771314939100173</v>
      </c>
      <c r="J94" s="32">
        <f t="shared" si="48"/>
        <v>1.0848569629738491</v>
      </c>
      <c r="K94" s="311">
        <f t="shared" si="51"/>
        <v>-10.381949424672188</v>
      </c>
      <c r="L94" s="32">
        <f t="shared" si="49"/>
        <v>1.0049458004121892</v>
      </c>
      <c r="M94" s="389"/>
      <c r="Q94" s="94"/>
      <c r="R94" s="94"/>
    </row>
    <row r="95" spans="1:24" ht="21">
      <c r="A95" s="304" t="s">
        <v>6989</v>
      </c>
      <c r="B95" s="304" t="s">
        <v>4193</v>
      </c>
      <c r="C95" s="303">
        <v>1347</v>
      </c>
      <c r="D95" s="304">
        <v>135000</v>
      </c>
      <c r="E95" s="339" t="s">
        <v>4618</v>
      </c>
      <c r="F95" s="339">
        <v>364.71</v>
      </c>
      <c r="G95" s="339">
        <f t="shared" si="52"/>
        <v>492425.45446427498</v>
      </c>
      <c r="H95" s="339">
        <f t="shared" si="53"/>
        <v>3.693345397713252</v>
      </c>
      <c r="I95" s="339">
        <f t="shared" si="46"/>
        <v>3.9771314939100173</v>
      </c>
      <c r="J95" s="32">
        <f t="shared" si="48"/>
        <v>1.0768371396762599</v>
      </c>
      <c r="K95" s="311">
        <f t="shared" si="51"/>
        <v>-9.6954466562474195</v>
      </c>
      <c r="L95" s="32">
        <f t="shared" si="49"/>
        <v>1.0074475730842645</v>
      </c>
      <c r="M95" s="389"/>
      <c r="Q95" s="94"/>
    </row>
    <row r="96" spans="1:24" ht="21">
      <c r="A96" s="304" t="s">
        <v>6991</v>
      </c>
      <c r="B96" s="304" t="s">
        <v>4193</v>
      </c>
      <c r="C96" s="303">
        <v>1330</v>
      </c>
      <c r="D96" s="304">
        <v>90859</v>
      </c>
      <c r="E96" s="339" t="s">
        <v>4618</v>
      </c>
      <c r="F96" s="339">
        <v>355.81599999999997</v>
      </c>
      <c r="G96" s="339">
        <f t="shared" si="52"/>
        <v>335413.79625798215</v>
      </c>
      <c r="H96" s="339">
        <f t="shared" si="53"/>
        <v>3.7378869977741309</v>
      </c>
      <c r="I96" s="339">
        <f t="shared" si="46"/>
        <v>3.9771314939100173</v>
      </c>
      <c r="J96" s="32">
        <f t="shared" si="48"/>
        <v>1.0640052779226215</v>
      </c>
      <c r="K96" s="311">
        <f t="shared" si="51"/>
        <v>-8.5755037997166994</v>
      </c>
      <c r="L96" s="32">
        <f t="shared" si="49"/>
        <v>1.012059960622274</v>
      </c>
      <c r="M96" s="389"/>
      <c r="X96" t="s">
        <v>25</v>
      </c>
    </row>
    <row r="97" spans="1:25" ht="21">
      <c r="A97" s="304" t="s">
        <v>6991</v>
      </c>
      <c r="B97" s="304" t="s">
        <v>4193</v>
      </c>
      <c r="C97" s="303">
        <v>1325</v>
      </c>
      <c r="D97" s="304">
        <v>51984.7</v>
      </c>
      <c r="E97" s="339" t="s">
        <v>4618</v>
      </c>
      <c r="F97" s="339">
        <v>350.387</v>
      </c>
      <c r="G97" s="339">
        <f t="shared" si="52"/>
        <v>194146.80021926897</v>
      </c>
      <c r="H97" s="339">
        <f t="shared" si="53"/>
        <v>3.781532990664608</v>
      </c>
      <c r="I97" s="339">
        <f t="shared" si="46"/>
        <v>3.9771314939100173</v>
      </c>
      <c r="J97" s="32">
        <f t="shared" si="48"/>
        <v>1.0517246586842635</v>
      </c>
      <c r="K97" s="311">
        <f t="shared" si="51"/>
        <v>-7.4780798659767616</v>
      </c>
      <c r="L97" s="32">
        <f t="shared" si="49"/>
        <v>1.011676648576179</v>
      </c>
      <c r="M97" s="389"/>
    </row>
    <row r="98" spans="1:25" ht="21">
      <c r="A98" s="304" t="s">
        <v>7008</v>
      </c>
      <c r="B98" s="304" t="s">
        <v>4193</v>
      </c>
      <c r="C98" s="303">
        <v>1470.07</v>
      </c>
      <c r="D98" s="304">
        <v>14868</v>
      </c>
      <c r="E98" s="339" t="s">
        <v>4618</v>
      </c>
      <c r="F98" s="339">
        <v>374</v>
      </c>
      <c r="G98" s="339">
        <f t="shared" si="52"/>
        <v>57717.268110700286</v>
      </c>
      <c r="H98" s="339">
        <f t="shared" si="53"/>
        <v>3.930668449197861</v>
      </c>
      <c r="I98" s="339">
        <f t="shared" si="46"/>
        <v>3.9771314939100173</v>
      </c>
      <c r="J98" s="32">
        <f t="shared" ref="J98:J100" si="54">I98/H98</f>
        <v>1.0118206471272433</v>
      </c>
      <c r="K98" s="311">
        <f t="shared" ref="K98:K100" si="55">(1/J98-1.0256)*100</f>
        <v>-3.728255180481288</v>
      </c>
      <c r="L98" s="32">
        <f t="shared" si="49"/>
        <v>1.0394378308747856</v>
      </c>
      <c r="M98" s="389"/>
    </row>
    <row r="99" spans="1:25" ht="21">
      <c r="A99" s="304" t="s">
        <v>7012</v>
      </c>
      <c r="B99" s="304" t="s">
        <v>4193</v>
      </c>
      <c r="C99" s="303">
        <v>1503</v>
      </c>
      <c r="D99" s="304">
        <v>647065</v>
      </c>
      <c r="E99" s="339" t="s">
        <v>4618</v>
      </c>
      <c r="F99" s="339">
        <v>375.71530000000001</v>
      </c>
      <c r="G99" s="339">
        <f t="shared" si="52"/>
        <v>2556435.3282260117</v>
      </c>
      <c r="H99" s="339">
        <f t="shared" si="53"/>
        <v>4.0003694286604778</v>
      </c>
      <c r="I99" s="339">
        <f t="shared" si="46"/>
        <v>3.9771314939100173</v>
      </c>
      <c r="J99" s="32">
        <f t="shared" si="54"/>
        <v>0.99419105281027964</v>
      </c>
      <c r="K99" s="311">
        <f t="shared" si="55"/>
        <v>-1.9757111781181225</v>
      </c>
      <c r="L99" s="32">
        <f t="shared" si="49"/>
        <v>1.0177326020659008</v>
      </c>
      <c r="M99" s="389"/>
      <c r="Y99" t="s">
        <v>25</v>
      </c>
    </row>
    <row r="100" spans="1:25" ht="21">
      <c r="A100" s="304"/>
      <c r="B100" s="304"/>
      <c r="C100" s="303"/>
      <c r="D100" s="304"/>
      <c r="E100" s="339"/>
      <c r="F100" s="339"/>
      <c r="G100" s="339" t="e">
        <f t="shared" si="52"/>
        <v>#DIV/0!</v>
      </c>
      <c r="H100" s="339" t="e">
        <f t="shared" si="53"/>
        <v>#DIV/0!</v>
      </c>
      <c r="I100" s="339">
        <f t="shared" si="46"/>
        <v>3.9771314939100173</v>
      </c>
      <c r="J100" s="32" t="e">
        <f t="shared" si="54"/>
        <v>#DIV/0!</v>
      </c>
      <c r="K100" s="311" t="e">
        <f t="shared" si="55"/>
        <v>#DIV/0!</v>
      </c>
      <c r="L100" s="32" t="e">
        <f t="shared" si="49"/>
        <v>#DIV/0!</v>
      </c>
      <c r="M100" s="389" t="s">
        <v>25</v>
      </c>
      <c r="Q100" t="s">
        <v>25</v>
      </c>
    </row>
    <row r="101" spans="1:25" ht="21">
      <c r="A101" s="304" t="s">
        <v>6858</v>
      </c>
      <c r="B101" s="304" t="s">
        <v>4193</v>
      </c>
      <c r="C101" s="303">
        <v>1410</v>
      </c>
      <c r="D101" s="304">
        <v>90337</v>
      </c>
      <c r="E101" s="462" t="s">
        <v>5238</v>
      </c>
      <c r="F101" s="462">
        <v>221.1</v>
      </c>
      <c r="G101" s="462">
        <f>C101*D101*0.9912/(F101*1.003631981)</f>
        <v>568961.44201163284</v>
      </c>
      <c r="H101" s="462">
        <f>C101/F101</f>
        <v>6.3772048846675711</v>
      </c>
      <c r="I101" s="462">
        <f>$O$81/$O$87</f>
        <v>8.0402010050251249</v>
      </c>
      <c r="J101" s="32">
        <f t="shared" si="48"/>
        <v>1.2607719448305357</v>
      </c>
      <c r="K101" s="311">
        <f t="shared" si="51"/>
        <v>-23.243514246947093</v>
      </c>
      <c r="L101" s="32">
        <v>1</v>
      </c>
      <c r="M101" s="389"/>
      <c r="Q101" t="s">
        <v>25</v>
      </c>
    </row>
    <row r="102" spans="1:25" ht="21">
      <c r="A102" s="304"/>
      <c r="B102" s="304"/>
      <c r="C102" s="303"/>
      <c r="D102" s="304"/>
      <c r="E102" s="462"/>
      <c r="F102" s="462"/>
      <c r="G102" s="462"/>
      <c r="H102" s="462"/>
      <c r="I102" s="462"/>
      <c r="J102" s="32"/>
      <c r="K102" s="311"/>
      <c r="L102" s="32"/>
      <c r="M102" s="389"/>
      <c r="Q102" t="s">
        <v>25</v>
      </c>
    </row>
    <row r="103" spans="1:25" ht="21">
      <c r="A103" s="304" t="s">
        <v>6996</v>
      </c>
      <c r="B103" s="304" t="s">
        <v>4193</v>
      </c>
      <c r="C103" s="303">
        <v>1314</v>
      </c>
      <c r="D103" s="304">
        <v>1</v>
      </c>
      <c r="E103" s="489" t="s">
        <v>4473</v>
      </c>
      <c r="F103" s="489">
        <v>785.87</v>
      </c>
      <c r="G103" s="489">
        <f>C103*D103*0.9912/(F103*1.003631981)</f>
        <v>1.6513208201489087</v>
      </c>
      <c r="H103" s="489">
        <f>C103/F103</f>
        <v>1.6720322699683154</v>
      </c>
      <c r="I103" s="489">
        <f>$O$81/$O$88</f>
        <v>1.8604651162790697</v>
      </c>
      <c r="J103" s="489">
        <f>I103/H103</f>
        <v>1.1126968956851084</v>
      </c>
      <c r="K103" s="490">
        <f>(1/J103-1.0256)*100</f>
        <v>-12.688265489203054</v>
      </c>
      <c r="L103" s="489">
        <v>1</v>
      </c>
      <c r="M103" s="389"/>
      <c r="Q103" t="s">
        <v>25</v>
      </c>
    </row>
    <row r="104" spans="1:25" ht="21">
      <c r="A104" s="304"/>
      <c r="B104" s="304"/>
      <c r="C104" s="303"/>
      <c r="D104" s="304"/>
      <c r="E104" s="489"/>
      <c r="F104" s="489"/>
      <c r="G104" s="489"/>
      <c r="H104" s="489"/>
      <c r="I104" s="489"/>
      <c r="J104" s="489"/>
      <c r="K104" s="490"/>
      <c r="L104" s="489"/>
      <c r="M104" s="389"/>
      <c r="Q104" t="s">
        <v>25</v>
      </c>
    </row>
    <row r="105" spans="1:25">
      <c r="A105" s="304" t="s">
        <v>6936</v>
      </c>
      <c r="B105" s="304" t="s">
        <v>4193</v>
      </c>
      <c r="C105" s="303">
        <v>1433</v>
      </c>
      <c r="D105" s="304">
        <v>1</v>
      </c>
      <c r="E105" s="312" t="s">
        <v>6934</v>
      </c>
      <c r="F105" s="312">
        <v>904.17</v>
      </c>
      <c r="G105" s="312">
        <f>C105*D105*0.99114/(F105*1.0037158)</f>
        <v>1.5650216149433882</v>
      </c>
      <c r="H105" s="312">
        <f>C105/F105</f>
        <v>1.584878949755024</v>
      </c>
      <c r="I105" s="312">
        <f>$O$81/$O$83</f>
        <v>1.6</v>
      </c>
      <c r="J105" s="32">
        <f>I105/H105</f>
        <v>1.0095408234473133</v>
      </c>
      <c r="K105" s="32">
        <f>(1/J105-1.0256)*100</f>
        <v>-3.5050656403110114</v>
      </c>
      <c r="L105" s="32">
        <v>1</v>
      </c>
      <c r="M105" s="389"/>
      <c r="Q105" t="s">
        <v>25</v>
      </c>
    </row>
    <row r="106" spans="1:25">
      <c r="A106" s="387"/>
      <c r="B106" s="120"/>
      <c r="C106" s="56"/>
      <c r="D106" s="120"/>
      <c r="E106" s="120"/>
      <c r="F106" s="56"/>
      <c r="G106" s="120"/>
      <c r="H106" s="388"/>
      <c r="I106" s="388"/>
      <c r="J106" s="120"/>
      <c r="K106" s="120"/>
      <c r="L106" s="120"/>
      <c r="Q106" t="s">
        <v>25</v>
      </c>
    </row>
    <row r="107" spans="1:25">
      <c r="A107" s="434" t="s">
        <v>5366</v>
      </c>
      <c r="B107" s="265"/>
      <c r="C107" s="31"/>
      <c r="D107" s="265"/>
      <c r="E107" s="265"/>
      <c r="F107" s="31"/>
      <c r="G107" s="265"/>
      <c r="H107" s="265"/>
      <c r="I107" s="265"/>
      <c r="J107" s="265"/>
      <c r="K107" s="265"/>
      <c r="L107" s="265"/>
      <c r="M107" t="s">
        <v>25</v>
      </c>
      <c r="Q107" t="s">
        <v>25</v>
      </c>
      <c r="X107" t="s">
        <v>25</v>
      </c>
    </row>
    <row r="108" spans="1:25">
      <c r="A108" s="309" t="s">
        <v>6841</v>
      </c>
      <c r="B108" s="304" t="s">
        <v>4193</v>
      </c>
      <c r="C108" s="303">
        <v>1451</v>
      </c>
      <c r="D108" s="304">
        <v>17691.107498245256</v>
      </c>
      <c r="E108" s="306" t="s">
        <v>5224</v>
      </c>
      <c r="F108" s="305">
        <v>486.84610260918487</v>
      </c>
      <c r="G108" s="306">
        <f>C108*D108*0.9912/(F108*1.003631981)</f>
        <v>52073.592214102311</v>
      </c>
      <c r="H108" s="306">
        <f>C108/F108</f>
        <v>2.9804079610036203</v>
      </c>
      <c r="I108" s="306">
        <f t="shared" ref="I108:I134" si="56">$O$81/$O$82</f>
        <v>3.6281179138321997</v>
      </c>
      <c r="J108" s="306">
        <f>I108/H108</f>
        <v>1.2173225817751709</v>
      </c>
      <c r="K108" s="306">
        <f>(1/J108-1.0256)*100</f>
        <v>-20.412505574837738</v>
      </c>
      <c r="L108" s="306">
        <v>1</v>
      </c>
    </row>
    <row r="109" spans="1:25">
      <c r="A109" s="309" t="s">
        <v>6846</v>
      </c>
      <c r="B109" s="304" t="s">
        <v>4193</v>
      </c>
      <c r="C109" s="303">
        <v>1452</v>
      </c>
      <c r="D109" s="304">
        <v>17689.516255997321</v>
      </c>
      <c r="E109" s="306" t="s">
        <v>5224</v>
      </c>
      <c r="F109" s="305">
        <v>486.84610260918487</v>
      </c>
      <c r="G109" s="306">
        <f>C109*D109*0.9912/(F109*1.003631981)</f>
        <v>52104.793252817282</v>
      </c>
      <c r="H109" s="306">
        <f>C109/F109</f>
        <v>2.9824619981924583</v>
      </c>
      <c r="I109" s="306">
        <f t="shared" si="56"/>
        <v>3.6281179138321997</v>
      </c>
      <c r="J109" s="306">
        <f>I109/H109</f>
        <v>1.2164842053414413</v>
      </c>
      <c r="K109" s="306">
        <f>(1/J109-1.0256)*100</f>
        <v>-20.355891174820385</v>
      </c>
      <c r="L109" s="306">
        <f>H109/H108</f>
        <v>1.0006891798759476</v>
      </c>
    </row>
    <row r="110" spans="1:25">
      <c r="A110" s="309" t="s">
        <v>6846</v>
      </c>
      <c r="B110" s="304" t="s">
        <v>4193</v>
      </c>
      <c r="C110" s="303">
        <v>1453</v>
      </c>
      <c r="D110" s="304">
        <v>17687.925013749384</v>
      </c>
      <c r="E110" s="306" t="s">
        <v>5224</v>
      </c>
      <c r="F110" s="305">
        <v>486.84610260918487</v>
      </c>
      <c r="G110" s="306">
        <f t="shared" ref="G110:G134" si="57">C110*D110*0.9912/(F110*1.003631981)</f>
        <v>52135.987835563785</v>
      </c>
      <c r="H110" s="306">
        <f t="shared" ref="H110:H126" si="58">C110/F110</f>
        <v>2.9845160353812958</v>
      </c>
      <c r="I110" s="306">
        <f t="shared" si="56"/>
        <v>3.6281179138321997</v>
      </c>
      <c r="J110" s="306">
        <f t="shared" ref="J110:J126" si="59">I110/H110</f>
        <v>1.2156469829014267</v>
      </c>
      <c r="K110" s="306">
        <f t="shared" ref="K110:K126" si="60">(1/J110-1.0256)*100</f>
        <v>-20.299276774803054</v>
      </c>
      <c r="L110" s="306">
        <f t="shared" ref="L110:L126" si="61">H110/H109</f>
        <v>1.0006887052341598</v>
      </c>
    </row>
    <row r="111" spans="1:25">
      <c r="A111" s="309" t="s">
        <v>6846</v>
      </c>
      <c r="B111" s="304" t="s">
        <v>4193</v>
      </c>
      <c r="C111" s="303">
        <v>1454</v>
      </c>
      <c r="D111" s="304">
        <v>17686.33377150145</v>
      </c>
      <c r="E111" s="306" t="s">
        <v>5224</v>
      </c>
      <c r="F111" s="305">
        <v>486.84610260918487</v>
      </c>
      <c r="G111" s="306">
        <f t="shared" si="57"/>
        <v>52167.175962341818</v>
      </c>
      <c r="H111" s="306">
        <f t="shared" si="58"/>
        <v>2.9865700725701338</v>
      </c>
      <c r="I111" s="306">
        <f t="shared" si="56"/>
        <v>3.6281179138321997</v>
      </c>
      <c r="J111" s="306">
        <f t="shared" si="59"/>
        <v>1.2148109120741215</v>
      </c>
      <c r="K111" s="306">
        <f t="shared" si="60"/>
        <v>-20.242662374785692</v>
      </c>
      <c r="L111" s="306">
        <f t="shared" si="61"/>
        <v>1.0006882312456986</v>
      </c>
    </row>
    <row r="112" spans="1:25">
      <c r="A112" s="309" t="s">
        <v>6846</v>
      </c>
      <c r="B112" s="304" t="s">
        <v>4193</v>
      </c>
      <c r="C112" s="303">
        <v>1455</v>
      </c>
      <c r="D112" s="304">
        <v>17684.742529253512</v>
      </c>
      <c r="E112" s="306" t="s">
        <v>5224</v>
      </c>
      <c r="F112" s="305">
        <v>486.84610260918487</v>
      </c>
      <c r="G112" s="306">
        <f t="shared" si="57"/>
        <v>52198.357633151376</v>
      </c>
      <c r="H112" s="306">
        <f t="shared" si="58"/>
        <v>2.9886241097589714</v>
      </c>
      <c r="I112" s="306">
        <f t="shared" si="56"/>
        <v>3.6281179138321997</v>
      </c>
      <c r="J112" s="306">
        <f t="shared" si="59"/>
        <v>1.2139759904850673</v>
      </c>
      <c r="K112" s="306">
        <f t="shared" si="60"/>
        <v>-20.186047974768361</v>
      </c>
      <c r="L112" s="306">
        <f t="shared" si="61"/>
        <v>1.0006877579092159</v>
      </c>
    </row>
    <row r="113" spans="1:17">
      <c r="A113" s="309" t="s">
        <v>6846</v>
      </c>
      <c r="B113" s="304" t="s">
        <v>4193</v>
      </c>
      <c r="C113" s="303">
        <v>1456</v>
      </c>
      <c r="D113" s="304">
        <v>17683.151287005578</v>
      </c>
      <c r="E113" s="306" t="s">
        <v>5224</v>
      </c>
      <c r="F113" s="305">
        <v>486.84610260918487</v>
      </c>
      <c r="G113" s="306">
        <f t="shared" si="57"/>
        <v>52229.532847992486</v>
      </c>
      <c r="H113" s="306">
        <f t="shared" si="58"/>
        <v>2.9906781469478094</v>
      </c>
      <c r="I113" s="306">
        <f t="shared" si="56"/>
        <v>3.6281179138321997</v>
      </c>
      <c r="J113" s="306">
        <f t="shared" si="59"/>
        <v>1.2131422157663274</v>
      </c>
      <c r="K113" s="306">
        <f t="shared" si="60"/>
        <v>-20.129433574751012</v>
      </c>
      <c r="L113" s="306">
        <f t="shared" si="61"/>
        <v>1.0006872852233677</v>
      </c>
      <c r="O113" t="s">
        <v>25</v>
      </c>
    </row>
    <row r="114" spans="1:17">
      <c r="A114" s="309" t="s">
        <v>6846</v>
      </c>
      <c r="B114" s="304" t="s">
        <v>4193</v>
      </c>
      <c r="C114" s="303">
        <v>1457</v>
      </c>
      <c r="D114" s="304">
        <v>17681.56004475764</v>
      </c>
      <c r="E114" s="306" t="s">
        <v>5224</v>
      </c>
      <c r="F114" s="305">
        <v>486.84610260918487</v>
      </c>
      <c r="G114" s="306">
        <f t="shared" si="57"/>
        <v>52260.701606865121</v>
      </c>
      <c r="H114" s="306">
        <f t="shared" si="58"/>
        <v>2.992732184136647</v>
      </c>
      <c r="I114" s="306">
        <f t="shared" si="56"/>
        <v>3.6281179138321997</v>
      </c>
      <c r="J114" s="306">
        <f t="shared" si="59"/>
        <v>1.2123095855564674</v>
      </c>
      <c r="K114" s="306">
        <f t="shared" si="60"/>
        <v>-20.072819174733681</v>
      </c>
      <c r="L114" s="306">
        <f t="shared" si="61"/>
        <v>1.0006868131868132</v>
      </c>
      <c r="P114" t="s">
        <v>25</v>
      </c>
    </row>
    <row r="115" spans="1:17" ht="27" customHeight="1">
      <c r="A115" s="309" t="s">
        <v>6846</v>
      </c>
      <c r="B115" s="304" t="s">
        <v>4193</v>
      </c>
      <c r="C115" s="303">
        <v>1458</v>
      </c>
      <c r="D115" s="304">
        <v>17679.968802509706</v>
      </c>
      <c r="E115" s="306" t="s">
        <v>5224</v>
      </c>
      <c r="F115" s="305">
        <v>486.84610260918487</v>
      </c>
      <c r="G115" s="306">
        <f t="shared" si="57"/>
        <v>52291.863909769287</v>
      </c>
      <c r="H115" s="306">
        <f t="shared" si="58"/>
        <v>2.994786221325485</v>
      </c>
      <c r="I115" s="306">
        <f t="shared" si="56"/>
        <v>3.6281179138321997</v>
      </c>
      <c r="J115" s="306">
        <f t="shared" si="59"/>
        <v>1.2114780975005299</v>
      </c>
      <c r="K115" s="306">
        <f t="shared" si="60"/>
        <v>-20.016204774716329</v>
      </c>
      <c r="L115" s="306">
        <f t="shared" si="61"/>
        <v>1.0006863417982157</v>
      </c>
      <c r="O115" t="s">
        <v>25</v>
      </c>
      <c r="P115" t="s">
        <v>25</v>
      </c>
    </row>
    <row r="116" spans="1:17">
      <c r="A116" s="309" t="s">
        <v>6846</v>
      </c>
      <c r="B116" s="304" t="s">
        <v>4193</v>
      </c>
      <c r="C116" s="303">
        <v>1471</v>
      </c>
      <c r="D116" s="304">
        <v>17679.827973587173</v>
      </c>
      <c r="E116" s="306" t="s">
        <v>5224</v>
      </c>
      <c r="F116" s="305">
        <v>491.15716618608906</v>
      </c>
      <c r="G116" s="306">
        <f t="shared" si="57"/>
        <v>52294.621540620959</v>
      </c>
      <c r="H116" s="306">
        <f t="shared" si="58"/>
        <v>2.9949680087588688</v>
      </c>
      <c r="I116" s="306">
        <f t="shared" si="56"/>
        <v>3.6281179138321997</v>
      </c>
      <c r="J116" s="306">
        <f t="shared" si="59"/>
        <v>1.2114045636620043</v>
      </c>
      <c r="K116" s="306">
        <f t="shared" si="60"/>
        <v>-20.011194258583686</v>
      </c>
      <c r="L116" s="306">
        <f t="shared" si="61"/>
        <v>1.0000607013055187</v>
      </c>
      <c r="N116" t="s">
        <v>25</v>
      </c>
      <c r="O116" t="s">
        <v>25</v>
      </c>
      <c r="P116" s="268" t="s">
        <v>5581</v>
      </c>
    </row>
    <row r="117" spans="1:17">
      <c r="A117" s="309" t="s">
        <v>6846</v>
      </c>
      <c r="B117" s="304" t="s">
        <v>4193</v>
      </c>
      <c r="C117" s="303">
        <v>1459</v>
      </c>
      <c r="D117" s="304">
        <v>17678.377560261768</v>
      </c>
      <c r="E117" s="306" t="s">
        <v>5224</v>
      </c>
      <c r="F117" s="305">
        <v>486.84610260918487</v>
      </c>
      <c r="G117" s="306">
        <f t="shared" si="57"/>
        <v>52323.019756704976</v>
      </c>
      <c r="H117" s="306">
        <f t="shared" si="58"/>
        <v>2.9968402585143226</v>
      </c>
      <c r="I117" s="306">
        <f t="shared" si="56"/>
        <v>3.6281179138321997</v>
      </c>
      <c r="J117" s="306">
        <f t="shared" si="59"/>
        <v>1.2106477492500156</v>
      </c>
      <c r="K117" s="306">
        <f t="shared" si="60"/>
        <v>-19.959590374698987</v>
      </c>
      <c r="L117" s="306">
        <f t="shared" si="61"/>
        <v>1.0006251318044059</v>
      </c>
      <c r="N117" t="s">
        <v>25</v>
      </c>
      <c r="O117" s="94" t="s">
        <v>25</v>
      </c>
      <c r="P117" t="s">
        <v>25</v>
      </c>
    </row>
    <row r="118" spans="1:17">
      <c r="A118" s="309" t="s">
        <v>6846</v>
      </c>
      <c r="B118" s="304" t="s">
        <v>4193</v>
      </c>
      <c r="C118" s="303">
        <v>1472</v>
      </c>
      <c r="D118" s="304">
        <v>17678.250698246309</v>
      </c>
      <c r="E118" s="306" t="s">
        <v>5224</v>
      </c>
      <c r="F118" s="305">
        <v>491.15716618608906</v>
      </c>
      <c r="G118" s="306">
        <f t="shared" si="57"/>
        <v>52325.503383182397</v>
      </c>
      <c r="H118" s="306">
        <f t="shared" si="58"/>
        <v>2.9970040169225389</v>
      </c>
      <c r="I118" s="306">
        <f t="shared" si="56"/>
        <v>3.6281179138321997</v>
      </c>
      <c r="J118" s="306">
        <f t="shared" si="59"/>
        <v>1.2105815986051689</v>
      </c>
      <c r="K118" s="306">
        <f t="shared" si="60"/>
        <v>-19.955076783572533</v>
      </c>
      <c r="L118" s="306">
        <f t="shared" si="61"/>
        <v>1.0000546436893829</v>
      </c>
      <c r="N118" t="s">
        <v>25</v>
      </c>
      <c r="O118" s="483" t="s">
        <v>25</v>
      </c>
      <c r="P118" t="s">
        <v>25</v>
      </c>
    </row>
    <row r="119" spans="1:17">
      <c r="A119" s="309" t="s">
        <v>6846</v>
      </c>
      <c r="B119" s="304" t="s">
        <v>4193</v>
      </c>
      <c r="C119" s="303">
        <v>1460</v>
      </c>
      <c r="D119" s="304">
        <v>17676.786318013834</v>
      </c>
      <c r="E119" s="306" t="s">
        <v>5224</v>
      </c>
      <c r="F119" s="305">
        <v>486.84610260918487</v>
      </c>
      <c r="G119" s="306">
        <f t="shared" si="57"/>
        <v>52354.169147672219</v>
      </c>
      <c r="H119" s="306">
        <f t="shared" si="58"/>
        <v>2.9988942957031606</v>
      </c>
      <c r="I119" s="306">
        <f t="shared" si="56"/>
        <v>3.6281179138321997</v>
      </c>
      <c r="J119" s="306">
        <f t="shared" si="59"/>
        <v>1.2098185384628581</v>
      </c>
      <c r="K119" s="306">
        <f t="shared" si="60"/>
        <v>-19.902975974681659</v>
      </c>
      <c r="L119" s="306">
        <f t="shared" si="61"/>
        <v>1.0006307228051574</v>
      </c>
      <c r="N119" s="94" t="s">
        <v>25</v>
      </c>
      <c r="P119" t="s">
        <v>25</v>
      </c>
    </row>
    <row r="120" spans="1:17">
      <c r="A120" s="309" t="s">
        <v>6846</v>
      </c>
      <c r="B120" s="304" t="s">
        <v>4193</v>
      </c>
      <c r="C120" s="303">
        <v>1473</v>
      </c>
      <c r="D120" s="304">
        <v>17676.673422905442</v>
      </c>
      <c r="E120" s="306" t="s">
        <v>5224</v>
      </c>
      <c r="F120" s="305">
        <v>491.15716618608906</v>
      </c>
      <c r="G120" s="306">
        <f t="shared" si="57"/>
        <v>52356.378882610712</v>
      </c>
      <c r="H120" s="306">
        <f t="shared" si="58"/>
        <v>2.9990400250862095</v>
      </c>
      <c r="I120" s="306">
        <f t="shared" si="56"/>
        <v>3.6281179138321997</v>
      </c>
      <c r="J120" s="306">
        <f t="shared" si="59"/>
        <v>1.2097597509482745</v>
      </c>
      <c r="K120" s="306">
        <f t="shared" si="60"/>
        <v>-19.898959308561359</v>
      </c>
      <c r="L120" s="306">
        <f t="shared" si="61"/>
        <v>1.0000485943713513</v>
      </c>
      <c r="N120" s="94" t="s">
        <v>25</v>
      </c>
      <c r="O120" t="s">
        <v>25</v>
      </c>
    </row>
    <row r="121" spans="1:17">
      <c r="A121" s="309" t="s">
        <v>6846</v>
      </c>
      <c r="B121" s="304" t="s">
        <v>4193</v>
      </c>
      <c r="C121" s="303">
        <v>1461</v>
      </c>
      <c r="D121" s="304">
        <v>17675.1950757659</v>
      </c>
      <c r="E121" s="306" t="s">
        <v>5224</v>
      </c>
      <c r="F121" s="305">
        <v>486.84610260918487</v>
      </c>
      <c r="G121" s="306">
        <f t="shared" si="57"/>
        <v>52385.312082670986</v>
      </c>
      <c r="H121" s="306">
        <f t="shared" si="58"/>
        <v>3.0009483328919981</v>
      </c>
      <c r="I121" s="306">
        <f t="shared" si="56"/>
        <v>3.6281179138321997</v>
      </c>
      <c r="J121" s="306">
        <f t="shared" si="59"/>
        <v>1.2089904628034038</v>
      </c>
      <c r="K121" s="306">
        <f t="shared" si="60"/>
        <v>-19.846361574664318</v>
      </c>
      <c r="L121" s="306">
        <f t="shared" si="61"/>
        <v>1.0006363062145973</v>
      </c>
      <c r="N121" s="94"/>
    </row>
    <row r="122" spans="1:17">
      <c r="A122" s="309" t="s">
        <v>6846</v>
      </c>
      <c r="B122" s="304" t="s">
        <v>4193</v>
      </c>
      <c r="C122" s="303">
        <v>1462</v>
      </c>
      <c r="D122" s="304">
        <v>17673.603833517962</v>
      </c>
      <c r="E122" s="306" t="s">
        <v>5224</v>
      </c>
      <c r="F122" s="305">
        <v>486.84610260918487</v>
      </c>
      <c r="G122" s="306">
        <f t="shared" si="57"/>
        <v>52416.448561701269</v>
      </c>
      <c r="H122" s="306">
        <f t="shared" si="58"/>
        <v>3.0030023700808361</v>
      </c>
      <c r="I122" s="306">
        <f t="shared" si="56"/>
        <v>3.6281179138321997</v>
      </c>
      <c r="J122" s="306">
        <f t="shared" si="59"/>
        <v>1.208163519942389</v>
      </c>
      <c r="K122" s="306">
        <f t="shared" si="60"/>
        <v>-19.789747174646966</v>
      </c>
      <c r="L122" s="306">
        <f t="shared" si="61"/>
        <v>1.000684462696783</v>
      </c>
      <c r="N122" s="94"/>
      <c r="P122" t="s">
        <v>25</v>
      </c>
    </row>
    <row r="123" spans="1:17">
      <c r="A123" s="309" t="s">
        <v>6846</v>
      </c>
      <c r="B123" s="304" t="s">
        <v>4193</v>
      </c>
      <c r="C123" s="303">
        <v>1474</v>
      </c>
      <c r="D123" s="304">
        <v>17675.096147564578</v>
      </c>
      <c r="E123" s="306" t="s">
        <v>5224</v>
      </c>
      <c r="F123" s="305">
        <v>491.15716618608906</v>
      </c>
      <c r="G123" s="306">
        <f t="shared" si="57"/>
        <v>52387.248038905906</v>
      </c>
      <c r="H123" s="306">
        <f t="shared" si="58"/>
        <v>3.0010760332498796</v>
      </c>
      <c r="I123" s="306">
        <f t="shared" si="56"/>
        <v>3.6281179138321997</v>
      </c>
      <c r="J123" s="306">
        <f t="shared" si="59"/>
        <v>1.2089390184171021</v>
      </c>
      <c r="K123" s="306">
        <f t="shared" si="60"/>
        <v>-19.842841833550207</v>
      </c>
      <c r="L123" s="306">
        <f>H123/H122</f>
        <v>0.9993585297000932</v>
      </c>
      <c r="N123" s="94"/>
      <c r="P123" t="s">
        <v>25</v>
      </c>
    </row>
    <row r="124" spans="1:17">
      <c r="A124" s="309" t="s">
        <v>6846</v>
      </c>
      <c r="B124" s="304" t="s">
        <v>4193</v>
      </c>
      <c r="C124" s="303">
        <v>1463</v>
      </c>
      <c r="D124" s="304">
        <v>17672.012591270028</v>
      </c>
      <c r="E124" s="306" t="s">
        <v>5224</v>
      </c>
      <c r="F124" s="305">
        <v>486.84610260918487</v>
      </c>
      <c r="G124" s="306">
        <f t="shared" si="57"/>
        <v>52447.578584763112</v>
      </c>
      <c r="H124" s="306">
        <f t="shared" si="58"/>
        <v>3.0050564072696737</v>
      </c>
      <c r="I124" s="306">
        <f t="shared" si="56"/>
        <v>3.6281179138321997</v>
      </c>
      <c r="J124" s="306">
        <f t="shared" si="59"/>
        <v>1.2073377075569192</v>
      </c>
      <c r="K124" s="306">
        <f t="shared" si="60"/>
        <v>-19.733132774629624</v>
      </c>
      <c r="L124" s="306">
        <f t="shared" si="61"/>
        <v>1.0013263156200289</v>
      </c>
      <c r="N124" s="32"/>
      <c r="O124" s="32" t="s">
        <v>4193</v>
      </c>
      <c r="P124" s="32" t="s">
        <v>5224</v>
      </c>
    </row>
    <row r="125" spans="1:17" ht="15.75">
      <c r="A125" s="309" t="s">
        <v>6846</v>
      </c>
      <c r="B125" s="304" t="s">
        <v>4193</v>
      </c>
      <c r="C125" s="303">
        <v>1475</v>
      </c>
      <c r="D125" s="304">
        <v>17673.518872223714</v>
      </c>
      <c r="E125" s="306" t="s">
        <v>5224</v>
      </c>
      <c r="F125" s="305">
        <v>491.15716618608906</v>
      </c>
      <c r="G125" s="306">
        <f t="shared" si="57"/>
        <v>52418.110852067985</v>
      </c>
      <c r="H125" s="306">
        <f t="shared" si="58"/>
        <v>3.0031120414135497</v>
      </c>
      <c r="I125" s="306">
        <f t="shared" si="56"/>
        <v>3.6281179138321997</v>
      </c>
      <c r="J125" s="306">
        <f t="shared" si="59"/>
        <v>1.208119398743599</v>
      </c>
      <c r="K125" s="306">
        <f t="shared" si="60"/>
        <v>-19.786724358539043</v>
      </c>
      <c r="L125" s="306">
        <f t="shared" si="61"/>
        <v>0.99935296859938461</v>
      </c>
      <c r="N125" s="32" t="s">
        <v>6948</v>
      </c>
      <c r="O125" s="461">
        <v>10070</v>
      </c>
      <c r="P125" s="461">
        <v>0</v>
      </c>
      <c r="Q125" t="s">
        <v>25</v>
      </c>
    </row>
    <row r="126" spans="1:17" ht="15.75">
      <c r="A126" s="309" t="s">
        <v>6846</v>
      </c>
      <c r="B126" s="304" t="s">
        <v>4193</v>
      </c>
      <c r="C126" s="303">
        <v>1464</v>
      </c>
      <c r="D126" s="304">
        <v>17670.42134902209</v>
      </c>
      <c r="E126" s="306" t="s">
        <v>5224</v>
      </c>
      <c r="F126" s="305">
        <v>486.84610260918487</v>
      </c>
      <c r="G126" s="306">
        <f t="shared" si="57"/>
        <v>52478.702151856465</v>
      </c>
      <c r="H126" s="306">
        <f t="shared" si="58"/>
        <v>3.0071104444585113</v>
      </c>
      <c r="I126" s="306">
        <f t="shared" si="56"/>
        <v>3.6281179138321997</v>
      </c>
      <c r="J126" s="306">
        <f t="shared" si="59"/>
        <v>1.206513023330446</v>
      </c>
      <c r="K126" s="306">
        <f t="shared" si="60"/>
        <v>-19.676518374612296</v>
      </c>
      <c r="L126" s="306">
        <f t="shared" si="61"/>
        <v>1.0013314198703953</v>
      </c>
      <c r="N126" s="32" t="s">
        <v>6949</v>
      </c>
      <c r="O126" s="461">
        <v>0</v>
      </c>
      <c r="P126" s="461">
        <v>33614</v>
      </c>
      <c r="Q126" t="s">
        <v>25</v>
      </c>
    </row>
    <row r="127" spans="1:17">
      <c r="A127" s="309" t="s">
        <v>6846</v>
      </c>
      <c r="B127" s="304" t="s">
        <v>4193</v>
      </c>
      <c r="C127" s="303">
        <v>1465</v>
      </c>
      <c r="D127" s="304">
        <v>14196.57</v>
      </c>
      <c r="E127" s="306" t="s">
        <v>5224</v>
      </c>
      <c r="F127" s="305">
        <v>486.84610260918487</v>
      </c>
      <c r="G127" s="306">
        <f t="shared" si="57"/>
        <v>42190.644222022223</v>
      </c>
      <c r="H127" s="306">
        <f t="shared" ref="H127:H134" si="62">C127/F127</f>
        <v>3.0091644816473493</v>
      </c>
      <c r="I127" s="306">
        <f t="shared" si="56"/>
        <v>3.6281179138321997</v>
      </c>
      <c r="J127" s="306">
        <f>I127/H127</f>
        <v>1.2056894649527459</v>
      </c>
      <c r="K127" s="306">
        <f>(1/J127-1.0256)*100</f>
        <v>-19.619903974594944</v>
      </c>
      <c r="L127" s="306">
        <f t="shared" ref="L127:L134" si="63">H127/H126</f>
        <v>1.0006830601092898</v>
      </c>
      <c r="N127" s="32"/>
      <c r="O127" s="32"/>
      <c r="P127" s="32"/>
      <c r="Q127" t="s">
        <v>25</v>
      </c>
    </row>
    <row r="128" spans="1:17">
      <c r="A128" s="309" t="s">
        <v>6861</v>
      </c>
      <c r="B128" s="304" t="s">
        <v>4193</v>
      </c>
      <c r="C128" s="303">
        <v>1462</v>
      </c>
      <c r="D128" s="304">
        <v>28337.821220000002</v>
      </c>
      <c r="E128" s="306" t="s">
        <v>5224</v>
      </c>
      <c r="F128" s="305">
        <v>480</v>
      </c>
      <c r="G128" s="306">
        <f t="shared" si="57"/>
        <v>85243.130965768403</v>
      </c>
      <c r="H128" s="306">
        <f t="shared" si="62"/>
        <v>3.0458333333333334</v>
      </c>
      <c r="I128" s="306">
        <f t="shared" si="56"/>
        <v>3.6281179138321997</v>
      </c>
      <c r="J128" s="306">
        <f>I128/H128</f>
        <v>1.1911741440762351</v>
      </c>
      <c r="K128" s="306">
        <f>(1/J128-1.0256)*100</f>
        <v>-18.60921875</v>
      </c>
      <c r="L128" s="306">
        <f t="shared" si="63"/>
        <v>1.0121857252767752</v>
      </c>
      <c r="N128" s="32" t="s">
        <v>6956</v>
      </c>
      <c r="O128" s="32"/>
      <c r="P128" s="32"/>
      <c r="Q128" t="s">
        <v>25</v>
      </c>
    </row>
    <row r="129" spans="1:19">
      <c r="A129" s="309" t="s">
        <v>6871</v>
      </c>
      <c r="B129" s="304" t="s">
        <v>4193</v>
      </c>
      <c r="C129" s="303">
        <v>1408</v>
      </c>
      <c r="D129" s="304">
        <v>10000</v>
      </c>
      <c r="E129" s="306" t="s">
        <v>5224</v>
      </c>
      <c r="F129" s="305">
        <v>460.7</v>
      </c>
      <c r="G129" s="306">
        <f t="shared" si="57"/>
        <v>30183.614406606379</v>
      </c>
      <c r="H129" s="306">
        <f t="shared" si="62"/>
        <v>3.0562187974820927</v>
      </c>
      <c r="I129" s="306">
        <f t="shared" si="56"/>
        <v>3.6281179138321997</v>
      </c>
      <c r="J129" s="306">
        <f>I129/H129</f>
        <v>1.1871263656977942</v>
      </c>
      <c r="K129" s="306">
        <f>(1/J129-1.0256)*100</f>
        <v>-18.322969394399824</v>
      </c>
      <c r="L129" s="306">
        <f t="shared" si="63"/>
        <v>1.0034097283114942</v>
      </c>
      <c r="N129" s="32"/>
      <c r="O129" s="32" t="s">
        <v>25</v>
      </c>
      <c r="P129" s="32"/>
      <c r="Q129" t="s">
        <v>25</v>
      </c>
    </row>
    <row r="130" spans="1:19">
      <c r="A130" s="309" t="s">
        <v>6871</v>
      </c>
      <c r="B130" s="304" t="s">
        <v>4193</v>
      </c>
      <c r="C130" s="303">
        <v>1417</v>
      </c>
      <c r="D130" s="304">
        <v>10000</v>
      </c>
      <c r="E130" s="306" t="s">
        <v>5224</v>
      </c>
      <c r="F130" s="305">
        <v>460.7</v>
      </c>
      <c r="G130" s="306">
        <f t="shared" si="57"/>
        <v>30376.549441875883</v>
      </c>
      <c r="H130" s="306">
        <f t="shared" si="62"/>
        <v>3.0757542869546342</v>
      </c>
      <c r="I130" s="306">
        <f t="shared" si="56"/>
        <v>3.6281179138321997</v>
      </c>
      <c r="J130" s="306">
        <f t="shared" ref="J130:J136" si="64">I130/H130</f>
        <v>1.1795863958380342</v>
      </c>
      <c r="K130" s="306">
        <f t="shared" ref="K130:K136" si="65">(1/J130-1.0256)*100</f>
        <v>-17.784522465812902</v>
      </c>
      <c r="L130" s="306">
        <f t="shared" si="63"/>
        <v>1.0063920454545454</v>
      </c>
      <c r="M130" s="94"/>
      <c r="N130" s="32"/>
      <c r="O130" s="32"/>
      <c r="P130" s="32" t="s">
        <v>25</v>
      </c>
    </row>
    <row r="131" spans="1:19">
      <c r="A131" s="309" t="s">
        <v>6873</v>
      </c>
      <c r="B131" s="304" t="s">
        <v>4193</v>
      </c>
      <c r="C131" s="303">
        <v>1426</v>
      </c>
      <c r="D131" s="304">
        <v>26511</v>
      </c>
      <c r="E131" s="306" t="s">
        <v>5224</v>
      </c>
      <c r="F131" s="305">
        <v>460.6</v>
      </c>
      <c r="G131" s="306">
        <f t="shared" si="57"/>
        <v>81060.355338675217</v>
      </c>
      <c r="H131" s="306">
        <f t="shared" si="62"/>
        <v>3.0959617889709072</v>
      </c>
      <c r="I131" s="306">
        <f t="shared" si="56"/>
        <v>3.6281179138321997</v>
      </c>
      <c r="J131" s="306">
        <f t="shared" si="64"/>
        <v>1.1718871746922239</v>
      </c>
      <c r="K131" s="306">
        <f t="shared" si="65"/>
        <v>-17.227553191489374</v>
      </c>
      <c r="L131" s="306">
        <f t="shared" si="63"/>
        <v>1.0065699337889182</v>
      </c>
      <c r="M131" s="94"/>
      <c r="N131" s="94"/>
      <c r="R131" t="s">
        <v>25</v>
      </c>
    </row>
    <row r="132" spans="1:19">
      <c r="A132" s="309" t="s">
        <v>6873</v>
      </c>
      <c r="B132" s="304" t="s">
        <v>4193</v>
      </c>
      <c r="C132" s="303">
        <v>1432</v>
      </c>
      <c r="D132" s="304">
        <v>4860</v>
      </c>
      <c r="E132" s="306" t="s">
        <v>5224</v>
      </c>
      <c r="F132" s="305">
        <v>460.1</v>
      </c>
      <c r="G132" s="306">
        <f t="shared" si="57"/>
        <v>14938.736108785723</v>
      </c>
      <c r="H132" s="306">
        <f t="shared" si="62"/>
        <v>3.1123668767659205</v>
      </c>
      <c r="I132" s="306">
        <f t="shared" si="56"/>
        <v>3.6281179138321997</v>
      </c>
      <c r="J132" s="306">
        <f t="shared" si="64"/>
        <v>1.1657102319512536</v>
      </c>
      <c r="K132" s="306">
        <f t="shared" si="65"/>
        <v>-16.77538795913933</v>
      </c>
      <c r="L132" s="306">
        <f t="shared" si="63"/>
        <v>1.0052988663663276</v>
      </c>
      <c r="M132" s="94"/>
      <c r="N132" s="94"/>
      <c r="P132" t="s">
        <v>25</v>
      </c>
      <c r="Q132" t="s">
        <v>25</v>
      </c>
    </row>
    <row r="133" spans="1:19">
      <c r="A133" s="309" t="s">
        <v>6876</v>
      </c>
      <c r="B133" s="304" t="s">
        <v>4193</v>
      </c>
      <c r="C133" s="303">
        <v>1398</v>
      </c>
      <c r="D133" s="304">
        <v>10000</v>
      </c>
      <c r="E133" s="306" t="s">
        <v>5224</v>
      </c>
      <c r="F133" s="305">
        <v>444</v>
      </c>
      <c r="G133" s="306">
        <f t="shared" si="57"/>
        <v>31096.463640296653</v>
      </c>
      <c r="H133" s="306">
        <f t="shared" si="62"/>
        <v>3.1486486486486487</v>
      </c>
      <c r="I133" s="306">
        <f t="shared" si="56"/>
        <v>3.6281179138321997</v>
      </c>
      <c r="J133" s="306">
        <f>I133/H133</f>
        <v>1.1522777923758918</v>
      </c>
      <c r="K133" s="306">
        <f>(1/J133-1.0256)*100</f>
        <v>-15.775371621621638</v>
      </c>
      <c r="L133" s="306">
        <f t="shared" si="63"/>
        <v>1.0116572927676279</v>
      </c>
      <c r="M133" s="94"/>
      <c r="N133" s="94"/>
      <c r="Q133" t="s">
        <v>25</v>
      </c>
    </row>
    <row r="134" spans="1:19">
      <c r="A134" s="309" t="s">
        <v>6876</v>
      </c>
      <c r="B134" s="304" t="s">
        <v>4193</v>
      </c>
      <c r="C134" s="303">
        <v>1398</v>
      </c>
      <c r="D134" s="304">
        <v>12000</v>
      </c>
      <c r="E134" s="306" t="s">
        <v>5224</v>
      </c>
      <c r="F134" s="305">
        <v>442.97</v>
      </c>
      <c r="G134" s="306">
        <f t="shared" si="57"/>
        <v>37402.523483644618</v>
      </c>
      <c r="H134" s="306">
        <f t="shared" si="62"/>
        <v>3.1559699302435829</v>
      </c>
      <c r="I134" s="306">
        <f t="shared" si="56"/>
        <v>3.6281179138321997</v>
      </c>
      <c r="J134" s="306">
        <f>I134/H134</f>
        <v>1.1496047155152</v>
      </c>
      <c r="K134" s="306">
        <f>(1/J134-1.0256)*100</f>
        <v>-15.573578797661259</v>
      </c>
      <c r="L134" s="306">
        <f t="shared" si="63"/>
        <v>1.0023252138971035</v>
      </c>
      <c r="M134" s="94"/>
      <c r="N134" s="94" t="s">
        <v>25</v>
      </c>
    </row>
    <row r="135" spans="1:19">
      <c r="A135" s="309"/>
      <c r="B135" s="304"/>
      <c r="C135" s="303"/>
      <c r="D135" s="304"/>
      <c r="E135" s="306"/>
      <c r="F135" s="305"/>
      <c r="G135" s="306"/>
      <c r="H135" s="306"/>
      <c r="I135" s="306"/>
      <c r="J135" s="306"/>
      <c r="K135" s="306"/>
      <c r="L135" s="306"/>
      <c r="M135" s="94"/>
      <c r="N135" s="94"/>
      <c r="O135" t="s">
        <v>25</v>
      </c>
      <c r="P135" t="s">
        <v>25</v>
      </c>
      <c r="Q135" t="s">
        <v>25</v>
      </c>
    </row>
    <row r="136" spans="1:19">
      <c r="A136" s="309"/>
      <c r="B136" s="304"/>
      <c r="C136" s="303"/>
      <c r="D136" s="304"/>
      <c r="E136" s="306"/>
      <c r="F136" s="305"/>
      <c r="G136" s="306"/>
      <c r="H136" s="306"/>
      <c r="I136" s="306">
        <f>$O$81/$O$82</f>
        <v>3.6281179138321997</v>
      </c>
      <c r="J136" s="306" t="e">
        <f t="shared" si="64"/>
        <v>#DIV/0!</v>
      </c>
      <c r="K136" s="306" t="e">
        <f t="shared" si="65"/>
        <v>#DIV/0!</v>
      </c>
      <c r="L136" s="306">
        <f>H136/H133</f>
        <v>0</v>
      </c>
      <c r="M136" s="94"/>
      <c r="N136" s="94"/>
      <c r="P136" t="s">
        <v>25</v>
      </c>
    </row>
    <row r="137" spans="1:19">
      <c r="A137" s="94"/>
      <c r="M137" s="94"/>
      <c r="N137" s="94"/>
      <c r="O137" t="s">
        <v>25</v>
      </c>
      <c r="P137" t="s">
        <v>25</v>
      </c>
    </row>
    <row r="138" spans="1:19">
      <c r="A138" s="94"/>
      <c r="M138" s="94"/>
      <c r="N138" s="94"/>
    </row>
    <row r="139" spans="1:19">
      <c r="N139" s="94"/>
      <c r="P139" t="s">
        <v>25</v>
      </c>
      <c r="Q139" t="s">
        <v>25</v>
      </c>
    </row>
    <row r="140" spans="1:19">
      <c r="A140" s="94"/>
      <c r="B140" s="94"/>
      <c r="C140" s="94"/>
      <c r="D140" s="94"/>
      <c r="E140" s="94"/>
      <c r="M140" s="94"/>
      <c r="N140" s="94"/>
      <c r="O140" t="s">
        <v>25</v>
      </c>
      <c r="P140" t="s">
        <v>25</v>
      </c>
    </row>
    <row r="141" spans="1:19">
      <c r="A141" s="94"/>
      <c r="B141" s="94"/>
      <c r="C141" s="94"/>
      <c r="D141" s="94"/>
      <c r="E141" s="94"/>
      <c r="M141" s="94"/>
      <c r="N141" s="94"/>
      <c r="P141" t="s">
        <v>25</v>
      </c>
      <c r="S141" t="s">
        <v>25</v>
      </c>
    </row>
    <row r="142" spans="1:19">
      <c r="A142" s="94"/>
      <c r="B142" s="94"/>
      <c r="C142" s="94"/>
      <c r="D142" s="94"/>
      <c r="E142" s="94"/>
      <c r="M142" s="94"/>
      <c r="N142" s="94" t="s">
        <v>25</v>
      </c>
      <c r="O142" t="s">
        <v>25</v>
      </c>
      <c r="P142" t="s">
        <v>25</v>
      </c>
    </row>
    <row r="143" spans="1:19">
      <c r="A143" s="94"/>
      <c r="B143" s="94"/>
      <c r="C143" s="361"/>
      <c r="D143" s="361"/>
      <c r="E143" s="94"/>
      <c r="M143" s="94"/>
      <c r="N143" s="94" t="s">
        <v>25</v>
      </c>
      <c r="Q143" t="s">
        <v>25</v>
      </c>
    </row>
    <row r="144" spans="1:19">
      <c r="A144" s="94"/>
      <c r="B144" s="94"/>
      <c r="C144" s="361"/>
      <c r="D144" s="361"/>
      <c r="E144" s="94"/>
      <c r="K144" t="s">
        <v>25</v>
      </c>
      <c r="M144" s="94"/>
      <c r="N144" s="94"/>
      <c r="O144" t="s">
        <v>25</v>
      </c>
    </row>
    <row r="145" spans="1:16">
      <c r="A145" s="94"/>
      <c r="C145" s="361"/>
      <c r="D145" s="361"/>
      <c r="J145" t="s">
        <v>25</v>
      </c>
      <c r="M145" s="94"/>
      <c r="N145" s="94" t="s">
        <v>25</v>
      </c>
    </row>
    <row r="146" spans="1:16">
      <c r="A146" s="94"/>
      <c r="M146" s="94"/>
      <c r="N146" s="94" t="s">
        <v>25</v>
      </c>
    </row>
    <row r="147" spans="1:16">
      <c r="A147" s="94"/>
      <c r="M147" s="94"/>
      <c r="N147" s="94" t="s">
        <v>25</v>
      </c>
    </row>
    <row r="148" spans="1:16">
      <c r="A148" s="94"/>
      <c r="M148" s="94"/>
      <c r="N148" s="94" t="s">
        <v>25</v>
      </c>
    </row>
    <row r="149" spans="1:16">
      <c r="A149" s="94"/>
      <c r="M149" s="94"/>
      <c r="N149" s="94" t="s">
        <v>25</v>
      </c>
    </row>
    <row r="150" spans="1:16">
      <c r="A150" s="94"/>
      <c r="M150" s="94" t="s">
        <v>25</v>
      </c>
      <c r="N150" s="94" t="s">
        <v>25</v>
      </c>
    </row>
    <row r="151" spans="1:16">
      <c r="A151" s="94"/>
      <c r="M151" s="94"/>
      <c r="N151" s="94" t="s">
        <v>25</v>
      </c>
    </row>
    <row r="152" spans="1:16">
      <c r="A152" s="94"/>
      <c r="M152" s="94"/>
    </row>
    <row r="153" spans="1:16">
      <c r="A153" s="94"/>
      <c r="M153" s="94" t="s">
        <v>25</v>
      </c>
      <c r="N153" t="s">
        <v>25</v>
      </c>
      <c r="O153" t="s">
        <v>25</v>
      </c>
    </row>
    <row r="154" spans="1:16">
      <c r="A154" s="94"/>
      <c r="M154" s="94" t="s">
        <v>25</v>
      </c>
      <c r="O154" t="s">
        <v>25</v>
      </c>
    </row>
    <row r="155" spans="1:16">
      <c r="A155" s="94"/>
      <c r="D155">
        <v>28000</v>
      </c>
      <c r="M155" s="94"/>
      <c r="P155" t="s">
        <v>25</v>
      </c>
    </row>
    <row r="156" spans="1:16">
      <c r="A156" s="94"/>
      <c r="M156" s="94"/>
    </row>
    <row r="157" spans="1:16">
      <c r="A157" s="94" t="s">
        <v>6699</v>
      </c>
      <c r="B157">
        <v>10330</v>
      </c>
      <c r="C157">
        <v>11900</v>
      </c>
      <c r="D157" s="112">
        <f t="shared" ref="D157:D179" si="66">B157*$D$155</f>
        <v>289240000</v>
      </c>
      <c r="E157" s="112">
        <f t="shared" ref="E157:E179" si="67">C157*$D$155</f>
        <v>333200000</v>
      </c>
      <c r="F157" s="112">
        <v>440000000</v>
      </c>
      <c r="G157">
        <f>(F157-E157)*100/E157</f>
        <v>32.052821128451377</v>
      </c>
      <c r="M157" s="94"/>
      <c r="N157" t="s">
        <v>25</v>
      </c>
      <c r="O157" t="s">
        <v>25</v>
      </c>
    </row>
    <row r="158" spans="1:16">
      <c r="A158" s="94" t="s">
        <v>6700</v>
      </c>
      <c r="C158">
        <v>18000</v>
      </c>
      <c r="D158" s="112">
        <f t="shared" si="66"/>
        <v>0</v>
      </c>
      <c r="E158" s="112">
        <f t="shared" si="67"/>
        <v>504000000</v>
      </c>
      <c r="F158" s="112">
        <v>700000000</v>
      </c>
      <c r="G158" s="360">
        <f t="shared" ref="G158:G175" si="68">(F158-E158)*100/E158</f>
        <v>38.888888888888886</v>
      </c>
      <c r="M158" s="94"/>
      <c r="N158" t="s">
        <v>25</v>
      </c>
      <c r="O158" t="s">
        <v>25</v>
      </c>
    </row>
    <row r="159" spans="1:16">
      <c r="A159" s="94" t="s">
        <v>6701</v>
      </c>
      <c r="C159">
        <v>19000</v>
      </c>
      <c r="D159" s="112">
        <f t="shared" si="66"/>
        <v>0</v>
      </c>
      <c r="E159" s="112">
        <f t="shared" si="67"/>
        <v>532000000</v>
      </c>
      <c r="F159" s="112">
        <v>650000000</v>
      </c>
      <c r="G159" s="360">
        <f t="shared" si="68"/>
        <v>22.180451127819548</v>
      </c>
      <c r="M159" s="94"/>
      <c r="N159" t="s">
        <v>25</v>
      </c>
    </row>
    <row r="160" spans="1:16">
      <c r="A160" s="94" t="s">
        <v>6702</v>
      </c>
      <c r="C160">
        <v>23000</v>
      </c>
      <c r="D160" s="112">
        <f t="shared" si="66"/>
        <v>0</v>
      </c>
      <c r="E160" s="112">
        <f t="shared" si="67"/>
        <v>644000000</v>
      </c>
      <c r="F160" s="112">
        <v>930000000</v>
      </c>
      <c r="G160" s="360">
        <f t="shared" si="68"/>
        <v>44.409937888198755</v>
      </c>
      <c r="N160" t="s">
        <v>25</v>
      </c>
      <c r="O160" t="s">
        <v>25</v>
      </c>
    </row>
    <row r="161" spans="1:16">
      <c r="A161" s="94" t="s">
        <v>6703</v>
      </c>
      <c r="C161">
        <v>13000</v>
      </c>
      <c r="D161" s="112">
        <f t="shared" si="66"/>
        <v>0</v>
      </c>
      <c r="E161" s="112">
        <f t="shared" si="67"/>
        <v>364000000</v>
      </c>
      <c r="F161" s="112">
        <v>600000000</v>
      </c>
      <c r="G161" s="360">
        <f t="shared" si="68"/>
        <v>64.835164835164832</v>
      </c>
    </row>
    <row r="162" spans="1:16">
      <c r="A162" s="94" t="s">
        <v>6704</v>
      </c>
      <c r="C162">
        <v>13000</v>
      </c>
      <c r="D162" s="112">
        <f t="shared" si="66"/>
        <v>0</v>
      </c>
      <c r="E162" s="112">
        <f t="shared" si="67"/>
        <v>364000000</v>
      </c>
      <c r="F162" s="112">
        <v>400000000</v>
      </c>
      <c r="G162" s="360">
        <f t="shared" si="68"/>
        <v>9.8901098901098905</v>
      </c>
      <c r="M162" t="s">
        <v>25</v>
      </c>
      <c r="O162" t="s">
        <v>25</v>
      </c>
    </row>
    <row r="163" spans="1:16">
      <c r="A163" s="94" t="s">
        <v>6705</v>
      </c>
      <c r="C163">
        <v>13600</v>
      </c>
      <c r="D163" s="112">
        <f t="shared" si="66"/>
        <v>0</v>
      </c>
      <c r="E163" s="112">
        <f t="shared" si="67"/>
        <v>380800000</v>
      </c>
      <c r="F163" s="112">
        <v>520000000</v>
      </c>
      <c r="G163" s="360">
        <f t="shared" si="68"/>
        <v>36.554621848739494</v>
      </c>
      <c r="M163" s="94"/>
      <c r="N163" t="s">
        <v>25</v>
      </c>
      <c r="O163" t="s">
        <v>25</v>
      </c>
    </row>
    <row r="164" spans="1:16">
      <c r="A164" s="94" t="s">
        <v>6706</v>
      </c>
      <c r="C164">
        <v>28000</v>
      </c>
      <c r="D164" s="112">
        <f t="shared" si="66"/>
        <v>0</v>
      </c>
      <c r="E164" s="112">
        <f t="shared" si="67"/>
        <v>784000000</v>
      </c>
      <c r="F164" s="112">
        <v>900000000</v>
      </c>
      <c r="G164" s="360">
        <f t="shared" si="68"/>
        <v>14.795918367346939</v>
      </c>
      <c r="O164" t="s">
        <v>25</v>
      </c>
    </row>
    <row r="165" spans="1:16">
      <c r="A165" s="94" t="s">
        <v>6707</v>
      </c>
      <c r="C165">
        <v>19000</v>
      </c>
      <c r="D165" s="112">
        <f t="shared" si="66"/>
        <v>0</v>
      </c>
      <c r="E165" s="112">
        <f t="shared" si="67"/>
        <v>532000000</v>
      </c>
      <c r="F165" s="112">
        <v>700000000</v>
      </c>
      <c r="G165" s="360">
        <f t="shared" si="68"/>
        <v>31.578947368421051</v>
      </c>
      <c r="N165" t="s">
        <v>25</v>
      </c>
      <c r="O165" t="s">
        <v>25</v>
      </c>
    </row>
    <row r="166" spans="1:16">
      <c r="A166" s="94" t="s">
        <v>6708</v>
      </c>
      <c r="C166">
        <v>15000</v>
      </c>
      <c r="D166" s="112">
        <f t="shared" si="66"/>
        <v>0</v>
      </c>
      <c r="E166" s="112">
        <f t="shared" si="67"/>
        <v>420000000</v>
      </c>
      <c r="F166" s="112">
        <v>700000000</v>
      </c>
      <c r="G166" s="360">
        <f t="shared" si="68"/>
        <v>66.666666666666671</v>
      </c>
      <c r="O166" t="s">
        <v>25</v>
      </c>
    </row>
    <row r="167" spans="1:16">
      <c r="A167" s="94" t="s">
        <v>6709</v>
      </c>
      <c r="C167">
        <v>21000</v>
      </c>
      <c r="D167" s="112">
        <f t="shared" si="66"/>
        <v>0</v>
      </c>
      <c r="E167" s="112">
        <f t="shared" si="67"/>
        <v>588000000</v>
      </c>
      <c r="F167" s="112">
        <v>700000000</v>
      </c>
      <c r="G167" s="360">
        <f t="shared" si="68"/>
        <v>19.047619047619047</v>
      </c>
    </row>
    <row r="168" spans="1:16">
      <c r="A168" s="94" t="s">
        <v>6710</v>
      </c>
      <c r="C168">
        <v>17000</v>
      </c>
      <c r="D168" s="112">
        <f t="shared" si="66"/>
        <v>0</v>
      </c>
      <c r="E168" s="112">
        <f t="shared" si="67"/>
        <v>476000000</v>
      </c>
      <c r="F168" s="112">
        <v>700000000</v>
      </c>
      <c r="G168" s="360">
        <f t="shared" si="68"/>
        <v>47.058823529411768</v>
      </c>
      <c r="P168" t="s">
        <v>25</v>
      </c>
    </row>
    <row r="169" spans="1:16">
      <c r="A169" t="s">
        <v>6711</v>
      </c>
      <c r="C169">
        <v>11000</v>
      </c>
      <c r="D169" s="112">
        <f t="shared" si="66"/>
        <v>0</v>
      </c>
      <c r="E169" s="112">
        <f t="shared" si="67"/>
        <v>308000000</v>
      </c>
      <c r="F169" s="112">
        <v>370000000</v>
      </c>
      <c r="G169" s="360">
        <f t="shared" si="68"/>
        <v>20.129870129870131</v>
      </c>
    </row>
    <row r="170" spans="1:16">
      <c r="D170" s="112">
        <f t="shared" si="66"/>
        <v>0</v>
      </c>
      <c r="E170" s="112">
        <f t="shared" si="67"/>
        <v>0</v>
      </c>
      <c r="F170" s="112"/>
      <c r="G170" s="360" t="e">
        <f t="shared" si="68"/>
        <v>#DIV/0!</v>
      </c>
      <c r="N170" t="s">
        <v>25</v>
      </c>
      <c r="O170" t="s">
        <v>25</v>
      </c>
    </row>
    <row r="171" spans="1:16">
      <c r="D171" s="112">
        <f t="shared" si="66"/>
        <v>0</v>
      </c>
      <c r="E171" s="112">
        <f t="shared" si="67"/>
        <v>0</v>
      </c>
      <c r="F171" s="112"/>
      <c r="G171" s="360" t="e">
        <f t="shared" si="68"/>
        <v>#DIV/0!</v>
      </c>
      <c r="O171" t="s">
        <v>25</v>
      </c>
    </row>
    <row r="172" spans="1:16">
      <c r="D172" s="112">
        <f t="shared" si="66"/>
        <v>0</v>
      </c>
      <c r="E172" s="112">
        <f t="shared" si="67"/>
        <v>0</v>
      </c>
      <c r="F172" s="112"/>
      <c r="G172" s="360" t="e">
        <f t="shared" si="68"/>
        <v>#DIV/0!</v>
      </c>
    </row>
    <row r="173" spans="1:16">
      <c r="D173" s="112">
        <f t="shared" si="66"/>
        <v>0</v>
      </c>
      <c r="E173" s="112">
        <f t="shared" si="67"/>
        <v>0</v>
      </c>
      <c r="F173" s="112"/>
      <c r="G173" s="360" t="e">
        <f t="shared" si="68"/>
        <v>#DIV/0!</v>
      </c>
    </row>
    <row r="174" spans="1:16">
      <c r="D174" s="112">
        <f t="shared" si="66"/>
        <v>0</v>
      </c>
      <c r="E174" s="112">
        <f t="shared" si="67"/>
        <v>0</v>
      </c>
      <c r="F174" s="112"/>
      <c r="G174" s="360" t="e">
        <f t="shared" si="68"/>
        <v>#DIV/0!</v>
      </c>
      <c r="O174" t="s">
        <v>25</v>
      </c>
    </row>
    <row r="175" spans="1:16">
      <c r="D175" s="112">
        <f t="shared" si="66"/>
        <v>0</v>
      </c>
      <c r="E175" s="112">
        <f t="shared" si="67"/>
        <v>0</v>
      </c>
      <c r="F175" s="112"/>
      <c r="G175" s="360" t="e">
        <f t="shared" si="68"/>
        <v>#DIV/0!</v>
      </c>
    </row>
    <row r="176" spans="1:16">
      <c r="D176" s="112">
        <f t="shared" si="66"/>
        <v>0</v>
      </c>
      <c r="E176" s="112">
        <f t="shared" si="67"/>
        <v>0</v>
      </c>
      <c r="O176" t="s">
        <v>25</v>
      </c>
    </row>
    <row r="177" spans="4:18">
      <c r="D177" s="112">
        <f t="shared" si="66"/>
        <v>0</v>
      </c>
      <c r="E177" s="112">
        <f t="shared" si="67"/>
        <v>0</v>
      </c>
      <c r="O177" t="s">
        <v>25</v>
      </c>
      <c r="P177" t="s">
        <v>25</v>
      </c>
    </row>
    <row r="178" spans="4:18">
      <c r="D178" s="112">
        <f t="shared" si="66"/>
        <v>0</v>
      </c>
      <c r="E178" s="112">
        <f t="shared" si="67"/>
        <v>0</v>
      </c>
      <c r="O178" s="94" t="s">
        <v>25</v>
      </c>
      <c r="P178" t="s">
        <v>25</v>
      </c>
    </row>
    <row r="179" spans="4:18">
      <c r="D179" s="112">
        <f t="shared" si="66"/>
        <v>0</v>
      </c>
      <c r="E179" s="112">
        <f t="shared" si="67"/>
        <v>0</v>
      </c>
    </row>
    <row r="180" spans="4:18">
      <c r="O180" t="s">
        <v>25</v>
      </c>
    </row>
    <row r="181" spans="4:18">
      <c r="O181" t="s">
        <v>25</v>
      </c>
      <c r="R181" t="s">
        <v>25</v>
      </c>
    </row>
    <row r="183" spans="4:18">
      <c r="N183" t="s">
        <v>25</v>
      </c>
    </row>
    <row r="185" spans="4:18">
      <c r="N185" s="94"/>
    </row>
    <row r="186" spans="4:18">
      <c r="N186" s="94"/>
      <c r="O186" s="94" t="s">
        <v>5449</v>
      </c>
    </row>
    <row r="187" spans="4:18">
      <c r="N187" s="94" t="s">
        <v>25</v>
      </c>
      <c r="O187" s="94" t="s">
        <v>5450</v>
      </c>
    </row>
    <row r="188" spans="4:18">
      <c r="N188" t="s">
        <v>25</v>
      </c>
      <c r="O188" s="94" t="s">
        <v>5451</v>
      </c>
    </row>
    <row r="189" spans="4:18">
      <c r="O189" s="94" t="s">
        <v>5452</v>
      </c>
    </row>
    <row r="190" spans="4:18">
      <c r="O190" s="94" t="s">
        <v>5453</v>
      </c>
    </row>
    <row r="191" spans="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36">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5">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6957</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6957</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6985</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6985</v>
      </c>
      <c r="I50" s="97">
        <v>304700</v>
      </c>
      <c r="J50" s="97" t="s">
        <v>6973</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6965</v>
      </c>
      <c r="I76" s="97">
        <v>66000</v>
      </c>
      <c r="J76" s="97" t="s">
        <v>6973</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F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18" t="s">
        <v>1052</v>
      </c>
      <c r="R21" s="518"/>
      <c r="S21" s="518"/>
      <c r="T21" s="518"/>
      <c r="U21" s="94"/>
      <c r="V21" s="94"/>
      <c r="W21" s="41" t="s">
        <v>4905</v>
      </c>
      <c r="X21" s="41">
        <v>9035210431</v>
      </c>
      <c r="Y21" s="41">
        <v>50</v>
      </c>
      <c r="Z21" s="41" t="s">
        <v>5167</v>
      </c>
      <c r="AA21" t="s">
        <v>4923</v>
      </c>
    </row>
    <row r="22" spans="5:35">
      <c r="O22" s="97"/>
      <c r="P22" s="97"/>
      <c r="Q22" s="518"/>
      <c r="R22" s="518"/>
      <c r="S22" s="518"/>
      <c r="T22" s="518"/>
      <c r="U22" s="94"/>
      <c r="V22" s="94"/>
      <c r="W22" s="41" t="s">
        <v>4992</v>
      </c>
      <c r="X22" s="41">
        <v>9909620343</v>
      </c>
      <c r="Y22" s="41">
        <v>200</v>
      </c>
      <c r="Z22" s="41" t="s">
        <v>5168</v>
      </c>
      <c r="AA22" t="s">
        <v>5171</v>
      </c>
      <c r="AB22" s="41" t="s">
        <v>5179</v>
      </c>
    </row>
    <row r="23" spans="5:35" ht="15.75">
      <c r="O23" s="176"/>
      <c r="P23" s="97" t="s">
        <v>4048</v>
      </c>
      <c r="Q23" s="519" t="s">
        <v>1053</v>
      </c>
      <c r="R23" s="520" t="s">
        <v>1054</v>
      </c>
      <c r="S23" s="519" t="s">
        <v>1055</v>
      </c>
      <c r="T23" s="521" t="s">
        <v>1056</v>
      </c>
      <c r="W23" s="41" t="s">
        <v>4993</v>
      </c>
      <c r="X23" s="41">
        <v>9378807702</v>
      </c>
      <c r="Y23" s="41">
        <v>0</v>
      </c>
      <c r="Z23" s="41">
        <v>0</v>
      </c>
      <c r="AD23" t="s">
        <v>25</v>
      </c>
    </row>
    <row r="24" spans="5:35">
      <c r="O24" s="97"/>
      <c r="P24" s="97"/>
      <c r="Q24" s="519"/>
      <c r="R24" s="520"/>
      <c r="S24" s="519"/>
      <c r="T24" s="521"/>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6975</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6976</v>
      </c>
      <c r="Z31" s="291" t="s">
        <v>5167</v>
      </c>
      <c r="AA31" s="94" t="s">
        <v>6125</v>
      </c>
      <c r="AB31" s="291" t="s">
        <v>6974</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2" t="s">
        <v>6196</v>
      </c>
      <c r="C1" s="522"/>
      <c r="D1" s="522" t="s">
        <v>6197</v>
      </c>
      <c r="E1" s="522"/>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1600</v>
      </c>
      <c r="H4" s="115">
        <f>C4*G4</f>
        <v>472000000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1600</v>
      </c>
      <c r="H19" s="115">
        <f>C19*G19</f>
        <v>20697600</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2022-11-13T08:48:47Z</dcterms:modified>
</cp:coreProperties>
</file>